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/>
  <bookViews>
    <workbookView xWindow="-15" yWindow="6795" windowWidth="15600" windowHeight="2370" tabRatio="908" activeTab="4"/>
  </bookViews>
  <sheets>
    <sheet name="INPUT VOL" sheetId="28" r:id="rId1"/>
    <sheet name="INPUT II" sheetId="29" r:id="rId2"/>
    <sheet name="TOTAL" sheetId="10" r:id="rId3"/>
    <sheet name="EcopeGj" sheetId="2" r:id="rId4"/>
    <sheet name="Chevron" sheetId="37" r:id="rId5"/>
    <sheet name="ECOP" sheetId="32" r:id="rId6"/>
    <sheet name="E2" sheetId="38" r:id="rId7"/>
    <sheet name="GDO" sheetId="41" r:id="rId8"/>
    <sheet name="PACIFIC" sheetId="42" r:id="rId9"/>
    <sheet name="PROMIGAS" sheetId="25" r:id="rId10"/>
    <sheet name="Gascar" sheetId="35" r:id="rId11"/>
    <sheet name="PETROM" sheetId="40" r:id="rId12"/>
    <sheet name="Hoja1" sheetId="43" r:id="rId13"/>
  </sheets>
  <definedNames>
    <definedName name="_xlnm.Print_Area" localSheetId="4">Chevron!$B$76:$F$178</definedName>
    <definedName name="_xlnm.Print_Area" localSheetId="6">'E2'!$A$1:$H$18</definedName>
    <definedName name="_xlnm.Print_Area" localSheetId="5">ECOP!$A$1:$J$22</definedName>
    <definedName name="_xlnm.Print_Area" localSheetId="3">EcopeGj!$B$11:$H$190</definedName>
    <definedName name="_xlnm.Print_Area" localSheetId="7">GDO!$A$1:$H$19</definedName>
    <definedName name="_xlnm.Print_Area" localSheetId="0">'INPUT VOL'!$A$2:$N$200</definedName>
    <definedName name="_xlnm.Print_Area" localSheetId="8">PACIFIC!$A$1:$H$18</definedName>
    <definedName name="_xlnm.Print_Area" localSheetId="11">PETROM!$B$2:$K$20</definedName>
    <definedName name="_xlnm.Print_Area" localSheetId="9">PROMIGAS!$B$213:$F$277</definedName>
    <definedName name="_xlnm.Print_Area" localSheetId="2">TOTAL!$B$5:$P$203</definedName>
    <definedName name="_xlnm.Print_Titles" localSheetId="4">Chevron!$1:$4</definedName>
    <definedName name="_xlnm.Print_Titles" localSheetId="6">'E2'!$1:$4</definedName>
    <definedName name="_xlnm.Print_Titles" localSheetId="5">ECOP!$1:$4</definedName>
    <definedName name="_xlnm.Print_Titles" localSheetId="3">EcopeGj!$1:$4</definedName>
    <definedName name="_xlnm.Print_Titles" localSheetId="7">GDO!$1:$4</definedName>
    <definedName name="_xlnm.Print_Titles" localSheetId="8">PACIFIC!$1:$4</definedName>
    <definedName name="_xlnm.Print_Titles" localSheetId="2">TOTAL!$1:$4</definedName>
  </definedNames>
  <calcPr calcId="125725"/>
</workbook>
</file>

<file path=xl/calcChain.xml><?xml version="1.0" encoding="utf-8"?>
<calcChain xmlns="http://schemas.openxmlformats.org/spreadsheetml/2006/main">
  <c r="D8" i="37"/>
  <c r="D77"/>
  <c r="S197" i="10"/>
  <c r="R207"/>
  <c r="P193"/>
  <c r="B1" i="43"/>
  <c r="G13" i="38"/>
  <c r="G16"/>
  <c r="BA157" i="25"/>
  <c r="AZ157"/>
  <c r="R14" i="35"/>
  <c r="R12"/>
  <c r="Q16" l="1"/>
  <c r="AS1" i="25" l="1"/>
  <c r="AP203"/>
  <c r="AP204" s="1"/>
  <c r="R190"/>
  <c r="R189"/>
  <c r="R188"/>
  <c r="Z185"/>
  <c r="R185" s="1"/>
  <c r="Z186"/>
  <c r="R186" s="1"/>
  <c r="Z187"/>
  <c r="R187" s="1"/>
  <c r="U174"/>
  <c r="U173"/>
  <c r="U172"/>
  <c r="U171"/>
  <c r="U170"/>
  <c r="U169"/>
  <c r="U168"/>
  <c r="U167"/>
  <c r="U166"/>
  <c r="U163"/>
  <c r="U149"/>
  <c r="U135"/>
  <c r="U131"/>
  <c r="U130"/>
  <c r="U129"/>
  <c r="U128"/>
  <c r="U127"/>
  <c r="U126"/>
  <c r="U125"/>
  <c r="U124"/>
  <c r="U123"/>
  <c r="U121"/>
  <c r="U120"/>
  <c r="U119"/>
  <c r="U118"/>
  <c r="U117"/>
  <c r="U116"/>
  <c r="U115"/>
  <c r="U114"/>
  <c r="U113"/>
  <c r="U112"/>
  <c r="U110"/>
  <c r="U109"/>
  <c r="U108"/>
  <c r="U107"/>
  <c r="U106"/>
  <c r="U105"/>
  <c r="U104"/>
  <c r="U103"/>
  <c r="U102"/>
  <c r="U101"/>
  <c r="U100"/>
  <c r="U99"/>
  <c r="U98"/>
  <c r="U97"/>
  <c r="U96"/>
  <c r="U95"/>
  <c r="U88"/>
  <c r="U87"/>
  <c r="U86"/>
  <c r="U85"/>
  <c r="U84"/>
  <c r="U83"/>
  <c r="U82"/>
  <c r="U81"/>
  <c r="U65"/>
  <c r="U41"/>
  <c r="AK185"/>
  <c r="AD185" s="1"/>
  <c r="AK179"/>
  <c r="AD179" s="1"/>
  <c r="AK178"/>
  <c r="AD178" s="1"/>
  <c r="AK177"/>
  <c r="AD177" s="1"/>
  <c r="AK176"/>
  <c r="AD176" s="1"/>
  <c r="AK175"/>
  <c r="AD175" s="1"/>
  <c r="AK173"/>
  <c r="AD173" s="1"/>
  <c r="AK168"/>
  <c r="AD168" s="1"/>
  <c r="AK167"/>
  <c r="AD167" s="1"/>
  <c r="AK165"/>
  <c r="AD165" s="1"/>
  <c r="AK164"/>
  <c r="AD164" s="1"/>
  <c r="AK163"/>
  <c r="AD163" s="1"/>
  <c r="AK162"/>
  <c r="AD162" s="1"/>
  <c r="AK161"/>
  <c r="AD161" s="1"/>
  <c r="AK160"/>
  <c r="AD160" s="1"/>
  <c r="AK159"/>
  <c r="AD159" s="1"/>
  <c r="AK158"/>
  <c r="AD158" s="1"/>
  <c r="AK157"/>
  <c r="AD157" s="1"/>
  <c r="AK156"/>
  <c r="AD156" s="1"/>
  <c r="AK155"/>
  <c r="AD155" s="1"/>
  <c r="AK154"/>
  <c r="AD154" s="1"/>
  <c r="AK153"/>
  <c r="AD153" s="1"/>
  <c r="AK152"/>
  <c r="AD152" s="1"/>
  <c r="AK151"/>
  <c r="AD151" s="1"/>
  <c r="AK150"/>
  <c r="AD150" s="1"/>
  <c r="AK148"/>
  <c r="AD148" s="1"/>
  <c r="AK147"/>
  <c r="AD147" s="1"/>
  <c r="AK146"/>
  <c r="AD146" s="1"/>
  <c r="AK145"/>
  <c r="AD145" s="1"/>
  <c r="AK144"/>
  <c r="AD144" s="1"/>
  <c r="AK143"/>
  <c r="AD143" s="1"/>
  <c r="AK142"/>
  <c r="AD142" s="1"/>
  <c r="AK141"/>
  <c r="AD141" s="1"/>
  <c r="AK140"/>
  <c r="AD140" s="1"/>
  <c r="AK139"/>
  <c r="AD139" s="1"/>
  <c r="AK138"/>
  <c r="AD138" s="1"/>
  <c r="AK137"/>
  <c r="AD137" s="1"/>
  <c r="AK136"/>
  <c r="AD136" s="1"/>
  <c r="AK135"/>
  <c r="AD135" s="1"/>
  <c r="AK134"/>
  <c r="AD134" s="1"/>
  <c r="AK133"/>
  <c r="AD133" s="1"/>
  <c r="AK132"/>
  <c r="AD132" s="1"/>
  <c r="AK112"/>
  <c r="AD112" s="1"/>
  <c r="AK95"/>
  <c r="AD95" s="1"/>
  <c r="AK94"/>
  <c r="AD94" s="1"/>
  <c r="AK93"/>
  <c r="AD93" s="1"/>
  <c r="AK92"/>
  <c r="AD92" s="1"/>
  <c r="AK91"/>
  <c r="AD91" s="1"/>
  <c r="AK90"/>
  <c r="AD90" s="1"/>
  <c r="AK89"/>
  <c r="AD89" s="1"/>
  <c r="AF4"/>
  <c r="U4"/>
  <c r="AM185" l="1"/>
  <c r="AP185" s="1"/>
  <c r="D45" i="40"/>
  <c r="C89" i="28" l="1"/>
  <c r="H22" i="35" l="1"/>
  <c r="I7"/>
  <c r="F8" l="1"/>
  <c r="H7"/>
  <c r="I6"/>
  <c r="H6"/>
  <c r="I3"/>
  <c r="I2"/>
  <c r="K154" i="10" l="1"/>
  <c r="I119"/>
  <c r="I144"/>
  <c r="C73" i="28"/>
  <c r="F26" i="42" l="1"/>
  <c r="E7"/>
  <c r="E6"/>
  <c r="C5" i="37"/>
  <c r="C6" i="2"/>
  <c r="C12" i="38"/>
  <c r="F17"/>
  <c r="F16"/>
  <c r="F15"/>
  <c r="C14"/>
  <c r="D177" i="10" s="1"/>
  <c r="C8" i="38"/>
  <c r="F8" s="1"/>
  <c r="C26" i="41"/>
  <c r="E6"/>
  <c r="C5"/>
  <c r="D185" i="10" s="1"/>
  <c r="C24" i="41"/>
  <c r="G38" i="40"/>
  <c r="C188" i="28" l="1"/>
  <c r="C187"/>
  <c r="C186"/>
  <c r="C184"/>
  <c r="C13" i="38" l="1"/>
  <c r="E5" i="42"/>
  <c r="H8" i="37" l="1"/>
  <c r="H9" i="2"/>
  <c r="E7" i="41" l="1"/>
  <c r="D184" i="10" l="1"/>
  <c r="H17" i="40" l="1"/>
  <c r="G17"/>
  <c r="F17"/>
  <c r="D178" i="10" l="1"/>
  <c r="R27" l="1"/>
  <c r="R26"/>
  <c r="R25"/>
  <c r="E5" i="38" l="1"/>
  <c r="M9" i="28" l="1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9"/>
  <c r="M190"/>
  <c r="M191"/>
  <c r="M192"/>
  <c r="M193"/>
  <c r="M194"/>
  <c r="M195"/>
  <c r="M8"/>
  <c r="H289" i="10" l="1"/>
  <c r="G289"/>
  <c r="F289"/>
  <c r="D289"/>
  <c r="H285"/>
  <c r="G285"/>
  <c r="F285"/>
  <c r="D285"/>
  <c r="E285" l="1"/>
  <c r="E289"/>
  <c r="G116" l="1"/>
  <c r="I22" i="29" l="1"/>
  <c r="D180" i="10" l="1"/>
  <c r="D48" i="40" l="1"/>
  <c r="D47"/>
  <c r="D46"/>
  <c r="E48" l="1"/>
  <c r="E46"/>
  <c r="E47"/>
  <c r="E23" i="41" l="1"/>
  <c r="D23"/>
  <c r="D182" i="2" l="1"/>
  <c r="D184" s="1"/>
  <c r="C9"/>
  <c r="E8"/>
  <c r="G7" i="40"/>
  <c r="D24" i="41" l="1"/>
  <c r="D25" l="1"/>
  <c r="G181" i="28"/>
  <c r="L195" i="10"/>
  <c r="L198"/>
  <c r="L186" l="1"/>
  <c r="L179"/>
  <c r="L160"/>
  <c r="L159"/>
  <c r="L157"/>
  <c r="F187"/>
  <c r="E187"/>
  <c r="D182"/>
  <c r="D181"/>
  <c r="T181" l="1"/>
  <c r="T182"/>
  <c r="Y70"/>
  <c r="R70" s="1"/>
  <c r="Y190"/>
  <c r="V190"/>
  <c r="R10"/>
  <c r="R11"/>
  <c r="R12"/>
  <c r="R13"/>
  <c r="R14"/>
  <c r="R15"/>
  <c r="R16"/>
  <c r="R17"/>
  <c r="R18"/>
  <c r="R19"/>
  <c r="R20"/>
  <c r="R21"/>
  <c r="R22"/>
  <c r="R23"/>
  <c r="R24"/>
  <c r="R28"/>
  <c r="R29"/>
  <c r="R30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1"/>
  <c r="R72"/>
  <c r="R73"/>
  <c r="R74"/>
  <c r="R75"/>
  <c r="R76"/>
  <c r="R77"/>
  <c r="R78"/>
  <c r="R79"/>
  <c r="R80"/>
  <c r="R81"/>
  <c r="R82"/>
  <c r="R83"/>
  <c r="R84"/>
  <c r="R85"/>
  <c r="R86"/>
  <c r="R87"/>
  <c r="R89"/>
  <c r="R90"/>
  <c r="R91"/>
  <c r="R92"/>
  <c r="R93"/>
  <c r="R94"/>
  <c r="R95"/>
  <c r="R96"/>
  <c r="R97"/>
  <c r="R98"/>
  <c r="R99"/>
  <c r="R100"/>
  <c r="R101"/>
  <c r="R102"/>
  <c r="R103"/>
  <c r="R104"/>
  <c r="R105"/>
  <c r="R107"/>
  <c r="R108"/>
  <c r="R109"/>
  <c r="R110"/>
  <c r="R111"/>
  <c r="R112"/>
  <c r="R113"/>
  <c r="R114"/>
  <c r="R115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7"/>
  <c r="R138"/>
  <c r="R139"/>
  <c r="R140"/>
  <c r="R141"/>
  <c r="R142"/>
  <c r="R143"/>
  <c r="R144"/>
  <c r="R145"/>
  <c r="R146"/>
  <c r="R148"/>
  <c r="R150"/>
  <c r="R151"/>
  <c r="R152"/>
  <c r="R153"/>
  <c r="R154"/>
  <c r="R155"/>
  <c r="R156"/>
  <c r="R157"/>
  <c r="R158"/>
  <c r="R159"/>
  <c r="R160"/>
  <c r="R161"/>
  <c r="R162"/>
  <c r="R164"/>
  <c r="R165"/>
  <c r="R167"/>
  <c r="R168"/>
  <c r="R169"/>
  <c r="R170"/>
  <c r="R171"/>
  <c r="R172"/>
  <c r="R174"/>
  <c r="R175"/>
  <c r="R176"/>
  <c r="R177"/>
  <c r="R178"/>
  <c r="R179"/>
  <c r="R180"/>
  <c r="R183"/>
  <c r="R184"/>
  <c r="R186"/>
  <c r="V147"/>
  <c r="R147" s="1"/>
  <c r="X187"/>
  <c r="W187"/>
  <c r="S187"/>
  <c r="U166"/>
  <c r="U88"/>
  <c r="R88" s="1"/>
  <c r="U182"/>
  <c r="U181"/>
  <c r="U185"/>
  <c r="R185" s="1"/>
  <c r="O185"/>
  <c r="E8" i="41"/>
  <c r="E9" s="1"/>
  <c r="E10" s="1"/>
  <c r="E11" s="1"/>
  <c r="E12" s="1"/>
  <c r="E13" s="1"/>
  <c r="R181" i="10" l="1"/>
  <c r="U187"/>
  <c r="R182"/>
  <c r="T187"/>
  <c r="C20" i="41" l="1"/>
  <c r="C27" s="1"/>
  <c r="U190" i="10" l="1"/>
  <c r="B7" i="37" l="1"/>
  <c r="D181" i="2" l="1"/>
  <c r="G5" i="25" l="1"/>
  <c r="C8" i="37"/>
  <c r="C186" s="1"/>
  <c r="D7"/>
  <c r="E7" l="1"/>
  <c r="D173"/>
  <c r="D176"/>
  <c r="D177" s="1"/>
  <c r="E34" i="32" l="1"/>
  <c r="C21"/>
  <c r="K3" i="40" l="1"/>
  <c r="H8"/>
  <c r="H9" s="1"/>
  <c r="H10" s="1"/>
  <c r="H11" s="1"/>
  <c r="H12" s="1"/>
  <c r="H13" s="1"/>
  <c r="H14" s="1"/>
  <c r="H15" s="1"/>
  <c r="H16" s="1"/>
  <c r="G8"/>
  <c r="D44"/>
  <c r="E44" s="1"/>
  <c r="D43"/>
  <c r="E43" s="1"/>
  <c r="D42"/>
  <c r="D41"/>
  <c r="D40"/>
  <c r="G9" l="1"/>
  <c r="G10" s="1"/>
  <c r="G11" s="1"/>
  <c r="G12" s="1"/>
  <c r="G13" s="1"/>
  <c r="G14" s="1"/>
  <c r="G15" s="1"/>
  <c r="G16" s="1"/>
  <c r="E40"/>
  <c r="E41"/>
  <c r="E42"/>
  <c r="F8"/>
  <c r="F9" s="1"/>
  <c r="F10" s="1"/>
  <c r="F11" s="1"/>
  <c r="F12" s="1"/>
  <c r="F13" s="1"/>
  <c r="F14" s="1"/>
  <c r="F15" s="1"/>
  <c r="F16" s="1"/>
  <c r="E3"/>
  <c r="D93" i="37" l="1"/>
  <c r="D96" s="1"/>
  <c r="J5" i="32" l="1"/>
  <c r="E5"/>
  <c r="H247" i="10" l="1"/>
  <c r="H301" s="1"/>
  <c r="H264"/>
  <c r="H304" s="1"/>
  <c r="M11" i="29"/>
  <c r="M17"/>
  <c r="D25" i="40" s="1"/>
  <c r="E25" s="1"/>
  <c r="M15" i="29"/>
  <c r="H260" i="10"/>
  <c r="H326" s="1"/>
  <c r="H256"/>
  <c r="H274" s="1"/>
  <c r="M188" l="1"/>
  <c r="N188" l="1"/>
  <c r="I233" i="37" l="1"/>
  <c r="I235" s="1"/>
  <c r="B178"/>
  <c r="C89"/>
  <c r="D132" i="10" s="1"/>
  <c r="C87" i="37"/>
  <c r="C84"/>
  <c r="D96" i="10" s="1"/>
  <c r="C80" i="37"/>
  <c r="D91" i="10" s="1"/>
  <c r="E13" i="37"/>
  <c r="D13"/>
  <c r="D14" l="1"/>
  <c r="D15" s="1"/>
  <c r="D16" s="1"/>
  <c r="D17" s="1"/>
  <c r="E6"/>
  <c r="E14"/>
  <c r="E5"/>
  <c r="F5" s="1"/>
  <c r="F6" l="1"/>
  <c r="E8"/>
  <c r="E15"/>
  <c r="E16" s="1"/>
  <c r="E17" s="1"/>
  <c r="E18" s="1"/>
  <c r="F7"/>
  <c r="D19"/>
  <c r="D20" s="1"/>
  <c r="D25" s="1"/>
  <c r="D26" s="1"/>
  <c r="D27" s="1"/>
  <c r="D28" s="1"/>
  <c r="D18"/>
  <c r="D22" l="1"/>
  <c r="D23" s="1"/>
  <c r="D24" s="1"/>
  <c r="D29"/>
  <c r="D30" s="1"/>
  <c r="D21"/>
  <c r="E19"/>
  <c r="E20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F8"/>
  <c r="F18"/>
  <c r="F186" l="1"/>
  <c r="H193" i="10" s="1"/>
  <c r="L193" s="1"/>
  <c r="E21" i="37"/>
  <c r="E43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7" s="1"/>
  <c r="E78" s="1"/>
  <c r="E79" s="1"/>
  <c r="E80" s="1"/>
  <c r="E81" s="1"/>
  <c r="E82" s="1"/>
  <c r="E83" s="1"/>
  <c r="E84" s="1"/>
  <c r="D31"/>
  <c r="F30"/>
  <c r="H8" i="10" s="1"/>
  <c r="E60" i="37" l="1"/>
  <c r="D32"/>
  <c r="F31"/>
  <c r="H9" i="10" s="1"/>
  <c r="I151" i="28"/>
  <c r="D33" i="37" l="1"/>
  <c r="F32"/>
  <c r="H10" i="10" s="1"/>
  <c r="D34" i="37" l="1"/>
  <c r="F33"/>
  <c r="H11" i="10" s="1"/>
  <c r="D35" i="37" l="1"/>
  <c r="F34"/>
  <c r="H12" i="10" s="1"/>
  <c r="D36" i="37" l="1"/>
  <c r="F35"/>
  <c r="H13" i="10" s="1"/>
  <c r="D7" i="2"/>
  <c r="D183" s="1"/>
  <c r="D185" s="1"/>
  <c r="D37" i="37" l="1"/>
  <c r="F36"/>
  <c r="H14" i="10" s="1"/>
  <c r="D38" i="37" l="1"/>
  <c r="F37"/>
  <c r="H15" i="10" s="1"/>
  <c r="D39" i="37" l="1"/>
  <c r="F38"/>
  <c r="H16" i="10" s="1"/>
  <c r="D40" i="37" l="1"/>
  <c r="F39"/>
  <c r="H17" i="10" s="1"/>
  <c r="I148" i="28"/>
  <c r="I147"/>
  <c r="D45" i="37" l="1"/>
  <c r="D41"/>
  <c r="F40"/>
  <c r="AQ198" i="25"/>
  <c r="D46" i="37" l="1"/>
  <c r="F45"/>
  <c r="D43"/>
  <c r="D42"/>
  <c r="F42" s="1"/>
  <c r="F41"/>
  <c r="D47" l="1"/>
  <c r="F46"/>
  <c r="D44"/>
  <c r="F44" s="1"/>
  <c r="F43"/>
  <c r="D48" l="1"/>
  <c r="F47"/>
  <c r="I146" i="28"/>
  <c r="D49" i="37" l="1"/>
  <c r="F48"/>
  <c r="D50" l="1"/>
  <c r="F49"/>
  <c r="D51" l="1"/>
  <c r="F50"/>
  <c r="D52" l="1"/>
  <c r="F51"/>
  <c r="D53" l="1"/>
  <c r="F52"/>
  <c r="D55" l="1"/>
  <c r="D54"/>
  <c r="F54" s="1"/>
  <c r="F53"/>
  <c r="E217" i="10"/>
  <c r="E214"/>
  <c r="N195"/>
  <c r="K15" i="35"/>
  <c r="D57" i="37" l="1"/>
  <c r="D56"/>
  <c r="F56" s="1"/>
  <c r="F55"/>
  <c r="M15" i="35"/>
  <c r="N15"/>
  <c r="Q15" l="1"/>
  <c r="N5" i="10" s="1"/>
  <c r="D58" i="37"/>
  <c r="E7" i="2"/>
  <c r="D59" i="37" l="1"/>
  <c r="E38" i="29"/>
  <c r="F38" s="1"/>
  <c r="E37"/>
  <c r="F37" s="1"/>
  <c r="H1" i="35"/>
  <c r="D61" i="37" l="1"/>
  <c r="D60"/>
  <c r="F60" s="1"/>
  <c r="F59"/>
  <c r="B175" i="2"/>
  <c r="D62" i="37" l="1"/>
  <c r="F61"/>
  <c r="F150" i="28"/>
  <c r="I145" s="1"/>
  <c r="D63" i="37" l="1"/>
  <c r="F62"/>
  <c r="D64" l="1"/>
  <c r="F63"/>
  <c r="F148" i="28"/>
  <c r="I143" s="1"/>
  <c r="F147"/>
  <c r="I142" s="1"/>
  <c r="F146"/>
  <c r="L192" i="25"/>
  <c r="D92" i="2"/>
  <c r="I228" i="10"/>
  <c r="F5" i="29"/>
  <c r="J110" i="28"/>
  <c r="D139" i="25" s="1"/>
  <c r="J115" i="28"/>
  <c r="D144" i="25" s="1"/>
  <c r="J118" i="28"/>
  <c r="D148" i="25" s="1"/>
  <c r="J125" i="28"/>
  <c r="D155" i="25" s="1"/>
  <c r="F10" i="29"/>
  <c r="AS2" i="25" s="1"/>
  <c r="G6"/>
  <c r="AS4"/>
  <c r="P1" i="10"/>
  <c r="D13" i="2"/>
  <c r="D168" i="25"/>
  <c r="AQ195"/>
  <c r="AP198"/>
  <c r="AP199"/>
  <c r="D105" i="2"/>
  <c r="D107" s="1"/>
  <c r="E13"/>
  <c r="E6"/>
  <c r="I95" i="28"/>
  <c r="I21" i="32"/>
  <c r="H231" i="10"/>
  <c r="H245"/>
  <c r="H299" s="1"/>
  <c r="H246"/>
  <c r="H300" s="1"/>
  <c r="H241"/>
  <c r="H307" s="1"/>
  <c r="C250"/>
  <c r="H251"/>
  <c r="H331" s="1"/>
  <c r="H252"/>
  <c r="H235"/>
  <c r="H336" s="1"/>
  <c r="H236"/>
  <c r="H337" s="1"/>
  <c r="H237"/>
  <c r="H338" s="1"/>
  <c r="O184"/>
  <c r="O160"/>
  <c r="P2"/>
  <c r="P38" i="29"/>
  <c r="C33" i="32"/>
  <c r="D31" s="1"/>
  <c r="E31" s="1"/>
  <c r="I46" i="29"/>
  <c r="I45"/>
  <c r="I43"/>
  <c r="I47"/>
  <c r="I41"/>
  <c r="M197" i="10"/>
  <c r="O190"/>
  <c r="O192"/>
  <c r="O195"/>
  <c r="P195" s="1"/>
  <c r="O196"/>
  <c r="O198"/>
  <c r="F2"/>
  <c r="F2" i="42" s="1"/>
  <c r="P36" i="29"/>
  <c r="P34"/>
  <c r="I26"/>
  <c r="AS5" i="25"/>
  <c r="P13" i="29"/>
  <c r="P12"/>
  <c r="P11"/>
  <c r="P15"/>
  <c r="P16"/>
  <c r="P17"/>
  <c r="P18"/>
  <c r="I229" i="2"/>
  <c r="I231" s="1"/>
  <c r="P31" i="29"/>
  <c r="I27"/>
  <c r="I24"/>
  <c r="I28"/>
  <c r="P8"/>
  <c r="P5"/>
  <c r="P7"/>
  <c r="P6"/>
  <c r="I5"/>
  <c r="I38"/>
  <c r="I37"/>
  <c r="I25"/>
  <c r="I23"/>
  <c r="I21"/>
  <c r="I20"/>
  <c r="I19"/>
  <c r="I17"/>
  <c r="I6"/>
  <c r="I7"/>
  <c r="I10"/>
  <c r="I13"/>
  <c r="I14"/>
  <c r="AS6" i="25"/>
  <c r="B208" i="10"/>
  <c r="H208"/>
  <c r="H207"/>
  <c r="H206"/>
  <c r="B223"/>
  <c r="D220" s="1"/>
  <c r="F39" i="29"/>
  <c r="B222" i="10"/>
  <c r="D219" s="1"/>
  <c r="D185" i="28" l="1"/>
  <c r="D122" i="25" s="1"/>
  <c r="D187" i="28"/>
  <c r="D186"/>
  <c r="G168" s="1"/>
  <c r="D188"/>
  <c r="G170" s="1"/>
  <c r="D184"/>
  <c r="G167" s="1"/>
  <c r="D73"/>
  <c r="Q185" i="10"/>
  <c r="D75" i="28"/>
  <c r="D10"/>
  <c r="G113" s="1"/>
  <c r="C119" i="37" s="1"/>
  <c r="D14" i="28"/>
  <c r="G21" s="1"/>
  <c r="D18"/>
  <c r="G25" s="1"/>
  <c r="C82" i="37" s="1"/>
  <c r="D93" i="10" s="1"/>
  <c r="D22" i="28"/>
  <c r="D26"/>
  <c r="G103" s="1"/>
  <c r="D30"/>
  <c r="D34"/>
  <c r="D38"/>
  <c r="G17" s="1"/>
  <c r="C26" i="37" s="1"/>
  <c r="D42" i="28"/>
  <c r="D46"/>
  <c r="G66" s="1"/>
  <c r="C59" i="2" s="1"/>
  <c r="D58" i="10" s="1"/>
  <c r="Q58" s="1"/>
  <c r="D50" i="28"/>
  <c r="G61" s="1"/>
  <c r="J58" s="1"/>
  <c r="D74" i="25" s="1"/>
  <c r="D54" i="28"/>
  <c r="G74" s="1"/>
  <c r="C58" i="37" s="1"/>
  <c r="F58" s="1"/>
  <c r="D58" i="28"/>
  <c r="G57" s="1"/>
  <c r="J54" s="1"/>
  <c r="D69" i="25" s="1"/>
  <c r="N69" s="1"/>
  <c r="S69" s="1"/>
  <c r="D62" i="28"/>
  <c r="G51" s="1"/>
  <c r="D66"/>
  <c r="D70"/>
  <c r="D74"/>
  <c r="D79"/>
  <c r="G52" s="1"/>
  <c r="J46" s="1"/>
  <c r="D55" i="25" s="1"/>
  <c r="D83" i="28"/>
  <c r="G54" s="1"/>
  <c r="J48" s="1"/>
  <c r="D57" i="25" s="1"/>
  <c r="D87" i="28"/>
  <c r="D92"/>
  <c r="G79" s="1"/>
  <c r="C69" i="2" s="1"/>
  <c r="D96" i="28"/>
  <c r="G82" s="1"/>
  <c r="J19" s="1"/>
  <c r="D28" i="25" s="1"/>
  <c r="J28" s="1"/>
  <c r="S28" s="1"/>
  <c r="D100" i="28"/>
  <c r="G84" s="1"/>
  <c r="J21" s="1"/>
  <c r="D30" i="25" s="1"/>
  <c r="D104" i="28"/>
  <c r="G88" s="1"/>
  <c r="J25" s="1"/>
  <c r="D34" i="25" s="1"/>
  <c r="D54" i="10" s="1"/>
  <c r="D284" s="1"/>
  <c r="D109" i="28"/>
  <c r="G5" s="1"/>
  <c r="D113"/>
  <c r="G7" s="1"/>
  <c r="D117"/>
  <c r="G123" s="1"/>
  <c r="C142" i="37" s="1"/>
  <c r="D121" i="28"/>
  <c r="G124" s="1"/>
  <c r="C143" i="37" s="1"/>
  <c r="D125" i="28"/>
  <c r="G91" s="1"/>
  <c r="D129"/>
  <c r="G134" s="1"/>
  <c r="C154" i="37" s="1"/>
  <c r="D121" i="10" s="1"/>
  <c r="D133" i="28"/>
  <c r="J93" s="1"/>
  <c r="D116" i="25" s="1"/>
  <c r="D137" i="28"/>
  <c r="G135" s="1"/>
  <c r="D141"/>
  <c r="G107" s="1"/>
  <c r="D145"/>
  <c r="G141" s="1"/>
  <c r="D149"/>
  <c r="G96" s="1"/>
  <c r="D153"/>
  <c r="G147" s="1"/>
  <c r="C138" i="37" s="1"/>
  <c r="D112" i="10" s="1"/>
  <c r="D157" i="28"/>
  <c r="D161"/>
  <c r="G152" s="1"/>
  <c r="C140" i="37" s="1"/>
  <c r="D114" i="10" s="1"/>
  <c r="D165" i="28"/>
  <c r="G156" s="1"/>
  <c r="D169"/>
  <c r="C115" i="37" s="1"/>
  <c r="D151" i="10" s="1"/>
  <c r="D173" i="28"/>
  <c r="G162" s="1"/>
  <c r="D177"/>
  <c r="D49" i="40" s="1"/>
  <c r="D181" i="28"/>
  <c r="C181" i="2" s="1"/>
  <c r="D12" i="28"/>
  <c r="G126" s="1"/>
  <c r="C145" i="37" s="1"/>
  <c r="D24" i="28"/>
  <c r="D32"/>
  <c r="D40"/>
  <c r="G36" s="1"/>
  <c r="D48"/>
  <c r="D56"/>
  <c r="J91" s="1"/>
  <c r="D114" i="25" s="1"/>
  <c r="D64" i="28"/>
  <c r="D72"/>
  <c r="G122" s="1"/>
  <c r="D81"/>
  <c r="D90"/>
  <c r="D98"/>
  <c r="G86" s="1"/>
  <c r="C76" i="2" s="1"/>
  <c r="D107" i="28"/>
  <c r="G20" s="1"/>
  <c r="C77" i="37" s="1"/>
  <c r="D115" i="28"/>
  <c r="G115" s="1"/>
  <c r="C124" i="37" s="1"/>
  <c r="D123" i="28"/>
  <c r="G128" s="1"/>
  <c r="D131"/>
  <c r="J73" s="1"/>
  <c r="D91" i="25" s="1"/>
  <c r="E91" s="1"/>
  <c r="D139" i="28"/>
  <c r="G108" s="1"/>
  <c r="D147"/>
  <c r="D155"/>
  <c r="G149" s="1"/>
  <c r="C127" i="37" s="1"/>
  <c r="D101" i="10" s="1"/>
  <c r="D163" i="28"/>
  <c r="G154" s="1"/>
  <c r="C120" i="37" s="1"/>
  <c r="D81" i="10" s="1"/>
  <c r="D171" i="28"/>
  <c r="D179"/>
  <c r="D11"/>
  <c r="G114" s="1"/>
  <c r="D23"/>
  <c r="D31"/>
  <c r="D39"/>
  <c r="D47"/>
  <c r="D55"/>
  <c r="D59"/>
  <c r="G49" s="1"/>
  <c r="D71"/>
  <c r="G40" s="1"/>
  <c r="C28" i="37" s="1"/>
  <c r="F28" s="1"/>
  <c r="D80" i="28"/>
  <c r="D88"/>
  <c r="D97"/>
  <c r="G76" s="1"/>
  <c r="J62" s="1"/>
  <c r="D79" i="25" s="1"/>
  <c r="D101" i="28"/>
  <c r="G85" s="1"/>
  <c r="J22" s="1"/>
  <c r="D31" i="25" s="1"/>
  <c r="D110" i="28"/>
  <c r="G11" s="1"/>
  <c r="D118"/>
  <c r="G13" s="1"/>
  <c r="D126"/>
  <c r="G131" s="1"/>
  <c r="C150" i="37" s="1"/>
  <c r="D103" i="10" s="1"/>
  <c r="D134" i="28"/>
  <c r="G130" s="1"/>
  <c r="C149" i="37" s="1"/>
  <c r="D120" i="10" s="1"/>
  <c r="D142" i="28"/>
  <c r="J102" s="1"/>
  <c r="D132" i="25" s="1"/>
  <c r="D150" i="28"/>
  <c r="G97" s="1"/>
  <c r="C163" i="37" s="1"/>
  <c r="D122" i="10" s="1"/>
  <c r="D158" i="28"/>
  <c r="G70" s="1"/>
  <c r="D166"/>
  <c r="G157" s="1"/>
  <c r="D174"/>
  <c r="G163" s="1"/>
  <c r="D182"/>
  <c r="D9"/>
  <c r="G112" s="1"/>
  <c r="C118" i="37" s="1"/>
  <c r="D13" i="28"/>
  <c r="G127" s="1"/>
  <c r="C146" i="37" s="1"/>
  <c r="D85" i="10" s="1"/>
  <c r="D17" i="28"/>
  <c r="D21"/>
  <c r="G26" s="1"/>
  <c r="D25"/>
  <c r="G27" s="1"/>
  <c r="D29"/>
  <c r="G24" s="1"/>
  <c r="D33"/>
  <c r="D37"/>
  <c r="G34" s="1"/>
  <c r="D41"/>
  <c r="D45"/>
  <c r="D49"/>
  <c r="D53"/>
  <c r="D57"/>
  <c r="G56" s="1"/>
  <c r="C49" i="2" s="1"/>
  <c r="D61" i="28"/>
  <c r="G50" s="1"/>
  <c r="C37" i="2" s="1"/>
  <c r="D65" i="28"/>
  <c r="G44" s="1"/>
  <c r="C31" i="2" s="1"/>
  <c r="D10" i="10" s="1"/>
  <c r="D302" s="1"/>
  <c r="D69" i="28"/>
  <c r="G137" s="1"/>
  <c r="C155" i="37" s="1"/>
  <c r="D141" i="10" s="1"/>
  <c r="D78" i="28"/>
  <c r="G59" s="1"/>
  <c r="J56" s="1"/>
  <c r="D72" i="25" s="1"/>
  <c r="D82" i="28"/>
  <c r="G143" s="1"/>
  <c r="D86"/>
  <c r="D91"/>
  <c r="G81" s="1"/>
  <c r="C71" i="2" s="1"/>
  <c r="D95" i="28"/>
  <c r="G75" s="1"/>
  <c r="C64" i="2" s="1"/>
  <c r="D99" i="28"/>
  <c r="G83" s="1"/>
  <c r="D103"/>
  <c r="G87" s="1"/>
  <c r="J24" s="1"/>
  <c r="D33" i="25" s="1"/>
  <c r="D108" i="28"/>
  <c r="G4" s="1"/>
  <c r="D112"/>
  <c r="G6" s="1"/>
  <c r="D116"/>
  <c r="G117" s="1"/>
  <c r="C126" i="37" s="1"/>
  <c r="D120" i="28"/>
  <c r="G12" s="1"/>
  <c r="C22" i="37" s="1"/>
  <c r="F22" s="1"/>
  <c r="D124" i="28"/>
  <c r="G31" s="1"/>
  <c r="D128"/>
  <c r="G133" s="1"/>
  <c r="C153" i="37" s="1"/>
  <c r="D126" i="10" s="1"/>
  <c r="D132" i="28"/>
  <c r="G100" s="1"/>
  <c r="D136"/>
  <c r="D140"/>
  <c r="C109" i="37" s="1"/>
  <c r="D148" i="10" s="1"/>
  <c r="D144" i="28"/>
  <c r="G110" s="1"/>
  <c r="D148"/>
  <c r="G37" s="1"/>
  <c r="D152"/>
  <c r="D156"/>
  <c r="C123" i="37" s="1"/>
  <c r="D86" i="10" s="1"/>
  <c r="D160" i="28"/>
  <c r="D164"/>
  <c r="G155" s="1"/>
  <c r="D168"/>
  <c r="G159" s="1"/>
  <c r="C114" i="37" s="1"/>
  <c r="D150" i="10" s="1"/>
  <c r="D172" i="28"/>
  <c r="G161" s="1"/>
  <c r="D176"/>
  <c r="D180"/>
  <c r="D8"/>
  <c r="D16"/>
  <c r="G105" s="1"/>
  <c r="D20"/>
  <c r="D28"/>
  <c r="G29" s="1"/>
  <c r="D36"/>
  <c r="D44"/>
  <c r="G65" s="1"/>
  <c r="C58" i="2" s="1"/>
  <c r="D57" i="10" s="1"/>
  <c r="D52" i="28"/>
  <c r="G60" s="1"/>
  <c r="J57" s="1"/>
  <c r="D73" i="25" s="1"/>
  <c r="D60" i="28"/>
  <c r="G48" s="1"/>
  <c r="D68"/>
  <c r="G43" s="1"/>
  <c r="D77"/>
  <c r="J103" s="1"/>
  <c r="D128" i="25" s="1"/>
  <c r="D85" i="28"/>
  <c r="G55" s="1"/>
  <c r="C48" i="2" s="1"/>
  <c r="D94" i="28"/>
  <c r="G77" s="1"/>
  <c r="J63" s="1"/>
  <c r="D80" i="25" s="1"/>
  <c r="J80" s="1"/>
  <c r="D102" i="28"/>
  <c r="G90" s="1"/>
  <c r="J30" s="1"/>
  <c r="D39" i="25" s="1"/>
  <c r="J39" s="1"/>
  <c r="S39" s="1"/>
  <c r="D111" i="28"/>
  <c r="G10" s="1"/>
  <c r="D119"/>
  <c r="G14" s="1"/>
  <c r="D127"/>
  <c r="G132" s="1"/>
  <c r="C152" i="37" s="1"/>
  <c r="D125" i="10" s="1"/>
  <c r="D135" i="28"/>
  <c r="G92" s="1"/>
  <c r="D143"/>
  <c r="G109" s="1"/>
  <c r="D151"/>
  <c r="G144" s="1"/>
  <c r="D111" i="25" s="1"/>
  <c r="D159" i="28"/>
  <c r="D167"/>
  <c r="G158" s="1"/>
  <c r="D175"/>
  <c r="D89"/>
  <c r="D15"/>
  <c r="G22" s="1"/>
  <c r="D19"/>
  <c r="D27"/>
  <c r="G104" s="1"/>
  <c r="C98" i="37" s="1"/>
  <c r="D35" i="28"/>
  <c r="D43"/>
  <c r="D51"/>
  <c r="G62" s="1"/>
  <c r="J59" s="1"/>
  <c r="D75" i="25" s="1"/>
  <c r="D63" i="28"/>
  <c r="G47" s="1"/>
  <c r="C34" i="2" s="1"/>
  <c r="D13" i="10" s="1"/>
  <c r="D67" i="28"/>
  <c r="G42" s="1"/>
  <c r="D76"/>
  <c r="J99" s="1"/>
  <c r="D129" i="25" s="1"/>
  <c r="O129" s="1"/>
  <c r="D84" i="28"/>
  <c r="G45" s="1"/>
  <c r="D93"/>
  <c r="G78" s="1"/>
  <c r="C68" i="2" s="1"/>
  <c r="D105" i="28"/>
  <c r="G89" s="1"/>
  <c r="J26" s="1"/>
  <c r="D35" i="25" s="1"/>
  <c r="D114" i="28"/>
  <c r="G8" s="1"/>
  <c r="D122"/>
  <c r="G125" s="1"/>
  <c r="D130"/>
  <c r="G98" s="1"/>
  <c r="D138"/>
  <c r="G136" s="1"/>
  <c r="C136" i="37" s="1"/>
  <c r="D110" i="10" s="1"/>
  <c r="D146" i="28"/>
  <c r="G142" s="1"/>
  <c r="C158" i="37" s="1"/>
  <c r="D142" i="10" s="1"/>
  <c r="D154" i="28"/>
  <c r="G148" s="1"/>
  <c r="C139" i="37" s="1"/>
  <c r="D113" i="10" s="1"/>
  <c r="D162" i="28"/>
  <c r="G153" s="1"/>
  <c r="C151" i="37" s="1"/>
  <c r="D104" i="10" s="1"/>
  <c r="D170" i="28"/>
  <c r="D178"/>
  <c r="D193"/>
  <c r="D187" i="25" s="1"/>
  <c r="D195" i="28"/>
  <c r="D189" i="25" s="1"/>
  <c r="F6" i="2"/>
  <c r="D194" i="28"/>
  <c r="D183"/>
  <c r="D5" i="42"/>
  <c r="F5" s="1"/>
  <c r="D5" i="41"/>
  <c r="F13" s="1"/>
  <c r="J177" i="10" s="1"/>
  <c r="F2" i="38"/>
  <c r="F2" i="41"/>
  <c r="D14" i="2"/>
  <c r="D15" s="1"/>
  <c r="D16" s="1"/>
  <c r="D17" s="1"/>
  <c r="D18" s="1"/>
  <c r="D19" s="1"/>
  <c r="D20" s="1"/>
  <c r="D196" i="28"/>
  <c r="D247" i="10"/>
  <c r="D301" s="1"/>
  <c r="D264"/>
  <c r="D304" s="1"/>
  <c r="D256"/>
  <c r="D274" s="1"/>
  <c r="D260"/>
  <c r="D326" s="1"/>
  <c r="Q182"/>
  <c r="M12" i="29"/>
  <c r="AW180" i="25"/>
  <c r="H180"/>
  <c r="M18" i="29"/>
  <c r="M16"/>
  <c r="H205" i="10"/>
  <c r="D5" i="38"/>
  <c r="AW184" i="25"/>
  <c r="H184"/>
  <c r="D6" i="28"/>
  <c r="AW183" i="25"/>
  <c r="F2" i="32"/>
  <c r="F1" i="37"/>
  <c r="D65"/>
  <c r="F64"/>
  <c r="H181" i="25"/>
  <c r="Q179" i="10"/>
  <c r="D241"/>
  <c r="D307" s="1"/>
  <c r="Q91"/>
  <c r="Q174"/>
  <c r="Q157"/>
  <c r="F1" i="2"/>
  <c r="D237" i="10"/>
  <c r="D338" s="1"/>
  <c r="D236"/>
  <c r="D337" s="1"/>
  <c r="E220"/>
  <c r="P198"/>
  <c r="D252"/>
  <c r="D332" s="1"/>
  <c r="O197"/>
  <c r="H332"/>
  <c r="I165" i="25"/>
  <c r="S165" s="1"/>
  <c r="U165" s="1"/>
  <c r="Q154" i="10"/>
  <c r="H183" i="25"/>
  <c r="D7" i="28"/>
  <c r="D192"/>
  <c r="D186" i="25" s="1"/>
  <c r="D191" i="28"/>
  <c r="D190"/>
  <c r="G151" s="1"/>
  <c r="C21" i="37" s="1"/>
  <c r="D3" i="28"/>
  <c r="F182" i="25"/>
  <c r="AE182" s="1"/>
  <c r="AG182" s="1"/>
  <c r="AK182" s="1"/>
  <c r="AD182" s="1"/>
  <c r="AW182"/>
  <c r="AW181"/>
  <c r="I26" i="32"/>
  <c r="G269" i="10"/>
  <c r="D32" i="32"/>
  <c r="E32" s="1"/>
  <c r="E33" s="1"/>
  <c r="E35" s="1"/>
  <c r="D5"/>
  <c r="D14" i="35"/>
  <c r="O14" s="1"/>
  <c r="AW168" i="25"/>
  <c r="E14" i="2"/>
  <c r="F7"/>
  <c r="C189"/>
  <c r="E8" i="35"/>
  <c r="AW167" i="25"/>
  <c r="P160" i="10"/>
  <c r="E5" i="2"/>
  <c r="F5" s="1"/>
  <c r="Q181" i="10"/>
  <c r="D231"/>
  <c r="Q96"/>
  <c r="Q184"/>
  <c r="Q160"/>
  <c r="G148" i="25"/>
  <c r="AW148"/>
  <c r="AW139"/>
  <c r="G139"/>
  <c r="AW155"/>
  <c r="G155"/>
  <c r="G144"/>
  <c r="AW144"/>
  <c r="Q132" i="10"/>
  <c r="I164" i="25"/>
  <c r="S164" s="1"/>
  <c r="U164" s="1"/>
  <c r="AW164"/>
  <c r="E219" i="10"/>
  <c r="M173" i="25"/>
  <c r="Q159" i="10"/>
  <c r="Q177"/>
  <c r="H167" i="25"/>
  <c r="O1" i="10"/>
  <c r="D235"/>
  <c r="D336" s="1"/>
  <c r="D251"/>
  <c r="D246"/>
  <c r="D300" s="1"/>
  <c r="D245"/>
  <c r="D299" s="1"/>
  <c r="Q180"/>
  <c r="Q178"/>
  <c r="Q155"/>
  <c r="U28" i="25" l="1"/>
  <c r="U39"/>
  <c r="U69"/>
  <c r="S184"/>
  <c r="U184" s="1"/>
  <c r="AE184"/>
  <c r="AG184" s="1"/>
  <c r="S183"/>
  <c r="U183" s="1"/>
  <c r="AE183"/>
  <c r="AG183" s="1"/>
  <c r="S181"/>
  <c r="U181" s="1"/>
  <c r="AE181"/>
  <c r="AG181" s="1"/>
  <c r="AK181" s="1"/>
  <c r="AD181" s="1"/>
  <c r="S180"/>
  <c r="U180" s="1"/>
  <c r="AE180"/>
  <c r="AG180" s="1"/>
  <c r="AK180" s="1"/>
  <c r="AD180" s="1"/>
  <c r="AE129"/>
  <c r="AG129" s="1"/>
  <c r="S148"/>
  <c r="U148" s="1"/>
  <c r="S80"/>
  <c r="S139"/>
  <c r="U139" s="1"/>
  <c r="S144"/>
  <c r="U144" s="1"/>
  <c r="S182"/>
  <c r="U182" s="1"/>
  <c r="S91"/>
  <c r="U91" s="1"/>
  <c r="S155"/>
  <c r="U155" s="1"/>
  <c r="I170" i="28"/>
  <c r="C147" i="37"/>
  <c r="D119" i="10" s="1"/>
  <c r="I168" i="28"/>
  <c r="I167"/>
  <c r="C135" i="37"/>
  <c r="D144" i="10" s="1"/>
  <c r="F14" i="38"/>
  <c r="I177" i="10" s="1"/>
  <c r="D6" i="41"/>
  <c r="F6" i="38"/>
  <c r="F13"/>
  <c r="I140" i="10" s="1"/>
  <c r="I184"/>
  <c r="C117" i="37"/>
  <c r="D175" i="25"/>
  <c r="C168" i="37"/>
  <c r="D116" i="10" s="1"/>
  <c r="Q116" s="1"/>
  <c r="C10" i="38"/>
  <c r="C132" i="37" s="1"/>
  <c r="D136" i="10" s="1"/>
  <c r="C44" i="2"/>
  <c r="D25" i="10" s="1"/>
  <c r="D62" i="25"/>
  <c r="C99" i="37"/>
  <c r="D162" i="10" s="1"/>
  <c r="G169" i="28"/>
  <c r="C45" i="2" s="1"/>
  <c r="D26" i="10" s="1"/>
  <c r="D50" i="40"/>
  <c r="D88" i="10"/>
  <c r="C46" i="2"/>
  <c r="D27" i="10" s="1"/>
  <c r="D64" i="25"/>
  <c r="D24" i="2"/>
  <c r="D25" s="1"/>
  <c r="D26" s="1"/>
  <c r="D27" s="1"/>
  <c r="G80" i="28"/>
  <c r="C70" i="2" s="1"/>
  <c r="C21"/>
  <c r="J122" i="25"/>
  <c r="S122" s="1"/>
  <c r="U122" s="1"/>
  <c r="AW122"/>
  <c r="Q57" i="10"/>
  <c r="H288" s="1"/>
  <c r="D288"/>
  <c r="C52" i="2"/>
  <c r="J160" i="28"/>
  <c r="D71" i="25" s="1"/>
  <c r="G58" i="28"/>
  <c r="C51" i="2" s="1"/>
  <c r="D125" i="25"/>
  <c r="F5" i="41"/>
  <c r="G41" i="28"/>
  <c r="C29" i="37" s="1"/>
  <c r="F29" s="1"/>
  <c r="F23" i="38"/>
  <c r="C113" i="37"/>
  <c r="D177" i="25"/>
  <c r="F5" i="38"/>
  <c r="I166" i="10" s="1"/>
  <c r="I187" i="25"/>
  <c r="AE187" s="1"/>
  <c r="AJ187" s="1"/>
  <c r="AK187" s="1"/>
  <c r="AD187" s="1"/>
  <c r="AM187" s="1"/>
  <c r="AP187" s="1"/>
  <c r="E49" i="40"/>
  <c r="J140" i="28"/>
  <c r="D13" i="35" s="1"/>
  <c r="O13" s="1"/>
  <c r="D188" i="25"/>
  <c r="M188" s="1"/>
  <c r="AE188" s="1"/>
  <c r="AJ188" s="1"/>
  <c r="AK188" s="1"/>
  <c r="AD188" s="1"/>
  <c r="AM188" s="1"/>
  <c r="AP188" s="1"/>
  <c r="G165" i="28"/>
  <c r="C83" i="2" s="1"/>
  <c r="D66" i="10" s="1"/>
  <c r="D295" s="1"/>
  <c r="M189" i="25"/>
  <c r="AE189" s="1"/>
  <c r="AJ189" s="1"/>
  <c r="AK189" s="1"/>
  <c r="AD189" s="1"/>
  <c r="AM189" s="1"/>
  <c r="AP189" s="1"/>
  <c r="D171"/>
  <c r="M33" i="29"/>
  <c r="E24" i="41"/>
  <c r="F24" s="1"/>
  <c r="E9" i="2"/>
  <c r="D9" s="1"/>
  <c r="E15"/>
  <c r="E16" s="1"/>
  <c r="E17" s="1"/>
  <c r="E18" s="1"/>
  <c r="E19" s="1"/>
  <c r="E20" s="1"/>
  <c r="F8"/>
  <c r="F9" s="1"/>
  <c r="F16" i="41"/>
  <c r="F14"/>
  <c r="F18"/>
  <c r="F17"/>
  <c r="F15"/>
  <c r="E20"/>
  <c r="F19"/>
  <c r="F12"/>
  <c r="E19" i="42"/>
  <c r="F17"/>
  <c r="F11"/>
  <c r="F14"/>
  <c r="F12"/>
  <c r="F18"/>
  <c r="F13"/>
  <c r="F16"/>
  <c r="F10"/>
  <c r="D6"/>
  <c r="F6" s="1"/>
  <c r="K158" i="10" s="1"/>
  <c r="F15" i="42"/>
  <c r="G118" i="28"/>
  <c r="K9" i="32"/>
  <c r="K13"/>
  <c r="K25"/>
  <c r="K16"/>
  <c r="K11"/>
  <c r="K15"/>
  <c r="K10"/>
  <c r="K14"/>
  <c r="F10"/>
  <c r="K17"/>
  <c r="K12"/>
  <c r="V166" i="10"/>
  <c r="R166" s="1"/>
  <c r="G95" i="28"/>
  <c r="V149" i="10"/>
  <c r="G166" i="28"/>
  <c r="F13" i="32"/>
  <c r="D147" i="25"/>
  <c r="G67" i="28"/>
  <c r="C60" i="2" s="1"/>
  <c r="F12" i="32"/>
  <c r="D21" i="2"/>
  <c r="D22" s="1"/>
  <c r="D23" s="1"/>
  <c r="G30" i="28"/>
  <c r="F9" i="32"/>
  <c r="G164" i="28"/>
  <c r="C82" i="2" s="1"/>
  <c r="D65" i="10" s="1"/>
  <c r="D294" s="1"/>
  <c r="J130" i="28"/>
  <c r="D160" i="25" s="1"/>
  <c r="J45" i="28"/>
  <c r="D54" i="25" s="1"/>
  <c r="C38" i="2"/>
  <c r="J42" i="28"/>
  <c r="D51" i="25" s="1"/>
  <c r="N51" s="1"/>
  <c r="C35" i="2"/>
  <c r="D14" i="10" s="1"/>
  <c r="D308" s="1"/>
  <c r="D16"/>
  <c r="D310" s="1"/>
  <c r="J43" i="28"/>
  <c r="D52" i="25" s="1"/>
  <c r="C36" i="2"/>
  <c r="D15" i="10" s="1"/>
  <c r="D309" s="1"/>
  <c r="J39" i="28"/>
  <c r="D48" i="25" s="1"/>
  <c r="C32" i="2"/>
  <c r="J36" i="28"/>
  <c r="D45" i="25" s="1"/>
  <c r="C29" i="2"/>
  <c r="D8" i="10" s="1"/>
  <c r="C30" i="2"/>
  <c r="D9" i="10" s="1"/>
  <c r="Q9" s="1"/>
  <c r="F12" i="38"/>
  <c r="I137" i="10" s="1"/>
  <c r="G120" i="28"/>
  <c r="F18" i="38"/>
  <c r="C101" i="37"/>
  <c r="D176" i="10" s="1"/>
  <c r="D179" i="25"/>
  <c r="F11" i="32"/>
  <c r="C94" i="37"/>
  <c r="J129" i="28"/>
  <c r="D159" i="25" s="1"/>
  <c r="G102" i="28"/>
  <c r="F5" i="32" s="1"/>
  <c r="C27" i="2"/>
  <c r="C116" i="37"/>
  <c r="J155" i="28"/>
  <c r="D162" i="25" s="1"/>
  <c r="C81" i="2"/>
  <c r="D64" i="10" s="1"/>
  <c r="D293" s="1"/>
  <c r="J156" i="28"/>
  <c r="D21" i="25" s="1"/>
  <c r="J154" i="28"/>
  <c r="D100" i="25" s="1"/>
  <c r="C121" i="37"/>
  <c r="J71" i="28"/>
  <c r="D89" i="25" s="1"/>
  <c r="E89" s="1"/>
  <c r="Q110" i="10"/>
  <c r="K8" i="32"/>
  <c r="C41" i="2"/>
  <c r="G106" i="28"/>
  <c r="C102" i="37" s="1"/>
  <c r="D166" i="10" s="1"/>
  <c r="C122" i="37"/>
  <c r="D82" i="10" s="1"/>
  <c r="C141" i="37"/>
  <c r="D138" i="10" s="1"/>
  <c r="C144" i="37"/>
  <c r="D118" i="10" s="1"/>
  <c r="F8" i="32"/>
  <c r="F7" i="38"/>
  <c r="I178" i="10" s="1"/>
  <c r="J133" i="28"/>
  <c r="D11" i="35" s="1"/>
  <c r="C16" i="37"/>
  <c r="C20" i="2"/>
  <c r="D71" i="10" s="1"/>
  <c r="F21" i="37"/>
  <c r="H71" i="10" s="1"/>
  <c r="J12" i="28"/>
  <c r="D18" i="25" s="1"/>
  <c r="E18" s="1"/>
  <c r="C17" i="37"/>
  <c r="J6" i="28"/>
  <c r="D11" i="25" s="1"/>
  <c r="F26" i="37"/>
  <c r="H75" i="10" s="1"/>
  <c r="F25" i="32"/>
  <c r="J8" i="28"/>
  <c r="D14" i="25" s="1"/>
  <c r="E14" s="1"/>
  <c r="C13" i="37"/>
  <c r="J13" i="28"/>
  <c r="D19" i="25" s="1"/>
  <c r="E19" s="1"/>
  <c r="C20" i="37"/>
  <c r="J7" i="28"/>
  <c r="D12" i="25" s="1"/>
  <c r="C19" i="37"/>
  <c r="J10" i="28"/>
  <c r="D16" i="25" s="1"/>
  <c r="E16" s="1"/>
  <c r="C15" i="37"/>
  <c r="J9" i="28"/>
  <c r="D15" i="25" s="1"/>
  <c r="E15" s="1"/>
  <c r="C14" i="37"/>
  <c r="C23"/>
  <c r="C24"/>
  <c r="F6" i="32"/>
  <c r="G119" i="28"/>
  <c r="C129" i="37" s="1"/>
  <c r="D107" i="10" s="1"/>
  <c r="D59"/>
  <c r="Q59" s="1"/>
  <c r="C80" i="2"/>
  <c r="C95" i="37"/>
  <c r="C167"/>
  <c r="D115" i="10" s="1"/>
  <c r="D123" i="25"/>
  <c r="C79" i="2"/>
  <c r="J100" i="28"/>
  <c r="D130" i="25" s="1"/>
  <c r="AW130" s="1"/>
  <c r="J127" i="28"/>
  <c r="D157" i="25" s="1"/>
  <c r="AW157" s="1"/>
  <c r="C91" i="37"/>
  <c r="D134" i="10" s="1"/>
  <c r="C166" i="37"/>
  <c r="D127" i="10" s="1"/>
  <c r="J66" i="28"/>
  <c r="D83" i="25" s="1"/>
  <c r="D100" i="10"/>
  <c r="C137" i="37"/>
  <c r="C78"/>
  <c r="D89" i="10" s="1"/>
  <c r="J138" i="28"/>
  <c r="D170" i="25" s="1"/>
  <c r="C43" i="2"/>
  <c r="J153" i="28"/>
  <c r="D61" i="25" s="1"/>
  <c r="C162" i="37"/>
  <c r="D129" i="10" s="1"/>
  <c r="J67" i="28"/>
  <c r="D84" i="25" s="1"/>
  <c r="F84" s="1"/>
  <c r="D102" i="10"/>
  <c r="J128" i="28"/>
  <c r="D158" i="25" s="1"/>
  <c r="E158" s="1"/>
  <c r="C86" i="37"/>
  <c r="D146" i="10" s="1"/>
  <c r="J126" i="28"/>
  <c r="D156" i="25" s="1"/>
  <c r="C90" i="37"/>
  <c r="D133" i="10" s="1"/>
  <c r="J74" i="28"/>
  <c r="D92" i="25" s="1"/>
  <c r="D117" i="10"/>
  <c r="J124" i="28"/>
  <c r="D154" i="25" s="1"/>
  <c r="AW154" s="1"/>
  <c r="C88" i="37"/>
  <c r="D131" i="10" s="1"/>
  <c r="C83" i="37"/>
  <c r="D94" i="10" s="1"/>
  <c r="J78" i="28"/>
  <c r="D97" i="25" s="1"/>
  <c r="H97" s="1"/>
  <c r="D80" i="10"/>
  <c r="C105" i="37"/>
  <c r="D169" i="10" s="1"/>
  <c r="J84" i="28"/>
  <c r="D106" i="25" s="1"/>
  <c r="C161" i="37"/>
  <c r="D124" i="10" s="1"/>
  <c r="C42" i="2"/>
  <c r="J152" i="28"/>
  <c r="D60" i="25" s="1"/>
  <c r="J98" i="28"/>
  <c r="D127" i="25" s="1"/>
  <c r="C81" i="37"/>
  <c r="D92" i="10" s="1"/>
  <c r="C104" i="37"/>
  <c r="D168" i="10" s="1"/>
  <c r="G111" i="25"/>
  <c r="S111" s="1"/>
  <c r="U111" s="1"/>
  <c r="C125" i="37"/>
  <c r="D105" i="10" s="1"/>
  <c r="J65" i="28"/>
  <c r="D82" i="25" s="1"/>
  <c r="F82" s="1"/>
  <c r="D99" i="10"/>
  <c r="C159" i="37"/>
  <c r="D143" i="10" s="1"/>
  <c r="J109" i="28"/>
  <c r="D138" i="25" s="1"/>
  <c r="C79" i="37"/>
  <c r="D90" i="10" s="1"/>
  <c r="J123" i="28"/>
  <c r="D153" i="25" s="1"/>
  <c r="G153" s="1"/>
  <c r="C106" i="37"/>
  <c r="D170" i="10" s="1"/>
  <c r="C85" i="37"/>
  <c r="D97" i="10" s="1"/>
  <c r="D84"/>
  <c r="J120" i="28"/>
  <c r="D150" i="25" s="1"/>
  <c r="AW150" s="1"/>
  <c r="C103" i="37"/>
  <c r="D167" i="10" s="1"/>
  <c r="J75" i="28"/>
  <c r="D93" i="25" s="1"/>
  <c r="C160" i="37"/>
  <c r="D123" i="10" s="1"/>
  <c r="C96" i="37"/>
  <c r="J77" i="28"/>
  <c r="D96" i="25" s="1"/>
  <c r="H96" s="1"/>
  <c r="AE96" s="1"/>
  <c r="AG96" s="1"/>
  <c r="D79" i="10"/>
  <c r="J94" i="28"/>
  <c r="D117" i="25" s="1"/>
  <c r="F14" i="32"/>
  <c r="D66" i="37"/>
  <c r="F65"/>
  <c r="J79" i="28"/>
  <c r="D99" i="25" s="1"/>
  <c r="J27" i="28"/>
  <c r="D36" i="25" s="1"/>
  <c r="J36" s="1"/>
  <c r="G63" i="28"/>
  <c r="C57" i="2" s="1"/>
  <c r="I192" i="25"/>
  <c r="J44" i="28"/>
  <c r="D53" i="25" s="1"/>
  <c r="D40" i="10"/>
  <c r="D340" s="1"/>
  <c r="J122" i="28"/>
  <c r="D152" i="25" s="1"/>
  <c r="G152" s="1"/>
  <c r="C67" i="2"/>
  <c r="J85" i="28"/>
  <c r="D107" i="25" s="1"/>
  <c r="H107" s="1"/>
  <c r="C66" i="2"/>
  <c r="C53"/>
  <c r="J104" i="28"/>
  <c r="D133" i="25" s="1"/>
  <c r="J108" i="28"/>
  <c r="D137" i="25" s="1"/>
  <c r="G137" s="1"/>
  <c r="J113" i="28"/>
  <c r="D142" i="25" s="1"/>
  <c r="G142" s="1"/>
  <c r="S142" s="1"/>
  <c r="U142" s="1"/>
  <c r="G140" i="28"/>
  <c r="J70"/>
  <c r="D88" i="25" s="1"/>
  <c r="F88" s="1"/>
  <c r="AE88" s="1"/>
  <c r="AG88" s="1"/>
  <c r="G39" i="28"/>
  <c r="C27" i="37" s="1"/>
  <c r="F27" s="1"/>
  <c r="D55" i="10"/>
  <c r="J53" i="28"/>
  <c r="D68" i="25" s="1"/>
  <c r="N68" s="1"/>
  <c r="S68" s="1"/>
  <c r="J34"/>
  <c r="F20" i="32"/>
  <c r="M31" i="29"/>
  <c r="D185" i="25" s="1"/>
  <c r="M32" i="29"/>
  <c r="G94" i="28"/>
  <c r="J18"/>
  <c r="D27" i="25" s="1"/>
  <c r="D47" i="10" s="1"/>
  <c r="D279" s="1"/>
  <c r="J34" i="28"/>
  <c r="D43" i="25" s="1"/>
  <c r="J101" i="28"/>
  <c r="D131" i="25" s="1"/>
  <c r="F16" i="32"/>
  <c r="F18"/>
  <c r="E21"/>
  <c r="Q150" i="10"/>
  <c r="D190" i="25"/>
  <c r="AE190" s="1"/>
  <c r="J23" i="28"/>
  <c r="D32" i="25" s="1"/>
  <c r="G160" i="28"/>
  <c r="D191" i="25" s="1"/>
  <c r="AE191" s="1"/>
  <c r="Q151" i="10"/>
  <c r="J73" i="25"/>
  <c r="J116" i="28"/>
  <c r="D145" i="25" s="1"/>
  <c r="AW145" s="1"/>
  <c r="N55"/>
  <c r="J28" i="28"/>
  <c r="D37" i="25" s="1"/>
  <c r="J14" i="28"/>
  <c r="D20" i="25" s="1"/>
  <c r="E20" s="1"/>
  <c r="J38" i="28"/>
  <c r="D47" i="25" s="1"/>
  <c r="J81" i="28"/>
  <c r="D102" i="25" s="1"/>
  <c r="J134" i="28"/>
  <c r="D12" i="35" s="1"/>
  <c r="J49" i="28"/>
  <c r="D58" i="25" s="1"/>
  <c r="N58" s="1"/>
  <c r="J80" i="28"/>
  <c r="D101" i="25" s="1"/>
  <c r="C39" i="2"/>
  <c r="D18" i="10" s="1"/>
  <c r="D312" s="1"/>
  <c r="G99" i="28"/>
  <c r="J16"/>
  <c r="D25" i="25" s="1"/>
  <c r="J25" s="1"/>
  <c r="J112" i="28"/>
  <c r="D141" i="25" s="1"/>
  <c r="G138" i="28"/>
  <c r="AW129" i="25"/>
  <c r="J86" i="28"/>
  <c r="D108" i="25" s="1"/>
  <c r="J114" i="28"/>
  <c r="D143" i="25" s="1"/>
  <c r="C54" i="2"/>
  <c r="F19" i="32"/>
  <c r="F15"/>
  <c r="K6"/>
  <c r="F7"/>
  <c r="F17"/>
  <c r="N132" i="25"/>
  <c r="C56" i="2"/>
  <c r="D35" i="10" s="1"/>
  <c r="Q35" s="1"/>
  <c r="C50" i="2"/>
  <c r="D29" i="10" s="1"/>
  <c r="D50"/>
  <c r="Q50" s="1"/>
  <c r="G93" i="28"/>
  <c r="J37"/>
  <c r="D46" i="25" s="1"/>
  <c r="J4" i="28"/>
  <c r="D9" i="25" s="1"/>
  <c r="C78" i="2"/>
  <c r="D53" i="10"/>
  <c r="D283" s="1"/>
  <c r="C75" i="2"/>
  <c r="J75" i="25"/>
  <c r="K116"/>
  <c r="J41" i="28"/>
  <c r="D50" i="25" s="1"/>
  <c r="C72" i="2"/>
  <c r="C55"/>
  <c r="J61" i="28"/>
  <c r="D77" i="25" s="1"/>
  <c r="J105" i="28"/>
  <c r="D134" i="25" s="1"/>
  <c r="J82" i="28"/>
  <c r="D104" i="25" s="1"/>
  <c r="J15" i="28"/>
  <c r="D24" i="25" s="1"/>
  <c r="J24" s="1"/>
  <c r="G129" i="28"/>
  <c r="C74" i="2"/>
  <c r="J72" i="28"/>
  <c r="D90" i="25" s="1"/>
  <c r="J139" i="28"/>
  <c r="D172" i="25" s="1"/>
  <c r="AW172" s="1"/>
  <c r="N57"/>
  <c r="J137" i="28"/>
  <c r="D169" i="25" s="1"/>
  <c r="J74"/>
  <c r="C47" i="2"/>
  <c r="D20" i="10" s="1"/>
  <c r="D314" s="1"/>
  <c r="J52" i="28"/>
  <c r="D67" i="25" s="1"/>
  <c r="J83" i="28"/>
  <c r="D105" i="25" s="1"/>
  <c r="J87" i="28"/>
  <c r="D109" i="25" s="1"/>
  <c r="J33"/>
  <c r="AW116"/>
  <c r="J68" i="28"/>
  <c r="D85" i="25" s="1"/>
  <c r="F85" s="1"/>
  <c r="J30"/>
  <c r="D48" i="10"/>
  <c r="J111" i="28"/>
  <c r="D140" i="25" s="1"/>
  <c r="AW140" s="1"/>
  <c r="J107" i="28"/>
  <c r="D136" i="25" s="1"/>
  <c r="J121" i="28"/>
  <c r="D151" i="25" s="1"/>
  <c r="J11" i="28"/>
  <c r="D17" i="25" s="1"/>
  <c r="J95" i="28"/>
  <c r="D118" i="25" s="1"/>
  <c r="C77" i="2"/>
  <c r="G71" i="28"/>
  <c r="C112" i="37" s="1"/>
  <c r="D172" i="10" s="1"/>
  <c r="D176" i="25"/>
  <c r="J35"/>
  <c r="G139" i="28"/>
  <c r="C157" i="37" s="1"/>
  <c r="D145" i="10" s="1"/>
  <c r="F14" i="35"/>
  <c r="J149" i="28"/>
  <c r="D98" i="25" s="1"/>
  <c r="Q81" i="10"/>
  <c r="J148" i="28"/>
  <c r="D86" i="25" s="1"/>
  <c r="Q104" i="10"/>
  <c r="J147" i="28"/>
  <c r="D121" i="25" s="1"/>
  <c r="Q114" i="10"/>
  <c r="J150" i="28"/>
  <c r="D78" i="25" s="1"/>
  <c r="C65" i="2"/>
  <c r="D38" i="10" s="1"/>
  <c r="Q38" s="1"/>
  <c r="C73" i="2"/>
  <c r="J20" i="28"/>
  <c r="D29" i="25" s="1"/>
  <c r="K7" i="32"/>
  <c r="K5"/>
  <c r="K18"/>
  <c r="K20"/>
  <c r="K19"/>
  <c r="G69" i="28"/>
  <c r="D178" i="25" s="1"/>
  <c r="J69" i="28"/>
  <c r="D87" i="25" s="1"/>
  <c r="G146" i="28"/>
  <c r="G222" i="10"/>
  <c r="G223"/>
  <c r="G150" i="28"/>
  <c r="G16" s="1"/>
  <c r="J144"/>
  <c r="D94" i="25" s="1"/>
  <c r="J142" i="28"/>
  <c r="D119" i="25" s="1"/>
  <c r="J92" i="28"/>
  <c r="D115" i="25" s="1"/>
  <c r="G145" i="28"/>
  <c r="C130" i="37" s="1"/>
  <c r="D108" i="10" s="1"/>
  <c r="J143" i="28"/>
  <c r="D120" i="25" s="1"/>
  <c r="D39" i="10"/>
  <c r="D339" s="1"/>
  <c r="J31" i="25"/>
  <c r="D51" i="10"/>
  <c r="D21"/>
  <c r="Q142"/>
  <c r="AW111" i="25"/>
  <c r="J79"/>
  <c r="S79" s="1"/>
  <c r="E221" i="10"/>
  <c r="M192" i="25"/>
  <c r="N72"/>
  <c r="S72" s="1"/>
  <c r="AW128"/>
  <c r="O128"/>
  <c r="AE128" s="1"/>
  <c r="AG128" s="1"/>
  <c r="D28" i="10"/>
  <c r="D324" s="1"/>
  <c r="Q54"/>
  <c r="D230"/>
  <c r="D232" s="1"/>
  <c r="D331"/>
  <c r="J88" i="28"/>
  <c r="D110" i="25" s="1"/>
  <c r="AW114"/>
  <c r="K114"/>
  <c r="AE114" s="1"/>
  <c r="AG114" s="1"/>
  <c r="F6" i="41" l="1"/>
  <c r="J185" i="10" s="1"/>
  <c r="L185" s="1"/>
  <c r="P185" s="1"/>
  <c r="E25" i="41"/>
  <c r="F25" s="1"/>
  <c r="F26" s="1"/>
  <c r="U80" i="25"/>
  <c r="U72"/>
  <c r="U79"/>
  <c r="U68"/>
  <c r="AG190"/>
  <c r="AG191"/>
  <c r="AE107"/>
  <c r="AG107" s="1"/>
  <c r="AE82"/>
  <c r="AE97"/>
  <c r="AG97" s="1"/>
  <c r="AE116"/>
  <c r="AG116" s="1"/>
  <c r="AE85"/>
  <c r="AG85" s="1"/>
  <c r="AE84"/>
  <c r="AG84" s="1"/>
  <c r="S36"/>
  <c r="S153"/>
  <c r="U153" s="1"/>
  <c r="S15"/>
  <c r="S14"/>
  <c r="S20"/>
  <c r="S73"/>
  <c r="S137"/>
  <c r="U137" s="1"/>
  <c r="S18"/>
  <c r="S89"/>
  <c r="U89" s="1"/>
  <c r="S51"/>
  <c r="S55"/>
  <c r="S152"/>
  <c r="U152" s="1"/>
  <c r="S31"/>
  <c r="S57"/>
  <c r="S24"/>
  <c r="S75"/>
  <c r="S25"/>
  <c r="S58"/>
  <c r="S33"/>
  <c r="S35"/>
  <c r="S30"/>
  <c r="S74"/>
  <c r="S132"/>
  <c r="U132" s="1"/>
  <c r="S34"/>
  <c r="S158"/>
  <c r="U158" s="1"/>
  <c r="S16"/>
  <c r="S19"/>
  <c r="I171" i="28"/>
  <c r="I172" s="1"/>
  <c r="G121"/>
  <c r="F10" i="38"/>
  <c r="I136" i="10" s="1"/>
  <c r="E11" i="35"/>
  <c r="H11" s="1"/>
  <c r="O11"/>
  <c r="D7" i="41"/>
  <c r="C156" i="37"/>
  <c r="D140" i="10" s="1"/>
  <c r="D63" i="25"/>
  <c r="N63" s="1"/>
  <c r="S63" s="1"/>
  <c r="J175"/>
  <c r="S175" s="1"/>
  <c r="U175" s="1"/>
  <c r="AW175"/>
  <c r="AS175"/>
  <c r="D173" i="10"/>
  <c r="C133" i="37"/>
  <c r="D137" i="10" s="1"/>
  <c r="C107" i="2"/>
  <c r="C9" i="38"/>
  <c r="E50" i="40"/>
  <c r="N62" i="25"/>
  <c r="S62" s="1"/>
  <c r="C11" i="38"/>
  <c r="F11" s="1"/>
  <c r="I139" i="10" s="1"/>
  <c r="D51" i="40"/>
  <c r="F49" s="1"/>
  <c r="G49" s="1"/>
  <c r="D16" s="1"/>
  <c r="D27" s="1"/>
  <c r="E27" s="1"/>
  <c r="D319" i="10"/>
  <c r="Q25"/>
  <c r="H319" s="1"/>
  <c r="J17" i="28"/>
  <c r="D26" i="25" s="1"/>
  <c r="J26" s="1"/>
  <c r="D70" i="10"/>
  <c r="D321"/>
  <c r="Q27"/>
  <c r="H321" s="1"/>
  <c r="N64" i="25"/>
  <c r="S64" s="1"/>
  <c r="D320" i="10"/>
  <c r="Q26"/>
  <c r="H320" s="1"/>
  <c r="AS122" i="25"/>
  <c r="AS62"/>
  <c r="AS64"/>
  <c r="H10" i="2"/>
  <c r="D345" i="10"/>
  <c r="Q21"/>
  <c r="H315" s="1"/>
  <c r="D315"/>
  <c r="H230"/>
  <c r="H232" s="1"/>
  <c r="H284"/>
  <c r="Q51"/>
  <c r="Q55"/>
  <c r="H286" s="1"/>
  <c r="D286"/>
  <c r="Q48"/>
  <c r="H280" s="1"/>
  <c r="D280"/>
  <c r="AS71" i="25"/>
  <c r="H7" i="10"/>
  <c r="J55" i="28"/>
  <c r="D70" i="25" s="1"/>
  <c r="N71"/>
  <c r="S71" s="1"/>
  <c r="D31" i="10"/>
  <c r="D30"/>
  <c r="Q136"/>
  <c r="AW125" i="25"/>
  <c r="O125"/>
  <c r="AE125" s="1"/>
  <c r="AG125" s="1"/>
  <c r="AS125"/>
  <c r="J35" i="28"/>
  <c r="D44" i="25" s="1"/>
  <c r="N177"/>
  <c r="S177" s="1"/>
  <c r="U177" s="1"/>
  <c r="AW177"/>
  <c r="AS177"/>
  <c r="D171" i="10"/>
  <c r="Q171" s="1"/>
  <c r="C108" i="37"/>
  <c r="D147" i="10" s="1"/>
  <c r="J158" i="28"/>
  <c r="D23" i="25" s="1"/>
  <c r="E23" s="1"/>
  <c r="AS171"/>
  <c r="AW171"/>
  <c r="H171"/>
  <c r="AE171" s="1"/>
  <c r="AG171" s="1"/>
  <c r="AS11"/>
  <c r="J90" i="28"/>
  <c r="D113" i="25" s="1"/>
  <c r="C128" i="37"/>
  <c r="I186" i="25"/>
  <c r="AE186" s="1"/>
  <c r="AJ186" s="1"/>
  <c r="E21" i="2"/>
  <c r="E22" s="1"/>
  <c r="E23" s="1"/>
  <c r="E24" s="1"/>
  <c r="E25" s="1"/>
  <c r="E26" s="1"/>
  <c r="E27" s="1"/>
  <c r="F27" s="1"/>
  <c r="I149" i="10"/>
  <c r="C110" i="37"/>
  <c r="D149" i="10" s="1"/>
  <c r="D7" i="42"/>
  <c r="D8" s="1"/>
  <c r="F7" i="41"/>
  <c r="D8"/>
  <c r="F8" s="1"/>
  <c r="J131" i="28"/>
  <c r="D161" i="25" s="1"/>
  <c r="AW161" s="1"/>
  <c r="C111" i="37"/>
  <c r="D98" i="10" s="1"/>
  <c r="Q98" s="1"/>
  <c r="C19" i="42"/>
  <c r="C24" s="1"/>
  <c r="Y106" i="10"/>
  <c r="D11"/>
  <c r="D263" s="1"/>
  <c r="D265" s="1"/>
  <c r="D303" s="1"/>
  <c r="R149"/>
  <c r="V187"/>
  <c r="J159" i="28"/>
  <c r="J31"/>
  <c r="D40" i="25" s="1"/>
  <c r="G175" i="28"/>
  <c r="D165" i="10"/>
  <c r="Q165" s="1"/>
  <c r="J117" i="28"/>
  <c r="D146" i="25" s="1"/>
  <c r="G147"/>
  <c r="S147" s="1"/>
  <c r="U147" s="1"/>
  <c r="AW147"/>
  <c r="AS147"/>
  <c r="D60" i="10"/>
  <c r="D290" s="1"/>
  <c r="AW160" i="25"/>
  <c r="G160"/>
  <c r="E188" i="10"/>
  <c r="J157" i="28"/>
  <c r="D22" i="25" s="1"/>
  <c r="AS22" s="1"/>
  <c r="N52"/>
  <c r="N48"/>
  <c r="J96" i="28"/>
  <c r="D124" i="25" s="1"/>
  <c r="AW124" s="1"/>
  <c r="N54"/>
  <c r="G68" i="28"/>
  <c r="C61" i="2" s="1"/>
  <c r="C28"/>
  <c r="C63"/>
  <c r="H77" i="10"/>
  <c r="D17"/>
  <c r="N45" i="25"/>
  <c r="AW179"/>
  <c r="J179"/>
  <c r="S179" s="1"/>
  <c r="U179" s="1"/>
  <c r="AS179"/>
  <c r="AW178"/>
  <c r="J178"/>
  <c r="S178" s="1"/>
  <c r="U178" s="1"/>
  <c r="AS178"/>
  <c r="D164" i="10"/>
  <c r="D28" i="2"/>
  <c r="D29" s="1"/>
  <c r="D30" s="1"/>
  <c r="D31" s="1"/>
  <c r="D32" s="1"/>
  <c r="D33" s="1"/>
  <c r="D34" s="1"/>
  <c r="D35" s="1"/>
  <c r="D36" s="1"/>
  <c r="D37" s="1"/>
  <c r="D38" s="1"/>
  <c r="D39" s="1"/>
  <c r="D40" s="1"/>
  <c r="Q64" i="10"/>
  <c r="H293" s="1"/>
  <c r="Q66"/>
  <c r="H295" s="1"/>
  <c r="Q65"/>
  <c r="H294" s="1"/>
  <c r="D259"/>
  <c r="AS162" i="25"/>
  <c r="H6" i="10"/>
  <c r="C93" i="37"/>
  <c r="D152" i="10"/>
  <c r="Q152" s="1"/>
  <c r="AW159" i="25"/>
  <c r="D83" i="10"/>
  <c r="Q83" s="1"/>
  <c r="AW162" i="25"/>
  <c r="G162"/>
  <c r="S162" s="1"/>
  <c r="U162" s="1"/>
  <c r="G159"/>
  <c r="E21"/>
  <c r="AS100"/>
  <c r="AW100"/>
  <c r="H100"/>
  <c r="AE100" s="1"/>
  <c r="AG100" s="1"/>
  <c r="H101"/>
  <c r="AE101" s="1"/>
  <c r="AG101" s="1"/>
  <c r="AS101"/>
  <c r="AW101"/>
  <c r="AS21"/>
  <c r="Q105" i="10"/>
  <c r="Q127"/>
  <c r="Q97"/>
  <c r="Q168"/>
  <c r="Q115"/>
  <c r="Q90"/>
  <c r="Q131"/>
  <c r="Q145"/>
  <c r="Q92"/>
  <c r="Q133"/>
  <c r="AS184" i="25"/>
  <c r="AS180"/>
  <c r="J151" i="28"/>
  <c r="D59" i="25" s="1"/>
  <c r="N59" s="1"/>
  <c r="S59" s="1"/>
  <c r="J119" i="28"/>
  <c r="D149" i="25" s="1"/>
  <c r="AW149" s="1"/>
  <c r="D6" i="10"/>
  <c r="Q6" s="1"/>
  <c r="G11" i="25"/>
  <c r="F20" i="2"/>
  <c r="F188" i="10"/>
  <c r="K29" i="32"/>
  <c r="C25" i="37"/>
  <c r="AW153" i="25"/>
  <c r="C25" i="2"/>
  <c r="E12" i="25"/>
  <c r="AW156"/>
  <c r="I185"/>
  <c r="C23" i="2"/>
  <c r="F24" i="37"/>
  <c r="C18" i="2"/>
  <c r="F18" s="1"/>
  <c r="G68" i="10" s="1"/>
  <c r="F19" i="37"/>
  <c r="H68" i="10" s="1"/>
  <c r="C17" i="2"/>
  <c r="F17" s="1"/>
  <c r="G63" i="10" s="1"/>
  <c r="F17" i="37"/>
  <c r="H63" i="10" s="1"/>
  <c r="C16" i="2"/>
  <c r="D62" i="10"/>
  <c r="D291" s="1"/>
  <c r="F16" i="37"/>
  <c r="H62" i="10" s="1"/>
  <c r="H5"/>
  <c r="C22" i="2"/>
  <c r="F23" i="37"/>
  <c r="C15" i="2"/>
  <c r="D56" i="10" s="1"/>
  <c r="F15" i="37"/>
  <c r="H56" i="10" s="1"/>
  <c r="C19" i="2"/>
  <c r="F19" s="1"/>
  <c r="G69" i="10" s="1"/>
  <c r="F20" i="37"/>
  <c r="H69" i="10" s="1"/>
  <c r="C13" i="2"/>
  <c r="F13" i="37"/>
  <c r="H42" i="10" s="1"/>
  <c r="H70"/>
  <c r="AW97" i="25"/>
  <c r="G150"/>
  <c r="C14" i="2"/>
  <c r="F14" s="1"/>
  <c r="G43" i="10" s="1"/>
  <c r="F14" i="37"/>
  <c r="H43" i="10" s="1"/>
  <c r="AW117" i="25"/>
  <c r="Q89" i="10"/>
  <c r="G138" i="25"/>
  <c r="O130"/>
  <c r="J146" i="28"/>
  <c r="D13" i="25" s="1"/>
  <c r="D111" i="10"/>
  <c r="D161"/>
  <c r="AS123" i="25"/>
  <c r="G154"/>
  <c r="H170"/>
  <c r="Q143" i="10"/>
  <c r="G157" i="25"/>
  <c r="F83"/>
  <c r="E190" i="10"/>
  <c r="K123" i="25"/>
  <c r="AE123" s="1"/>
  <c r="AG123" s="1"/>
  <c r="AW123"/>
  <c r="D95" i="10"/>
  <c r="Q95" s="1"/>
  <c r="N60" i="25"/>
  <c r="S60" s="1"/>
  <c r="AS60"/>
  <c r="N61"/>
  <c r="S61" s="1"/>
  <c r="AS61"/>
  <c r="Q129" i="10"/>
  <c r="Q169"/>
  <c r="Q94"/>
  <c r="O127" i="25"/>
  <c r="G156"/>
  <c r="AW138"/>
  <c r="AW158"/>
  <c r="AW127"/>
  <c r="C165" i="37"/>
  <c r="D130" i="10" s="1"/>
  <c r="G73" i="28"/>
  <c r="C57" i="37" s="1"/>
  <c r="F57" s="1"/>
  <c r="C148"/>
  <c r="D109" i="10" s="1"/>
  <c r="D23"/>
  <c r="D317" s="1"/>
  <c r="D24"/>
  <c r="D318" s="1"/>
  <c r="AW96" i="25"/>
  <c r="AW170"/>
  <c r="E93"/>
  <c r="K117"/>
  <c r="AE117" s="1"/>
  <c r="AG117" s="1"/>
  <c r="J141" i="28"/>
  <c r="D174" i="25" s="1"/>
  <c r="K174" s="1"/>
  <c r="C107" i="37"/>
  <c r="H106" i="25"/>
  <c r="AE106" s="1"/>
  <c r="AG106" s="1"/>
  <c r="C100" i="37"/>
  <c r="D175" i="10" s="1"/>
  <c r="E92" i="25"/>
  <c r="D67" i="37"/>
  <c r="F66"/>
  <c r="AW99" i="25"/>
  <c r="H99"/>
  <c r="N53"/>
  <c r="AW152"/>
  <c r="Q40" i="10"/>
  <c r="H340" s="1"/>
  <c r="AW142" i="25"/>
  <c r="J60" i="28"/>
  <c r="D76" i="25" s="1"/>
  <c r="J76" s="1"/>
  <c r="AW88"/>
  <c r="E9"/>
  <c r="S9" s="1"/>
  <c r="AW121"/>
  <c r="AS121"/>
  <c r="AW143"/>
  <c r="J33" i="28"/>
  <c r="D42" i="25" s="1"/>
  <c r="N133"/>
  <c r="D32" i="10"/>
  <c r="AW137" i="25"/>
  <c r="J27"/>
  <c r="N43"/>
  <c r="F191" i="10"/>
  <c r="L191" s="1"/>
  <c r="Q47"/>
  <c r="H279" s="1"/>
  <c r="AW131" i="25"/>
  <c r="D52" i="10"/>
  <c r="Q52" s="1"/>
  <c r="O131" i="25"/>
  <c r="G145"/>
  <c r="H102"/>
  <c r="D22" i="10"/>
  <c r="D316" s="1"/>
  <c r="Q167"/>
  <c r="N47" i="25"/>
  <c r="J32"/>
  <c r="AS160"/>
  <c r="AS72"/>
  <c r="H108"/>
  <c r="G143"/>
  <c r="AS158"/>
  <c r="Q18" i="10"/>
  <c r="H312" s="1"/>
  <c r="D34"/>
  <c r="D333" s="1"/>
  <c r="J37" i="25"/>
  <c r="S37" s="1"/>
  <c r="Q134" i="10"/>
  <c r="N46" i="25"/>
  <c r="Q14" i="10"/>
  <c r="H308" s="1"/>
  <c r="Q170"/>
  <c r="AW141" i="25"/>
  <c r="G141"/>
  <c r="S141" s="1"/>
  <c r="U141" s="1"/>
  <c r="D45" i="10"/>
  <c r="D277" s="1"/>
  <c r="N50" i="25"/>
  <c r="D33" i="10"/>
  <c r="Q33" s="1"/>
  <c r="H250" s="1"/>
  <c r="Q29"/>
  <c r="N134" i="25"/>
  <c r="Q53" i="10"/>
  <c r="H283" s="1"/>
  <c r="D44"/>
  <c r="D276" s="1"/>
  <c r="H104" i="25"/>
  <c r="J77"/>
  <c r="S77" s="1"/>
  <c r="D37" i="10"/>
  <c r="Q37" s="1"/>
  <c r="H234" s="1"/>
  <c r="H238" s="1"/>
  <c r="H172" i="25"/>
  <c r="AE172" s="1"/>
  <c r="AG172" s="1"/>
  <c r="E90"/>
  <c r="G46" i="28"/>
  <c r="Q117" i="10"/>
  <c r="AS142" i="25"/>
  <c r="D36" i="10"/>
  <c r="D334" s="1"/>
  <c r="G151" i="25"/>
  <c r="S151" s="1"/>
  <c r="U151" s="1"/>
  <c r="AW151"/>
  <c r="J67"/>
  <c r="S67" s="1"/>
  <c r="Q39" i="10"/>
  <c r="H339" s="1"/>
  <c r="E17" i="25"/>
  <c r="AW136"/>
  <c r="E136"/>
  <c r="G140"/>
  <c r="S140" s="1"/>
  <c r="U140" s="1"/>
  <c r="H109"/>
  <c r="AE109" s="1"/>
  <c r="AG109" s="1"/>
  <c r="H105"/>
  <c r="AE105" s="1"/>
  <c r="AG105" s="1"/>
  <c r="AW118"/>
  <c r="K118"/>
  <c r="AE118" s="1"/>
  <c r="AG118" s="1"/>
  <c r="AW169"/>
  <c r="H169"/>
  <c r="AE169" s="1"/>
  <c r="AG169" s="1"/>
  <c r="AS68"/>
  <c r="AS114"/>
  <c r="AS88"/>
  <c r="AS27"/>
  <c r="AS19"/>
  <c r="AS85"/>
  <c r="AS154"/>
  <c r="AS111"/>
  <c r="J135" i="28"/>
  <c r="D166" i="25" s="1"/>
  <c r="AW176"/>
  <c r="N176"/>
  <c r="S176" s="1"/>
  <c r="U176" s="1"/>
  <c r="AS176"/>
  <c r="G53" i="28"/>
  <c r="K21" i="32"/>
  <c r="K26" s="1"/>
  <c r="AW98" i="25"/>
  <c r="H98"/>
  <c r="AE98" s="1"/>
  <c r="AG98" s="1"/>
  <c r="AS98"/>
  <c r="AS78"/>
  <c r="J78"/>
  <c r="S78" s="1"/>
  <c r="K121"/>
  <c r="AE121" s="1"/>
  <c r="AG121" s="1"/>
  <c r="F86"/>
  <c r="AE86" s="1"/>
  <c r="AG86" s="1"/>
  <c r="AS86"/>
  <c r="AS96"/>
  <c r="AS128"/>
  <c r="AS156"/>
  <c r="AS138"/>
  <c r="AS79"/>
  <c r="J29"/>
  <c r="S29" s="1"/>
  <c r="D49" i="10"/>
  <c r="D281" s="1"/>
  <c r="F13" i="35"/>
  <c r="AS50" i="25"/>
  <c r="AS9"/>
  <c r="AS92"/>
  <c r="AS182"/>
  <c r="Q138" i="10"/>
  <c r="Q176"/>
  <c r="D16" i="35"/>
  <c r="AW87" i="25"/>
  <c r="F87"/>
  <c r="J145" i="28"/>
  <c r="D103" i="25" s="1"/>
  <c r="AS103" s="1"/>
  <c r="Q162" i="10"/>
  <c r="E12" i="35"/>
  <c r="H12" s="1"/>
  <c r="O12"/>
  <c r="D221" i="10"/>
  <c r="G224"/>
  <c r="Q82"/>
  <c r="Q108"/>
  <c r="Q102"/>
  <c r="Q84"/>
  <c r="Q144"/>
  <c r="Q124"/>
  <c r="Q86"/>
  <c r="E94" i="25"/>
  <c r="S94" s="1"/>
  <c r="U94" s="1"/>
  <c r="AS94"/>
  <c r="AS52"/>
  <c r="AS45"/>
  <c r="AS53"/>
  <c r="AS47"/>
  <c r="AS169"/>
  <c r="AS108"/>
  <c r="AW120"/>
  <c r="K120"/>
  <c r="AE120" s="1"/>
  <c r="AG120" s="1"/>
  <c r="AW119"/>
  <c r="K119"/>
  <c r="AE119" s="1"/>
  <c r="AG119" s="1"/>
  <c r="AS31"/>
  <c r="AS120"/>
  <c r="AS119"/>
  <c r="K115"/>
  <c r="AE115" s="1"/>
  <c r="AG115" s="1"/>
  <c r="AW115"/>
  <c r="Q113" i="10"/>
  <c r="Q112"/>
  <c r="AS57" i="25"/>
  <c r="AS99"/>
  <c r="AS16"/>
  <c r="AS145"/>
  <c r="AS24"/>
  <c r="AS18"/>
  <c r="AS14"/>
  <c r="AS89"/>
  <c r="AS107"/>
  <c r="AS73"/>
  <c r="AS181"/>
  <c r="AS51"/>
  <c r="AS25"/>
  <c r="AS130"/>
  <c r="AS87"/>
  <c r="AS116"/>
  <c r="AS167"/>
  <c r="AS84"/>
  <c r="AS36"/>
  <c r="AS33"/>
  <c r="AS173"/>
  <c r="AS152"/>
  <c r="AS39"/>
  <c r="AS48"/>
  <c r="AS105"/>
  <c r="AS118"/>
  <c r="AS67"/>
  <c r="AS148"/>
  <c r="AS82"/>
  <c r="AS32"/>
  <c r="AS144"/>
  <c r="AS151"/>
  <c r="AS133"/>
  <c r="AX133" s="1"/>
  <c r="AS17"/>
  <c r="AS54"/>
  <c r="AS127"/>
  <c r="AS15"/>
  <c r="AS37"/>
  <c r="AS75"/>
  <c r="AS28"/>
  <c r="AS155"/>
  <c r="AS157"/>
  <c r="AS172"/>
  <c r="AS170"/>
  <c r="AS164"/>
  <c r="AS83"/>
  <c r="AS97"/>
  <c r="AS109"/>
  <c r="AS129"/>
  <c r="AS90"/>
  <c r="AS115"/>
  <c r="AS183"/>
  <c r="AS91"/>
  <c r="AS159"/>
  <c r="AS132"/>
  <c r="AX132" s="1"/>
  <c r="AS93"/>
  <c r="AS150"/>
  <c r="AS74"/>
  <c r="AS137"/>
  <c r="AS80"/>
  <c r="AS30"/>
  <c r="AS141"/>
  <c r="AS77"/>
  <c r="AS136"/>
  <c r="AS165"/>
  <c r="AS55"/>
  <c r="AS34"/>
  <c r="AS143"/>
  <c r="AS134"/>
  <c r="AX134" s="1"/>
  <c r="AS117"/>
  <c r="AS104"/>
  <c r="AS46"/>
  <c r="AS12"/>
  <c r="AS43"/>
  <c r="AS106"/>
  <c r="AS29"/>
  <c r="AS139"/>
  <c r="AS58"/>
  <c r="AS131"/>
  <c r="AS69"/>
  <c r="AS168"/>
  <c r="AS102"/>
  <c r="Q20" i="10"/>
  <c r="H314" s="1"/>
  <c r="AS153" i="25"/>
  <c r="AS140"/>
  <c r="AS35"/>
  <c r="AS20"/>
  <c r="Q123" i="10"/>
  <c r="Q10"/>
  <c r="H302" s="1"/>
  <c r="Q13"/>
  <c r="H240" s="1"/>
  <c r="D240"/>
  <c r="D242" s="1"/>
  <c r="D306" s="1"/>
  <c r="Q15"/>
  <c r="H309" s="1"/>
  <c r="Q8"/>
  <c r="Q16"/>
  <c r="H310" s="1"/>
  <c r="Q158"/>
  <c r="Q118"/>
  <c r="Q122"/>
  <c r="Q28"/>
  <c r="H324" s="1"/>
  <c r="Q146"/>
  <c r="H110" i="25"/>
  <c r="AE110" s="1"/>
  <c r="AG110" s="1"/>
  <c r="AS110"/>
  <c r="Q107" i="10"/>
  <c r="J196" l="1"/>
  <c r="L196" s="1"/>
  <c r="P196" s="1"/>
  <c r="J188"/>
  <c r="F29" i="41"/>
  <c r="F30" s="1"/>
  <c r="AK186" i="25"/>
  <c r="AD186" s="1"/>
  <c r="AM186" s="1"/>
  <c r="AP186" s="1"/>
  <c r="AJ192"/>
  <c r="U64"/>
  <c r="U16"/>
  <c r="U74"/>
  <c r="U58"/>
  <c r="U57"/>
  <c r="U51"/>
  <c r="U73"/>
  <c r="U60"/>
  <c r="U62"/>
  <c r="U30"/>
  <c r="U25"/>
  <c r="U31"/>
  <c r="U20"/>
  <c r="U36"/>
  <c r="U29"/>
  <c r="U67"/>
  <c r="U9"/>
  <c r="U78"/>
  <c r="U63"/>
  <c r="U34"/>
  <c r="U35"/>
  <c r="U75"/>
  <c r="U18"/>
  <c r="U14"/>
  <c r="U77"/>
  <c r="U37"/>
  <c r="U61"/>
  <c r="U59"/>
  <c r="U71"/>
  <c r="U19"/>
  <c r="U33"/>
  <c r="U24"/>
  <c r="U55"/>
  <c r="U15"/>
  <c r="AG82"/>
  <c r="AE99"/>
  <c r="AG99" s="1"/>
  <c r="AE174"/>
  <c r="AG174" s="1"/>
  <c r="AE104"/>
  <c r="AG104" s="1"/>
  <c r="AE108"/>
  <c r="AG108" s="1"/>
  <c r="AE102"/>
  <c r="AG102" s="1"/>
  <c r="AE127"/>
  <c r="AG127" s="1"/>
  <c r="AE83"/>
  <c r="AG83" s="1"/>
  <c r="AE185"/>
  <c r="AE87"/>
  <c r="AG87" s="1"/>
  <c r="AE130"/>
  <c r="AG130" s="1"/>
  <c r="AE131"/>
  <c r="AG131" s="1"/>
  <c r="AE170"/>
  <c r="AG170" s="1"/>
  <c r="S54"/>
  <c r="S23"/>
  <c r="S17"/>
  <c r="S90"/>
  <c r="U90" s="1"/>
  <c r="S143"/>
  <c r="U143" s="1"/>
  <c r="S32"/>
  <c r="S156"/>
  <c r="U156" s="1"/>
  <c r="S150"/>
  <c r="U150" s="1"/>
  <c r="S45"/>
  <c r="AS63"/>
  <c r="S26"/>
  <c r="S136"/>
  <c r="U136" s="1"/>
  <c r="S50"/>
  <c r="S46"/>
  <c r="S47"/>
  <c r="S145"/>
  <c r="U145" s="1"/>
  <c r="S43"/>
  <c r="S157"/>
  <c r="U157" s="1"/>
  <c r="S21"/>
  <c r="S52"/>
  <c r="S27"/>
  <c r="S133"/>
  <c r="U133" s="1"/>
  <c r="S76"/>
  <c r="S92"/>
  <c r="U92" s="1"/>
  <c r="S138"/>
  <c r="U138" s="1"/>
  <c r="S12"/>
  <c r="S11"/>
  <c r="S159"/>
  <c r="U159" s="1"/>
  <c r="S134"/>
  <c r="U134" s="1"/>
  <c r="S53"/>
  <c r="S93"/>
  <c r="U93" s="1"/>
  <c r="S154"/>
  <c r="U154" s="1"/>
  <c r="S48"/>
  <c r="S160"/>
  <c r="U160" s="1"/>
  <c r="F21" i="2"/>
  <c r="G70" i="10" s="1"/>
  <c r="L70" s="1"/>
  <c r="F9" i="38"/>
  <c r="I135" i="10" s="1"/>
  <c r="AX175" i="25"/>
  <c r="G174" i="28"/>
  <c r="Q173" i="10"/>
  <c r="AS26" i="25"/>
  <c r="C19" i="38"/>
  <c r="C24" s="1"/>
  <c r="D46" i="10"/>
  <c r="D278" s="1"/>
  <c r="D106"/>
  <c r="C134" i="37"/>
  <c r="D139" i="10" s="1"/>
  <c r="Q139" s="1"/>
  <c r="C131" i="37"/>
  <c r="F50" i="40"/>
  <c r="G50" s="1"/>
  <c r="D17" s="1"/>
  <c r="E17" s="1"/>
  <c r="D163" i="10"/>
  <c r="Q163" s="1"/>
  <c r="AS70" i="25"/>
  <c r="J181" i="10"/>
  <c r="D49" i="2"/>
  <c r="D50" s="1"/>
  <c r="D51" s="1"/>
  <c r="D52" s="1"/>
  <c r="I231" i="10"/>
  <c r="Q31"/>
  <c r="H328" s="1"/>
  <c r="D328"/>
  <c r="Q32"/>
  <c r="H329" s="1"/>
  <c r="D329"/>
  <c r="D342"/>
  <c r="D282"/>
  <c r="Q17"/>
  <c r="H311" s="1"/>
  <c r="D311"/>
  <c r="H282"/>
  <c r="Q30"/>
  <c r="H327" s="1"/>
  <c r="D327"/>
  <c r="Q56"/>
  <c r="H287" s="1"/>
  <c r="D287"/>
  <c r="N70" i="25"/>
  <c r="AS44"/>
  <c r="N44"/>
  <c r="E213" i="10"/>
  <c r="F48" i="40"/>
  <c r="G48" s="1"/>
  <c r="H76" i="10"/>
  <c r="E45" i="40"/>
  <c r="E51" s="1"/>
  <c r="AS23" i="25"/>
  <c r="F47" i="40"/>
  <c r="G47" s="1"/>
  <c r="D14" s="1"/>
  <c r="F46"/>
  <c r="G46" s="1"/>
  <c r="D13" s="1"/>
  <c r="D28" s="1"/>
  <c r="E28" s="1"/>
  <c r="AS113" i="25"/>
  <c r="K113"/>
  <c r="AW113"/>
  <c r="AS161"/>
  <c r="F25" i="2"/>
  <c r="Q149" i="10"/>
  <c r="F7" i="42"/>
  <c r="K174" i="10" s="1"/>
  <c r="K187" s="1"/>
  <c r="Q11"/>
  <c r="H263" s="1"/>
  <c r="D9" i="41"/>
  <c r="F9" s="1"/>
  <c r="F9" i="42"/>
  <c r="F8"/>
  <c r="L69" i="10"/>
  <c r="L68"/>
  <c r="G161" i="25"/>
  <c r="L43" i="10"/>
  <c r="L63"/>
  <c r="R106"/>
  <c r="Y187"/>
  <c r="F45" i="40"/>
  <c r="G45" s="1"/>
  <c r="D12" s="1"/>
  <c r="F43"/>
  <c r="G43" s="1"/>
  <c r="D10" s="1"/>
  <c r="F44"/>
  <c r="G44" s="1"/>
  <c r="D11" s="1"/>
  <c r="E11" s="1"/>
  <c r="J11" s="1"/>
  <c r="F40"/>
  <c r="G40" s="1"/>
  <c r="F42"/>
  <c r="G42" s="1"/>
  <c r="D9" s="1"/>
  <c r="F41"/>
  <c r="G41" s="1"/>
  <c r="D8" s="1"/>
  <c r="AS40" i="25"/>
  <c r="J40"/>
  <c r="G146"/>
  <c r="AW146"/>
  <c r="AS146"/>
  <c r="Q60" i="10"/>
  <c r="H290" s="1"/>
  <c r="E22" i="25"/>
  <c r="Q93" i="10"/>
  <c r="C164" i="37"/>
  <c r="D128" i="10" s="1"/>
  <c r="D156"/>
  <c r="AS124" i="25"/>
  <c r="O124"/>
  <c r="D77" i="10"/>
  <c r="Q77" s="1"/>
  <c r="J40" i="28"/>
  <c r="D49" i="25" s="1"/>
  <c r="AS49" s="1"/>
  <c r="C33" i="2"/>
  <c r="D12" i="10" s="1"/>
  <c r="D305" s="1"/>
  <c r="J51" i="28"/>
  <c r="D66" i="25" s="1"/>
  <c r="D7" i="10"/>
  <c r="Q7" s="1"/>
  <c r="Q164"/>
  <c r="H259"/>
  <c r="Q172"/>
  <c r="Q175"/>
  <c r="Q130"/>
  <c r="AS59" i="25"/>
  <c r="J97" i="28"/>
  <c r="D126" i="25" s="1"/>
  <c r="AS126" s="1"/>
  <c r="AS149"/>
  <c r="H149"/>
  <c r="F21" i="32"/>
  <c r="F26" s="1"/>
  <c r="F25" i="37"/>
  <c r="H74" i="10" s="1"/>
  <c r="C24" i="2"/>
  <c r="D74" i="10" s="1"/>
  <c r="F189"/>
  <c r="D75"/>
  <c r="Q75" s="1"/>
  <c r="L190"/>
  <c r="P190" s="1"/>
  <c r="D42"/>
  <c r="D273" s="1"/>
  <c r="P191"/>
  <c r="F13" i="2"/>
  <c r="G42" i="10" s="1"/>
  <c r="L42" s="1"/>
  <c r="Q62"/>
  <c r="H291" s="1"/>
  <c r="E28" i="2"/>
  <c r="F28" s="1"/>
  <c r="D69" i="10"/>
  <c r="Q69" s="1"/>
  <c r="D72"/>
  <c r="Q72" s="1"/>
  <c r="D63"/>
  <c r="D292" s="1"/>
  <c r="D68"/>
  <c r="C26" i="2"/>
  <c r="F26" s="1"/>
  <c r="F16"/>
  <c r="G62" i="10" s="1"/>
  <c r="L62" s="1"/>
  <c r="D43"/>
  <c r="Q70"/>
  <c r="F15" i="2"/>
  <c r="G56" i="10" s="1"/>
  <c r="L56" s="1"/>
  <c r="H72"/>
  <c r="Q166"/>
  <c r="Q147"/>
  <c r="AS13" i="25"/>
  <c r="E13"/>
  <c r="Q161" i="10"/>
  <c r="Q88"/>
  <c r="D183"/>
  <c r="Q71"/>
  <c r="Q24"/>
  <c r="H318" s="1"/>
  <c r="Q23"/>
  <c r="H317" s="1"/>
  <c r="AS174" i="25"/>
  <c r="AW174"/>
  <c r="G71" i="10"/>
  <c r="L71" s="1"/>
  <c r="D68" i="37"/>
  <c r="F67"/>
  <c r="AS76" i="25"/>
  <c r="D41" i="2"/>
  <c r="D42" s="1"/>
  <c r="D43" s="1"/>
  <c r="D44" s="1"/>
  <c r="D45" s="1"/>
  <c r="D46" s="1"/>
  <c r="D47" s="1"/>
  <c r="D48" s="1"/>
  <c r="N42" i="25"/>
  <c r="AS42"/>
  <c r="F200" i="10"/>
  <c r="Q22"/>
  <c r="H316" s="1"/>
  <c r="Q34"/>
  <c r="H333" s="1"/>
  <c r="Q44"/>
  <c r="H276" s="1"/>
  <c r="I252"/>
  <c r="H253"/>
  <c r="H330" s="1"/>
  <c r="Q45"/>
  <c r="H277" s="1"/>
  <c r="D250"/>
  <c r="D253" s="1"/>
  <c r="D330" s="1"/>
  <c r="I251"/>
  <c r="D234"/>
  <c r="D238" s="1"/>
  <c r="D335" s="1"/>
  <c r="I237"/>
  <c r="F192" i="25"/>
  <c r="I236" i="10"/>
  <c r="I235"/>
  <c r="Q111"/>
  <c r="Q36"/>
  <c r="H334" s="1"/>
  <c r="C26" i="32"/>
  <c r="B32"/>
  <c r="AW166" i="25"/>
  <c r="H166"/>
  <c r="AE166" s="1"/>
  <c r="AG166" s="1"/>
  <c r="AS166"/>
  <c r="C40" i="2"/>
  <c r="J47" i="28"/>
  <c r="D56" i="25" s="1"/>
  <c r="Q101" i="10"/>
  <c r="Q49"/>
  <c r="H281" s="1"/>
  <c r="H103" i="25"/>
  <c r="AE103" s="1"/>
  <c r="AG103" s="1"/>
  <c r="J29" i="28"/>
  <c r="D38" i="25" s="1"/>
  <c r="F16" i="35"/>
  <c r="K12"/>
  <c r="D61" i="10"/>
  <c r="Q140"/>
  <c r="J5" i="28"/>
  <c r="D10" i="25" s="1"/>
  <c r="AS10" s="1"/>
  <c r="E16" i="35"/>
  <c r="K11"/>
  <c r="F189" i="2"/>
  <c r="G192" i="10" s="1"/>
  <c r="L192" s="1"/>
  <c r="I241"/>
  <c r="H242"/>
  <c r="H306" s="1"/>
  <c r="Q79"/>
  <c r="H335"/>
  <c r="I238"/>
  <c r="I232"/>
  <c r="F19" i="38" l="1"/>
  <c r="F24" s="1"/>
  <c r="AU185" i="25"/>
  <c r="U52"/>
  <c r="U11"/>
  <c r="U76"/>
  <c r="U21"/>
  <c r="U47"/>
  <c r="U26"/>
  <c r="U17"/>
  <c r="U53"/>
  <c r="U12"/>
  <c r="U46"/>
  <c r="U32"/>
  <c r="U23"/>
  <c r="U48"/>
  <c r="U27"/>
  <c r="U43"/>
  <c r="U50"/>
  <c r="U45"/>
  <c r="U54"/>
  <c r="AE113"/>
  <c r="AG113" s="1"/>
  <c r="AE149"/>
  <c r="AG149" s="1"/>
  <c r="AE124"/>
  <c r="AG124" s="1"/>
  <c r="I187" i="10"/>
  <c r="S13" i="25"/>
  <c r="S40"/>
  <c r="S161"/>
  <c r="U161" s="1"/>
  <c r="S70"/>
  <c r="S42"/>
  <c r="S146"/>
  <c r="U146" s="1"/>
  <c r="S44"/>
  <c r="S22"/>
  <c r="Q46" i="10"/>
  <c r="H278" s="1"/>
  <c r="D135"/>
  <c r="J17" i="40"/>
  <c r="I17"/>
  <c r="K17"/>
  <c r="G51"/>
  <c r="D15"/>
  <c r="Q43" i="10"/>
  <c r="D275"/>
  <c r="H345"/>
  <c r="Q68"/>
  <c r="D272"/>
  <c r="D346"/>
  <c r="D53" i="2"/>
  <c r="D54" s="1"/>
  <c r="D55" s="1"/>
  <c r="D56" s="1"/>
  <c r="D57" s="1"/>
  <c r="D58" s="1"/>
  <c r="AQ188" i="25"/>
  <c r="J88" i="10"/>
  <c r="AQ187" i="25"/>
  <c r="E14" i="40"/>
  <c r="J14" s="1"/>
  <c r="D29"/>
  <c r="E29" s="1"/>
  <c r="J182" i="10"/>
  <c r="AQ189" i="25"/>
  <c r="K192"/>
  <c r="E13" i="40"/>
  <c r="D7"/>
  <c r="E16"/>
  <c r="F19" i="42"/>
  <c r="D10" i="41"/>
  <c r="G180" i="28"/>
  <c r="G182" s="1"/>
  <c r="K197" i="10"/>
  <c r="L197" s="1"/>
  <c r="P197" s="1"/>
  <c r="E8" i="40"/>
  <c r="D26"/>
  <c r="E26" s="1"/>
  <c r="E10"/>
  <c r="K11"/>
  <c r="E32"/>
  <c r="I11"/>
  <c r="E9"/>
  <c r="E24"/>
  <c r="E12"/>
  <c r="AS66" i="25"/>
  <c r="Q128" i="10"/>
  <c r="F27" i="38"/>
  <c r="I188" i="10"/>
  <c r="I194"/>
  <c r="D244"/>
  <c r="D248" s="1"/>
  <c r="D298" s="1"/>
  <c r="C62" i="2"/>
  <c r="C188" s="1"/>
  <c r="B9" s="1"/>
  <c r="N49" i="25"/>
  <c r="H4" i="37"/>
  <c r="J66" i="25"/>
  <c r="Q148" i="10"/>
  <c r="H244"/>
  <c r="I245" s="1"/>
  <c r="I260"/>
  <c r="H261"/>
  <c r="I264"/>
  <c r="H265"/>
  <c r="H303" s="1"/>
  <c r="D255"/>
  <c r="Q183"/>
  <c r="Q137"/>
  <c r="E29" i="2"/>
  <c r="E30" s="1"/>
  <c r="E31" s="1"/>
  <c r="E32" s="1"/>
  <c r="F32" s="1"/>
  <c r="H16" i="35"/>
  <c r="AW126" i="25"/>
  <c r="C185" i="37"/>
  <c r="O126" i="25"/>
  <c r="Q42" i="10"/>
  <c r="H273" s="1"/>
  <c r="F203"/>
  <c r="D5"/>
  <c r="Q63"/>
  <c r="H292" s="1"/>
  <c r="E192" i="25"/>
  <c r="E203" i="10"/>
  <c r="E189"/>
  <c r="E200"/>
  <c r="D69" i="37"/>
  <c r="F68"/>
  <c r="AS38" i="25"/>
  <c r="D192"/>
  <c r="H192"/>
  <c r="J38"/>
  <c r="S38" s="1"/>
  <c r="Q156" i="10"/>
  <c r="D19"/>
  <c r="D313" s="1"/>
  <c r="N56" i="25"/>
  <c r="S56" s="1"/>
  <c r="AS56"/>
  <c r="J11" i="35"/>
  <c r="N12"/>
  <c r="M12"/>
  <c r="F24" i="2"/>
  <c r="G74" i="10" s="1"/>
  <c r="L74" s="1"/>
  <c r="Q61"/>
  <c r="Q141"/>
  <c r="Q80"/>
  <c r="Q121"/>
  <c r="G10" i="25"/>
  <c r="N11" i="35"/>
  <c r="M11"/>
  <c r="P192" i="10"/>
  <c r="I242"/>
  <c r="G75"/>
  <c r="L75" s="1"/>
  <c r="F23" i="2"/>
  <c r="F22"/>
  <c r="I189" i="10" l="1"/>
  <c r="U56" i="25"/>
  <c r="U40"/>
  <c r="U42"/>
  <c r="U13"/>
  <c r="U22"/>
  <c r="U70"/>
  <c r="U38"/>
  <c r="U44"/>
  <c r="AE126"/>
  <c r="AG126" s="1"/>
  <c r="AG192" s="1"/>
  <c r="AI7" s="1"/>
  <c r="S66"/>
  <c r="S49"/>
  <c r="S10"/>
  <c r="AU187"/>
  <c r="F23" i="42"/>
  <c r="F24" s="1"/>
  <c r="D19" i="40"/>
  <c r="E15"/>
  <c r="E34" s="1"/>
  <c r="D344" i="10"/>
  <c r="L17" i="40"/>
  <c r="F10" i="41"/>
  <c r="J166" i="10" s="1"/>
  <c r="D11" i="41"/>
  <c r="H346" i="10"/>
  <c r="H275"/>
  <c r="D297"/>
  <c r="D322" s="1"/>
  <c r="D59" i="2"/>
  <c r="D60"/>
  <c r="AU188" i="25"/>
  <c r="AQ186"/>
  <c r="AS192"/>
  <c r="AS196" s="1"/>
  <c r="I203" i="10"/>
  <c r="K14" i="40"/>
  <c r="I14"/>
  <c r="K16"/>
  <c r="J16"/>
  <c r="I16"/>
  <c r="AU189" i="25"/>
  <c r="I13" i="40"/>
  <c r="J13"/>
  <c r="K13"/>
  <c r="L11"/>
  <c r="E33" i="2"/>
  <c r="E34" s="1"/>
  <c r="E35" s="1"/>
  <c r="E36" s="1"/>
  <c r="E37" s="1"/>
  <c r="F37" s="1"/>
  <c r="L194" i="10"/>
  <c r="L199" s="1"/>
  <c r="K9" i="40"/>
  <c r="E31"/>
  <c r="J9"/>
  <c r="I9"/>
  <c r="J10"/>
  <c r="I10"/>
  <c r="K10"/>
  <c r="K8"/>
  <c r="J8"/>
  <c r="I8"/>
  <c r="I12"/>
  <c r="J12"/>
  <c r="K12"/>
  <c r="D23"/>
  <c r="E23" s="1"/>
  <c r="E7"/>
  <c r="C187" i="37"/>
  <c r="C10" s="1"/>
  <c r="T190" i="10"/>
  <c r="N192" i="25"/>
  <c r="I200" i="10"/>
  <c r="S190"/>
  <c r="H4" i="2"/>
  <c r="D76" i="10"/>
  <c r="J192" i="25"/>
  <c r="I261" i="10"/>
  <c r="H325"/>
  <c r="I265"/>
  <c r="I246"/>
  <c r="D261" s="1"/>
  <c r="D325" s="1"/>
  <c r="H248"/>
  <c r="H298" s="1"/>
  <c r="I247"/>
  <c r="H255"/>
  <c r="D257"/>
  <c r="O192" i="25"/>
  <c r="Q5" i="10"/>
  <c r="D70" i="37"/>
  <c r="F69"/>
  <c r="Q12" i="10"/>
  <c r="H305" s="1"/>
  <c r="Q19"/>
  <c r="H313" s="1"/>
  <c r="Q12" i="35"/>
  <c r="N155" i="10" s="1"/>
  <c r="Q126"/>
  <c r="Q74"/>
  <c r="H272" s="1"/>
  <c r="G192" i="25"/>
  <c r="Q11" i="35"/>
  <c r="G72" i="10"/>
  <c r="L72" s="1"/>
  <c r="AE192" i="25" l="1"/>
  <c r="AH190" s="1"/>
  <c r="AI190" s="1"/>
  <c r="AK190" s="1"/>
  <c r="AD190" s="1"/>
  <c r="AM190" s="1"/>
  <c r="AP190" s="1"/>
  <c r="U10"/>
  <c r="V7"/>
  <c r="V10" s="1"/>
  <c r="S192"/>
  <c r="U66"/>
  <c r="U49"/>
  <c r="AI122"/>
  <c r="AK122" s="1"/>
  <c r="AD122" s="1"/>
  <c r="J15" i="40"/>
  <c r="I15"/>
  <c r="K7"/>
  <c r="E19"/>
  <c r="E21" s="1"/>
  <c r="F11" i="41"/>
  <c r="J203" i="10" s="1"/>
  <c r="D12" i="41"/>
  <c r="D13" s="1"/>
  <c r="F27" i="42"/>
  <c r="K188" i="10"/>
  <c r="K189" s="1"/>
  <c r="K15" i="40"/>
  <c r="J184" i="10"/>
  <c r="J187" s="1"/>
  <c r="M158"/>
  <c r="H297"/>
  <c r="H322" s="1"/>
  <c r="Q76"/>
  <c r="H323" s="1"/>
  <c r="H341" s="1"/>
  <c r="D323"/>
  <c r="D341" s="1"/>
  <c r="D187"/>
  <c r="D62" i="2"/>
  <c r="D63" s="1"/>
  <c r="D64" s="1"/>
  <c r="D61"/>
  <c r="L14" i="40"/>
  <c r="L16"/>
  <c r="E38" i="2"/>
  <c r="F38" s="1"/>
  <c r="L13" i="40"/>
  <c r="AU186" i="25"/>
  <c r="M154" i="10" s="1"/>
  <c r="R190"/>
  <c r="P194"/>
  <c r="L8" i="40"/>
  <c r="L12"/>
  <c r="L10"/>
  <c r="I7"/>
  <c r="J7"/>
  <c r="L9"/>
  <c r="D296" i="10"/>
  <c r="I256"/>
  <c r="H257"/>
  <c r="D71" i="37"/>
  <c r="F70"/>
  <c r="Q125" i="10"/>
  <c r="E194" i="25"/>
  <c r="AU7"/>
  <c r="F11" i="29"/>
  <c r="N154" i="10"/>
  <c r="AH191" i="25" l="1"/>
  <c r="AI191" s="1"/>
  <c r="AK191" s="1"/>
  <c r="AD191" s="1"/>
  <c r="AM191" s="1"/>
  <c r="AP191" s="1"/>
  <c r="AQ190"/>
  <c r="V49"/>
  <c r="V66"/>
  <c r="V81"/>
  <c r="V65"/>
  <c r="V41"/>
  <c r="V28"/>
  <c r="V39"/>
  <c r="V69"/>
  <c r="V68"/>
  <c r="V72"/>
  <c r="V80"/>
  <c r="V79"/>
  <c r="V58"/>
  <c r="V67"/>
  <c r="V9"/>
  <c r="V63"/>
  <c r="V35"/>
  <c r="V77"/>
  <c r="V61"/>
  <c r="V71"/>
  <c r="V15"/>
  <c r="V64"/>
  <c r="V25"/>
  <c r="V20"/>
  <c r="V18"/>
  <c r="V37"/>
  <c r="V59"/>
  <c r="V33"/>
  <c r="V74"/>
  <c r="V57"/>
  <c r="V73"/>
  <c r="V31"/>
  <c r="V75"/>
  <c r="V19"/>
  <c r="V55"/>
  <c r="V16"/>
  <c r="V51"/>
  <c r="V60"/>
  <c r="V62"/>
  <c r="V30"/>
  <c r="V36"/>
  <c r="V29"/>
  <c r="V78"/>
  <c r="V34"/>
  <c r="V14"/>
  <c r="V24"/>
  <c r="V17"/>
  <c r="V12"/>
  <c r="V50"/>
  <c r="V54"/>
  <c r="V27"/>
  <c r="V11"/>
  <c r="V21"/>
  <c r="V46"/>
  <c r="V23"/>
  <c r="V43"/>
  <c r="V26"/>
  <c r="V53"/>
  <c r="V32"/>
  <c r="V45"/>
  <c r="V52"/>
  <c r="V76"/>
  <c r="V47"/>
  <c r="V48"/>
  <c r="V56"/>
  <c r="V42"/>
  <c r="V70"/>
  <c r="V38"/>
  <c r="V40"/>
  <c r="V13"/>
  <c r="V22"/>
  <c r="V44"/>
  <c r="U192"/>
  <c r="W7" s="1"/>
  <c r="AH172"/>
  <c r="AI172" s="1"/>
  <c r="AK172" s="1"/>
  <c r="AD172" s="1"/>
  <c r="AH115"/>
  <c r="AI115" s="1"/>
  <c r="AK115" s="1"/>
  <c r="AD115" s="1"/>
  <c r="AH87"/>
  <c r="AI87" s="1"/>
  <c r="AK87" s="1"/>
  <c r="AD87" s="1"/>
  <c r="AH183"/>
  <c r="AI183" s="1"/>
  <c r="AK183" s="1"/>
  <c r="AD183" s="1"/>
  <c r="AH170"/>
  <c r="AI170" s="1"/>
  <c r="AK170" s="1"/>
  <c r="AD170" s="1"/>
  <c r="AH131"/>
  <c r="AI131" s="1"/>
  <c r="AK131" s="1"/>
  <c r="AD131" s="1"/>
  <c r="AH127"/>
  <c r="AI127" s="1"/>
  <c r="AK127" s="1"/>
  <c r="AD127" s="1"/>
  <c r="AH123"/>
  <c r="AI123" s="1"/>
  <c r="AK123" s="1"/>
  <c r="AD123" s="1"/>
  <c r="AH118"/>
  <c r="AI118" s="1"/>
  <c r="AK118" s="1"/>
  <c r="AD118" s="1"/>
  <c r="AH114"/>
  <c r="AI114" s="1"/>
  <c r="AK114" s="1"/>
  <c r="AD114" s="1"/>
  <c r="AH109"/>
  <c r="AI109" s="1"/>
  <c r="AK109" s="1"/>
  <c r="AD109" s="1"/>
  <c r="AH105"/>
  <c r="AI105" s="1"/>
  <c r="AK105" s="1"/>
  <c r="AD105" s="1"/>
  <c r="AH101"/>
  <c r="AI101" s="1"/>
  <c r="AK101" s="1"/>
  <c r="AD101" s="1"/>
  <c r="AH97"/>
  <c r="AI97" s="1"/>
  <c r="AK97" s="1"/>
  <c r="AD97" s="1"/>
  <c r="AH86"/>
  <c r="AI86" s="1"/>
  <c r="AK86" s="1"/>
  <c r="AD86" s="1"/>
  <c r="AH82"/>
  <c r="AI82" s="1"/>
  <c r="AK82" s="1"/>
  <c r="AD82" s="1"/>
  <c r="AH174"/>
  <c r="AI174" s="1"/>
  <c r="AK174" s="1"/>
  <c r="AD174" s="1"/>
  <c r="AH169"/>
  <c r="AI169" s="1"/>
  <c r="AK169" s="1"/>
  <c r="AD169" s="1"/>
  <c r="AH130"/>
  <c r="AI130" s="1"/>
  <c r="AK130" s="1"/>
  <c r="AD130" s="1"/>
  <c r="AH126"/>
  <c r="AI126" s="1"/>
  <c r="AK126" s="1"/>
  <c r="AD126" s="1"/>
  <c r="AH121"/>
  <c r="AI121" s="1"/>
  <c r="AK121" s="1"/>
  <c r="AD121" s="1"/>
  <c r="AH117"/>
  <c r="AI117" s="1"/>
  <c r="AK117" s="1"/>
  <c r="AD117" s="1"/>
  <c r="AH113"/>
  <c r="AI113" s="1"/>
  <c r="AK113" s="1"/>
  <c r="AD113" s="1"/>
  <c r="AH108"/>
  <c r="AI108" s="1"/>
  <c r="AK108" s="1"/>
  <c r="AD108" s="1"/>
  <c r="AH104"/>
  <c r="AI104" s="1"/>
  <c r="AK104" s="1"/>
  <c r="AD104" s="1"/>
  <c r="AH100"/>
  <c r="AI100" s="1"/>
  <c r="AK100" s="1"/>
  <c r="AD100" s="1"/>
  <c r="AH96"/>
  <c r="AI96" s="1"/>
  <c r="AK96" s="1"/>
  <c r="AD96" s="1"/>
  <c r="AH85"/>
  <c r="AI85" s="1"/>
  <c r="AK85" s="1"/>
  <c r="AD85" s="1"/>
  <c r="AH166"/>
  <c r="AI166" s="1"/>
  <c r="AK166" s="1"/>
  <c r="AD166" s="1"/>
  <c r="AH129"/>
  <c r="AI129" s="1"/>
  <c r="AK129" s="1"/>
  <c r="AD129" s="1"/>
  <c r="AH125"/>
  <c r="AI125" s="1"/>
  <c r="AK125" s="1"/>
  <c r="AD125" s="1"/>
  <c r="AH120"/>
  <c r="AI120" s="1"/>
  <c r="AK120" s="1"/>
  <c r="AD120" s="1"/>
  <c r="AH116"/>
  <c r="AI116" s="1"/>
  <c r="AK116" s="1"/>
  <c r="AD116" s="1"/>
  <c r="AH111"/>
  <c r="AI111" s="1"/>
  <c r="AK111" s="1"/>
  <c r="AD111" s="1"/>
  <c r="AH107"/>
  <c r="AI107" s="1"/>
  <c r="AK107" s="1"/>
  <c r="AD107" s="1"/>
  <c r="AH103"/>
  <c r="AI103" s="1"/>
  <c r="AK103" s="1"/>
  <c r="AD103" s="1"/>
  <c r="AH99"/>
  <c r="AI99" s="1"/>
  <c r="AK99" s="1"/>
  <c r="AD99" s="1"/>
  <c r="AH88"/>
  <c r="AI88" s="1"/>
  <c r="AK88" s="1"/>
  <c r="AD88" s="1"/>
  <c r="AH84"/>
  <c r="AI84" s="1"/>
  <c r="AK84" s="1"/>
  <c r="AD84" s="1"/>
  <c r="AH184"/>
  <c r="AI184" s="1"/>
  <c r="AK184" s="1"/>
  <c r="AD184" s="1"/>
  <c r="AH171"/>
  <c r="AI171" s="1"/>
  <c r="AK171" s="1"/>
  <c r="AD171" s="1"/>
  <c r="AH149"/>
  <c r="AI149" s="1"/>
  <c r="AK149" s="1"/>
  <c r="AD149" s="1"/>
  <c r="AH128"/>
  <c r="AI128" s="1"/>
  <c r="AK128" s="1"/>
  <c r="AD128" s="1"/>
  <c r="AH124"/>
  <c r="AI124" s="1"/>
  <c r="AK124" s="1"/>
  <c r="AD124" s="1"/>
  <c r="AH119"/>
  <c r="AI119" s="1"/>
  <c r="AK119" s="1"/>
  <c r="AD119" s="1"/>
  <c r="AH110"/>
  <c r="AI110" s="1"/>
  <c r="AK110" s="1"/>
  <c r="AD110" s="1"/>
  <c r="AH106"/>
  <c r="AI106" s="1"/>
  <c r="AK106" s="1"/>
  <c r="AD106" s="1"/>
  <c r="AH102"/>
  <c r="AI102" s="1"/>
  <c r="AK102" s="1"/>
  <c r="AD102" s="1"/>
  <c r="AH98"/>
  <c r="AI98" s="1"/>
  <c r="AK98" s="1"/>
  <c r="AD98" s="1"/>
  <c r="AH83"/>
  <c r="AI83" s="1"/>
  <c r="AK83" s="1"/>
  <c r="AD83" s="1"/>
  <c r="F20" i="41"/>
  <c r="F27" s="1"/>
  <c r="L15" i="40"/>
  <c r="J189" i="10"/>
  <c r="D65" i="2"/>
  <c r="D66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K19" i="40"/>
  <c r="J19"/>
  <c r="E39" i="2"/>
  <c r="E40" s="1"/>
  <c r="E41" s="1"/>
  <c r="I19" i="40"/>
  <c r="L7"/>
  <c r="E47" i="2"/>
  <c r="E48" s="1"/>
  <c r="E49" s="1"/>
  <c r="E50" s="1"/>
  <c r="E51" s="1"/>
  <c r="I257" i="10"/>
  <c r="H296"/>
  <c r="D72" i="37"/>
  <c r="F71"/>
  <c r="Q103" i="10"/>
  <c r="O193"/>
  <c r="O199" s="1"/>
  <c r="AQ191" i="25" l="1"/>
  <c r="AU191" s="1"/>
  <c r="M151" i="10" s="1"/>
  <c r="O151" s="1"/>
  <c r="AU190" i="25"/>
  <c r="M150" i="10" s="1"/>
  <c r="O150" s="1"/>
  <c r="V192" i="25"/>
  <c r="AK192"/>
  <c r="AI192"/>
  <c r="AH192"/>
  <c r="W183"/>
  <c r="Z183" s="1"/>
  <c r="R183" s="1"/>
  <c r="AM183" s="1"/>
  <c r="AP183" s="1"/>
  <c r="W179"/>
  <c r="Z179" s="1"/>
  <c r="R179" s="1"/>
  <c r="AM179" s="1"/>
  <c r="AP179" s="1"/>
  <c r="W175"/>
  <c r="Z175" s="1"/>
  <c r="R175" s="1"/>
  <c r="AM175" s="1"/>
  <c r="AP175" s="1"/>
  <c r="W171"/>
  <c r="Z171" s="1"/>
  <c r="R171" s="1"/>
  <c r="AM171" s="1"/>
  <c r="AP171" s="1"/>
  <c r="W167"/>
  <c r="Z167" s="1"/>
  <c r="R167" s="1"/>
  <c r="AM167" s="1"/>
  <c r="AP167" s="1"/>
  <c r="W163"/>
  <c r="Z163" s="1"/>
  <c r="R163" s="1"/>
  <c r="AM163" s="1"/>
  <c r="AP163" s="1"/>
  <c r="W159"/>
  <c r="Z159" s="1"/>
  <c r="R159" s="1"/>
  <c r="AM159" s="1"/>
  <c r="AP159" s="1"/>
  <c r="W155"/>
  <c r="Z155" s="1"/>
  <c r="R155" s="1"/>
  <c r="AM155" s="1"/>
  <c r="AP155" s="1"/>
  <c r="W151"/>
  <c r="Z151" s="1"/>
  <c r="R151" s="1"/>
  <c r="AM151" s="1"/>
  <c r="AP151" s="1"/>
  <c r="W147"/>
  <c r="Z147" s="1"/>
  <c r="R147" s="1"/>
  <c r="AM147" s="1"/>
  <c r="AP147" s="1"/>
  <c r="W143"/>
  <c r="Z143" s="1"/>
  <c r="R143" s="1"/>
  <c r="AM143" s="1"/>
  <c r="AP143" s="1"/>
  <c r="W139"/>
  <c r="Z139" s="1"/>
  <c r="R139" s="1"/>
  <c r="AM139" s="1"/>
  <c r="AP139" s="1"/>
  <c r="W135"/>
  <c r="Z135" s="1"/>
  <c r="R135" s="1"/>
  <c r="AM135" s="1"/>
  <c r="AP135" s="1"/>
  <c r="W131"/>
  <c r="Z131" s="1"/>
  <c r="R131" s="1"/>
  <c r="AM131" s="1"/>
  <c r="AP131" s="1"/>
  <c r="W127"/>
  <c r="Z127" s="1"/>
  <c r="R127" s="1"/>
  <c r="AM127" s="1"/>
  <c r="AP127" s="1"/>
  <c r="W123"/>
  <c r="Z123" s="1"/>
  <c r="R123" s="1"/>
  <c r="AM123" s="1"/>
  <c r="AP123" s="1"/>
  <c r="W119"/>
  <c r="Z119" s="1"/>
  <c r="R119" s="1"/>
  <c r="AM119" s="1"/>
  <c r="AP119" s="1"/>
  <c r="W115"/>
  <c r="Z115" s="1"/>
  <c r="R115" s="1"/>
  <c r="AM115" s="1"/>
  <c r="AP115" s="1"/>
  <c r="W111"/>
  <c r="Z111" s="1"/>
  <c r="R111" s="1"/>
  <c r="AM111" s="1"/>
  <c r="AP111" s="1"/>
  <c r="W107"/>
  <c r="Z107" s="1"/>
  <c r="R107" s="1"/>
  <c r="AM107" s="1"/>
  <c r="AP107" s="1"/>
  <c r="W103"/>
  <c r="Z103" s="1"/>
  <c r="R103" s="1"/>
  <c r="AM103" s="1"/>
  <c r="AP103" s="1"/>
  <c r="W99"/>
  <c r="Z99" s="1"/>
  <c r="R99" s="1"/>
  <c r="AM99" s="1"/>
  <c r="AP99" s="1"/>
  <c r="W95"/>
  <c r="Z95" s="1"/>
  <c r="R95" s="1"/>
  <c r="AM95" s="1"/>
  <c r="AP95" s="1"/>
  <c r="W91"/>
  <c r="Z91" s="1"/>
  <c r="R91" s="1"/>
  <c r="AM91" s="1"/>
  <c r="AP91" s="1"/>
  <c r="W87"/>
  <c r="Z87" s="1"/>
  <c r="R87" s="1"/>
  <c r="AM87" s="1"/>
  <c r="AP87" s="1"/>
  <c r="W83"/>
  <c r="Z83" s="1"/>
  <c r="R83" s="1"/>
  <c r="AM83" s="1"/>
  <c r="AP83" s="1"/>
  <c r="W79"/>
  <c r="Z79" s="1"/>
  <c r="R79" s="1"/>
  <c r="AM79" s="1"/>
  <c r="AP79" s="1"/>
  <c r="W75"/>
  <c r="Z75" s="1"/>
  <c r="R75" s="1"/>
  <c r="AM75" s="1"/>
  <c r="AP75" s="1"/>
  <c r="W71"/>
  <c r="Z71" s="1"/>
  <c r="R71" s="1"/>
  <c r="AM71" s="1"/>
  <c r="AP71" s="1"/>
  <c r="W67"/>
  <c r="Z67" s="1"/>
  <c r="R67" s="1"/>
  <c r="AM67" s="1"/>
  <c r="AP67" s="1"/>
  <c r="W63"/>
  <c r="Z63" s="1"/>
  <c r="R63" s="1"/>
  <c r="AM63" s="1"/>
  <c r="AP63" s="1"/>
  <c r="W59"/>
  <c r="Z59" s="1"/>
  <c r="R59" s="1"/>
  <c r="AM59" s="1"/>
  <c r="AP59" s="1"/>
  <c r="W55"/>
  <c r="Z55" s="1"/>
  <c r="R55" s="1"/>
  <c r="AM55" s="1"/>
  <c r="AP55" s="1"/>
  <c r="W51"/>
  <c r="Z51" s="1"/>
  <c r="R51" s="1"/>
  <c r="AM51" s="1"/>
  <c r="AP51" s="1"/>
  <c r="W47"/>
  <c r="Z47" s="1"/>
  <c r="R47" s="1"/>
  <c r="AM47" s="1"/>
  <c r="AP47" s="1"/>
  <c r="W43"/>
  <c r="Z43" s="1"/>
  <c r="R43" s="1"/>
  <c r="AM43" s="1"/>
  <c r="AP43" s="1"/>
  <c r="W39"/>
  <c r="Z39" s="1"/>
  <c r="R39" s="1"/>
  <c r="AM39" s="1"/>
  <c r="AP39" s="1"/>
  <c r="W35"/>
  <c r="Z35" s="1"/>
  <c r="R35" s="1"/>
  <c r="AM35" s="1"/>
  <c r="AP35" s="1"/>
  <c r="W31"/>
  <c r="Z31" s="1"/>
  <c r="R31" s="1"/>
  <c r="AM31" s="1"/>
  <c r="AP31" s="1"/>
  <c r="W27"/>
  <c r="Z27" s="1"/>
  <c r="R27" s="1"/>
  <c r="AM27" s="1"/>
  <c r="AP27" s="1"/>
  <c r="W23"/>
  <c r="Z23" s="1"/>
  <c r="R23" s="1"/>
  <c r="AM23" s="1"/>
  <c r="AP23" s="1"/>
  <c r="W19"/>
  <c r="Z19" s="1"/>
  <c r="R19" s="1"/>
  <c r="AM19" s="1"/>
  <c r="AP19" s="1"/>
  <c r="W15"/>
  <c r="Z15" s="1"/>
  <c r="R15" s="1"/>
  <c r="AM15" s="1"/>
  <c r="AP15" s="1"/>
  <c r="W11"/>
  <c r="Z11" s="1"/>
  <c r="R11" s="1"/>
  <c r="AM11" s="1"/>
  <c r="AP11" s="1"/>
  <c r="W182"/>
  <c r="Z182" s="1"/>
  <c r="R182" s="1"/>
  <c r="AM182" s="1"/>
  <c r="AP182" s="1"/>
  <c r="W178"/>
  <c r="Z178" s="1"/>
  <c r="R178" s="1"/>
  <c r="AM178" s="1"/>
  <c r="AP178" s="1"/>
  <c r="W174"/>
  <c r="Z174" s="1"/>
  <c r="R174" s="1"/>
  <c r="AM174" s="1"/>
  <c r="AP174" s="1"/>
  <c r="W170"/>
  <c r="Z170" s="1"/>
  <c r="R170" s="1"/>
  <c r="AM170" s="1"/>
  <c r="AP170" s="1"/>
  <c r="W166"/>
  <c r="Z166" s="1"/>
  <c r="R166" s="1"/>
  <c r="AM166" s="1"/>
  <c r="AP166" s="1"/>
  <c r="W162"/>
  <c r="Z162" s="1"/>
  <c r="R162" s="1"/>
  <c r="AM162" s="1"/>
  <c r="AP162" s="1"/>
  <c r="W158"/>
  <c r="Z158" s="1"/>
  <c r="R158" s="1"/>
  <c r="AM158" s="1"/>
  <c r="AP158" s="1"/>
  <c r="W154"/>
  <c r="Z154" s="1"/>
  <c r="R154" s="1"/>
  <c r="AM154" s="1"/>
  <c r="AP154" s="1"/>
  <c r="W150"/>
  <c r="Z150" s="1"/>
  <c r="R150" s="1"/>
  <c r="AM150" s="1"/>
  <c r="AP150" s="1"/>
  <c r="W146"/>
  <c r="Z146" s="1"/>
  <c r="R146" s="1"/>
  <c r="AM146" s="1"/>
  <c r="AP146" s="1"/>
  <c r="W142"/>
  <c r="Z142" s="1"/>
  <c r="R142" s="1"/>
  <c r="AM142" s="1"/>
  <c r="AP142" s="1"/>
  <c r="W138"/>
  <c r="Z138" s="1"/>
  <c r="R138" s="1"/>
  <c r="AM138" s="1"/>
  <c r="AP138" s="1"/>
  <c r="W134"/>
  <c r="Z134" s="1"/>
  <c r="R134" s="1"/>
  <c r="AM134" s="1"/>
  <c r="AP134" s="1"/>
  <c r="W130"/>
  <c r="Z130" s="1"/>
  <c r="R130" s="1"/>
  <c r="AM130" s="1"/>
  <c r="AP130" s="1"/>
  <c r="W126"/>
  <c r="Z126" s="1"/>
  <c r="R126" s="1"/>
  <c r="AM126" s="1"/>
  <c r="AP126" s="1"/>
  <c r="W122"/>
  <c r="Z122" s="1"/>
  <c r="R122" s="1"/>
  <c r="AM122" s="1"/>
  <c r="AP122" s="1"/>
  <c r="W118"/>
  <c r="Z118" s="1"/>
  <c r="R118" s="1"/>
  <c r="AM118" s="1"/>
  <c r="AP118" s="1"/>
  <c r="W114"/>
  <c r="Z114" s="1"/>
  <c r="R114" s="1"/>
  <c r="AM114" s="1"/>
  <c r="AP114" s="1"/>
  <c r="W110"/>
  <c r="Z110" s="1"/>
  <c r="R110" s="1"/>
  <c r="AM110" s="1"/>
  <c r="AP110" s="1"/>
  <c r="W106"/>
  <c r="Z106" s="1"/>
  <c r="R106" s="1"/>
  <c r="AM106" s="1"/>
  <c r="AP106" s="1"/>
  <c r="W102"/>
  <c r="Z102" s="1"/>
  <c r="R102" s="1"/>
  <c r="AM102" s="1"/>
  <c r="AP102" s="1"/>
  <c r="W98"/>
  <c r="Z98" s="1"/>
  <c r="R98" s="1"/>
  <c r="AM98" s="1"/>
  <c r="AP98" s="1"/>
  <c r="W94"/>
  <c r="Z94" s="1"/>
  <c r="R94" s="1"/>
  <c r="AM94" s="1"/>
  <c r="AP94" s="1"/>
  <c r="W90"/>
  <c r="Z90" s="1"/>
  <c r="R90" s="1"/>
  <c r="AM90" s="1"/>
  <c r="AP90" s="1"/>
  <c r="W86"/>
  <c r="Z86" s="1"/>
  <c r="R86" s="1"/>
  <c r="AM86" s="1"/>
  <c r="AP86" s="1"/>
  <c r="W82"/>
  <c r="Z82" s="1"/>
  <c r="R82" s="1"/>
  <c r="AM82" s="1"/>
  <c r="AP82" s="1"/>
  <c r="W78"/>
  <c r="Z78" s="1"/>
  <c r="R78" s="1"/>
  <c r="AM78" s="1"/>
  <c r="AP78" s="1"/>
  <c r="W74"/>
  <c r="Z74" s="1"/>
  <c r="R74" s="1"/>
  <c r="AM74" s="1"/>
  <c r="AP74" s="1"/>
  <c r="W70"/>
  <c r="Z70" s="1"/>
  <c r="R70" s="1"/>
  <c r="AM70" s="1"/>
  <c r="AP70" s="1"/>
  <c r="W66"/>
  <c r="Z66" s="1"/>
  <c r="R66" s="1"/>
  <c r="AM66" s="1"/>
  <c r="AP66" s="1"/>
  <c r="W62"/>
  <c r="Z62" s="1"/>
  <c r="R62" s="1"/>
  <c r="AM62" s="1"/>
  <c r="AP62" s="1"/>
  <c r="W58"/>
  <c r="Z58" s="1"/>
  <c r="R58" s="1"/>
  <c r="AM58" s="1"/>
  <c r="AP58" s="1"/>
  <c r="W54"/>
  <c r="Z54" s="1"/>
  <c r="R54" s="1"/>
  <c r="AM54" s="1"/>
  <c r="AP54" s="1"/>
  <c r="W50"/>
  <c r="Z50" s="1"/>
  <c r="R50" s="1"/>
  <c r="AM50" s="1"/>
  <c r="AP50" s="1"/>
  <c r="W46"/>
  <c r="Z46" s="1"/>
  <c r="R46" s="1"/>
  <c r="AM46" s="1"/>
  <c r="AP46" s="1"/>
  <c r="W42"/>
  <c r="Z42" s="1"/>
  <c r="R42" s="1"/>
  <c r="AM42" s="1"/>
  <c r="AP42" s="1"/>
  <c r="W38"/>
  <c r="Z38" s="1"/>
  <c r="R38" s="1"/>
  <c r="AM38" s="1"/>
  <c r="AP38" s="1"/>
  <c r="W34"/>
  <c r="Z34" s="1"/>
  <c r="R34" s="1"/>
  <c r="AM34" s="1"/>
  <c r="AP34" s="1"/>
  <c r="W30"/>
  <c r="Z30" s="1"/>
  <c r="R30" s="1"/>
  <c r="AM30" s="1"/>
  <c r="AP30" s="1"/>
  <c r="W26"/>
  <c r="Z26" s="1"/>
  <c r="R26" s="1"/>
  <c r="AM26" s="1"/>
  <c r="AP26" s="1"/>
  <c r="W22"/>
  <c r="Z22" s="1"/>
  <c r="R22" s="1"/>
  <c r="AM22" s="1"/>
  <c r="AP22" s="1"/>
  <c r="W18"/>
  <c r="Z18" s="1"/>
  <c r="R18" s="1"/>
  <c r="AM18" s="1"/>
  <c r="AP18" s="1"/>
  <c r="W14"/>
  <c r="Z14" s="1"/>
  <c r="R14" s="1"/>
  <c r="AM14" s="1"/>
  <c r="AP14" s="1"/>
  <c r="W10"/>
  <c r="Z10" s="1"/>
  <c r="R10" s="1"/>
  <c r="AM10" s="1"/>
  <c r="AP10" s="1"/>
  <c r="W184"/>
  <c r="Z184" s="1"/>
  <c r="R184" s="1"/>
  <c r="AM184" s="1"/>
  <c r="AP184" s="1"/>
  <c r="W176"/>
  <c r="Z176" s="1"/>
  <c r="R176" s="1"/>
  <c r="AM176" s="1"/>
  <c r="AP176" s="1"/>
  <c r="W168"/>
  <c r="Z168" s="1"/>
  <c r="R168" s="1"/>
  <c r="AM168" s="1"/>
  <c r="AP168" s="1"/>
  <c r="W160"/>
  <c r="Z160" s="1"/>
  <c r="R160" s="1"/>
  <c r="AM160" s="1"/>
  <c r="AP160" s="1"/>
  <c r="W152"/>
  <c r="Z152" s="1"/>
  <c r="R152" s="1"/>
  <c r="AM152" s="1"/>
  <c r="AP152" s="1"/>
  <c r="W144"/>
  <c r="Z144" s="1"/>
  <c r="R144" s="1"/>
  <c r="AM144" s="1"/>
  <c r="AP144" s="1"/>
  <c r="W136"/>
  <c r="Z136" s="1"/>
  <c r="R136" s="1"/>
  <c r="AM136" s="1"/>
  <c r="AP136" s="1"/>
  <c r="W128"/>
  <c r="Z128" s="1"/>
  <c r="R128" s="1"/>
  <c r="AM128" s="1"/>
  <c r="AP128" s="1"/>
  <c r="W120"/>
  <c r="Z120" s="1"/>
  <c r="R120" s="1"/>
  <c r="AM120" s="1"/>
  <c r="AP120" s="1"/>
  <c r="W181"/>
  <c r="Z181" s="1"/>
  <c r="R181" s="1"/>
  <c r="AM181" s="1"/>
  <c r="AP181" s="1"/>
  <c r="W173"/>
  <c r="Z173" s="1"/>
  <c r="R173" s="1"/>
  <c r="AM173" s="1"/>
  <c r="AP173" s="1"/>
  <c r="W165"/>
  <c r="Z165" s="1"/>
  <c r="R165" s="1"/>
  <c r="AM165" s="1"/>
  <c r="AP165" s="1"/>
  <c r="W157"/>
  <c r="Z157" s="1"/>
  <c r="R157" s="1"/>
  <c r="AM157" s="1"/>
  <c r="AP157" s="1"/>
  <c r="W149"/>
  <c r="Z149" s="1"/>
  <c r="R149" s="1"/>
  <c r="AM149" s="1"/>
  <c r="AP149" s="1"/>
  <c r="W141"/>
  <c r="Z141" s="1"/>
  <c r="R141" s="1"/>
  <c r="AM141" s="1"/>
  <c r="AP141" s="1"/>
  <c r="W133"/>
  <c r="Z133" s="1"/>
  <c r="R133" s="1"/>
  <c r="AM133" s="1"/>
  <c r="AP133" s="1"/>
  <c r="W125"/>
  <c r="Z125" s="1"/>
  <c r="R125" s="1"/>
  <c r="AM125" s="1"/>
  <c r="AP125" s="1"/>
  <c r="W117"/>
  <c r="Z117" s="1"/>
  <c r="R117" s="1"/>
  <c r="AM117" s="1"/>
  <c r="AP117" s="1"/>
  <c r="W109"/>
  <c r="Z109" s="1"/>
  <c r="R109" s="1"/>
  <c r="AM109" s="1"/>
  <c r="AP109" s="1"/>
  <c r="W101"/>
  <c r="Z101" s="1"/>
  <c r="R101" s="1"/>
  <c r="AM101" s="1"/>
  <c r="AP101" s="1"/>
  <c r="W93"/>
  <c r="Z93" s="1"/>
  <c r="R93" s="1"/>
  <c r="AM93" s="1"/>
  <c r="AP93" s="1"/>
  <c r="W85"/>
  <c r="Z85" s="1"/>
  <c r="R85" s="1"/>
  <c r="AM85" s="1"/>
  <c r="AP85" s="1"/>
  <c r="W77"/>
  <c r="Z77" s="1"/>
  <c r="R77" s="1"/>
  <c r="AM77" s="1"/>
  <c r="AP77" s="1"/>
  <c r="W69"/>
  <c r="Z69" s="1"/>
  <c r="R69" s="1"/>
  <c r="AM69" s="1"/>
  <c r="AP69" s="1"/>
  <c r="W61"/>
  <c r="Z61" s="1"/>
  <c r="R61" s="1"/>
  <c r="AM61" s="1"/>
  <c r="AP61" s="1"/>
  <c r="W53"/>
  <c r="Z53" s="1"/>
  <c r="R53" s="1"/>
  <c r="AM53" s="1"/>
  <c r="AP53" s="1"/>
  <c r="W45"/>
  <c r="Z45" s="1"/>
  <c r="R45" s="1"/>
  <c r="AM45" s="1"/>
  <c r="AP45" s="1"/>
  <c r="W37"/>
  <c r="Z37" s="1"/>
  <c r="R37" s="1"/>
  <c r="AM37" s="1"/>
  <c r="AP37" s="1"/>
  <c r="W29"/>
  <c r="Z29" s="1"/>
  <c r="R29" s="1"/>
  <c r="AM29" s="1"/>
  <c r="AP29" s="1"/>
  <c r="W21"/>
  <c r="Z21" s="1"/>
  <c r="R21" s="1"/>
  <c r="AM21" s="1"/>
  <c r="AP21" s="1"/>
  <c r="W13"/>
  <c r="Z13" s="1"/>
  <c r="R13" s="1"/>
  <c r="AM13" s="1"/>
  <c r="AP13" s="1"/>
  <c r="W180"/>
  <c r="Z180" s="1"/>
  <c r="R180" s="1"/>
  <c r="AM180" s="1"/>
  <c r="AP180" s="1"/>
  <c r="W164"/>
  <c r="Z164" s="1"/>
  <c r="R164" s="1"/>
  <c r="AM164" s="1"/>
  <c r="AP164" s="1"/>
  <c r="W148"/>
  <c r="Z148" s="1"/>
  <c r="R148" s="1"/>
  <c r="AM148" s="1"/>
  <c r="AP148" s="1"/>
  <c r="W132"/>
  <c r="Z132" s="1"/>
  <c r="R132" s="1"/>
  <c r="AM132" s="1"/>
  <c r="AP132" s="1"/>
  <c r="W116"/>
  <c r="Z116" s="1"/>
  <c r="R116" s="1"/>
  <c r="AM116" s="1"/>
  <c r="AP116" s="1"/>
  <c r="W105"/>
  <c r="Z105" s="1"/>
  <c r="R105" s="1"/>
  <c r="AM105" s="1"/>
  <c r="AP105" s="1"/>
  <c r="W96"/>
  <c r="Z96" s="1"/>
  <c r="R96" s="1"/>
  <c r="AM96" s="1"/>
  <c r="AP96" s="1"/>
  <c r="W84"/>
  <c r="Z84" s="1"/>
  <c r="R84" s="1"/>
  <c r="AM84" s="1"/>
  <c r="AP84" s="1"/>
  <c r="W73"/>
  <c r="Z73" s="1"/>
  <c r="R73" s="1"/>
  <c r="AM73" s="1"/>
  <c r="AP73" s="1"/>
  <c r="W64"/>
  <c r="Z64" s="1"/>
  <c r="R64" s="1"/>
  <c r="AM64" s="1"/>
  <c r="AP64" s="1"/>
  <c r="W52"/>
  <c r="Z52" s="1"/>
  <c r="R52" s="1"/>
  <c r="AM52" s="1"/>
  <c r="AP52" s="1"/>
  <c r="W41"/>
  <c r="Z41" s="1"/>
  <c r="R41" s="1"/>
  <c r="AM41" s="1"/>
  <c r="AP41" s="1"/>
  <c r="W32"/>
  <c r="Z32" s="1"/>
  <c r="R32" s="1"/>
  <c r="AM32" s="1"/>
  <c r="AP32" s="1"/>
  <c r="W20"/>
  <c r="Z20" s="1"/>
  <c r="R20" s="1"/>
  <c r="AM20" s="1"/>
  <c r="AP20" s="1"/>
  <c r="W9"/>
  <c r="Z9" s="1"/>
  <c r="W177"/>
  <c r="Z177" s="1"/>
  <c r="R177" s="1"/>
  <c r="AM177" s="1"/>
  <c r="AP177" s="1"/>
  <c r="W161"/>
  <c r="Z161" s="1"/>
  <c r="R161" s="1"/>
  <c r="AM161" s="1"/>
  <c r="AP161" s="1"/>
  <c r="W145"/>
  <c r="Z145" s="1"/>
  <c r="R145" s="1"/>
  <c r="AM145" s="1"/>
  <c r="AP145" s="1"/>
  <c r="W129"/>
  <c r="Z129" s="1"/>
  <c r="R129" s="1"/>
  <c r="AM129" s="1"/>
  <c r="AP129" s="1"/>
  <c r="W113"/>
  <c r="Z113" s="1"/>
  <c r="R113" s="1"/>
  <c r="AM113" s="1"/>
  <c r="AP113" s="1"/>
  <c r="W104"/>
  <c r="Z104" s="1"/>
  <c r="R104" s="1"/>
  <c r="AM104" s="1"/>
  <c r="AP104" s="1"/>
  <c r="W92"/>
  <c r="Z92" s="1"/>
  <c r="R92" s="1"/>
  <c r="AM92" s="1"/>
  <c r="AP92" s="1"/>
  <c r="W81"/>
  <c r="Z81" s="1"/>
  <c r="R81" s="1"/>
  <c r="AM81" s="1"/>
  <c r="AP81" s="1"/>
  <c r="W72"/>
  <c r="Z72" s="1"/>
  <c r="R72" s="1"/>
  <c r="AM72" s="1"/>
  <c r="AP72" s="1"/>
  <c r="W60"/>
  <c r="Z60" s="1"/>
  <c r="R60" s="1"/>
  <c r="AM60" s="1"/>
  <c r="AP60" s="1"/>
  <c r="W49"/>
  <c r="Z49" s="1"/>
  <c r="R49" s="1"/>
  <c r="AM49" s="1"/>
  <c r="AP49" s="1"/>
  <c r="W40"/>
  <c r="Z40" s="1"/>
  <c r="R40" s="1"/>
  <c r="AM40" s="1"/>
  <c r="AP40" s="1"/>
  <c r="W28"/>
  <c r="Z28" s="1"/>
  <c r="R28" s="1"/>
  <c r="AM28" s="1"/>
  <c r="AP28" s="1"/>
  <c r="W17"/>
  <c r="Z17" s="1"/>
  <c r="R17" s="1"/>
  <c r="AM17" s="1"/>
  <c r="AP17" s="1"/>
  <c r="W172"/>
  <c r="Z172" s="1"/>
  <c r="R172" s="1"/>
  <c r="AM172" s="1"/>
  <c r="AP172" s="1"/>
  <c r="W156"/>
  <c r="Z156" s="1"/>
  <c r="R156" s="1"/>
  <c r="AM156" s="1"/>
  <c r="AP156" s="1"/>
  <c r="W140"/>
  <c r="Z140" s="1"/>
  <c r="R140" s="1"/>
  <c r="AM140" s="1"/>
  <c r="AP140" s="1"/>
  <c r="W124"/>
  <c r="Z124" s="1"/>
  <c r="R124" s="1"/>
  <c r="AM124" s="1"/>
  <c r="AP124" s="1"/>
  <c r="W112"/>
  <c r="Z112" s="1"/>
  <c r="R112" s="1"/>
  <c r="AM112" s="1"/>
  <c r="AP112" s="1"/>
  <c r="W100"/>
  <c r="Z100" s="1"/>
  <c r="R100" s="1"/>
  <c r="AM100" s="1"/>
  <c r="AP100" s="1"/>
  <c r="W89"/>
  <c r="W80"/>
  <c r="Z80" s="1"/>
  <c r="R80" s="1"/>
  <c r="AM80" s="1"/>
  <c r="AP80" s="1"/>
  <c r="W68"/>
  <c r="Z68" s="1"/>
  <c r="R68" s="1"/>
  <c r="AM68" s="1"/>
  <c r="AP68" s="1"/>
  <c r="W57"/>
  <c r="Z57" s="1"/>
  <c r="R57" s="1"/>
  <c r="AM57" s="1"/>
  <c r="AP57" s="1"/>
  <c r="W48"/>
  <c r="Z48" s="1"/>
  <c r="R48" s="1"/>
  <c r="AM48" s="1"/>
  <c r="AP48" s="1"/>
  <c r="W36"/>
  <c r="Z36" s="1"/>
  <c r="R36" s="1"/>
  <c r="AM36" s="1"/>
  <c r="AP36" s="1"/>
  <c r="W25"/>
  <c r="Z25" s="1"/>
  <c r="R25" s="1"/>
  <c r="AM25" s="1"/>
  <c r="AP25" s="1"/>
  <c r="W16"/>
  <c r="Z16" s="1"/>
  <c r="R16" s="1"/>
  <c r="AM16" s="1"/>
  <c r="AP16" s="1"/>
  <c r="W169"/>
  <c r="Z169" s="1"/>
  <c r="R169" s="1"/>
  <c r="AM169" s="1"/>
  <c r="AP169" s="1"/>
  <c r="W108"/>
  <c r="Z108" s="1"/>
  <c r="R108" s="1"/>
  <c r="AM108" s="1"/>
  <c r="AP108" s="1"/>
  <c r="W65"/>
  <c r="Z65" s="1"/>
  <c r="R65" s="1"/>
  <c r="AM65" s="1"/>
  <c r="AP65" s="1"/>
  <c r="W24"/>
  <c r="Z24" s="1"/>
  <c r="R24" s="1"/>
  <c r="AM24" s="1"/>
  <c r="AP24" s="1"/>
  <c r="W153"/>
  <c r="Z153" s="1"/>
  <c r="R153" s="1"/>
  <c r="AM153" s="1"/>
  <c r="AP153" s="1"/>
  <c r="W97"/>
  <c r="Z97" s="1"/>
  <c r="R97" s="1"/>
  <c r="AM97" s="1"/>
  <c r="AP97" s="1"/>
  <c r="W56"/>
  <c r="Z56" s="1"/>
  <c r="R56" s="1"/>
  <c r="AM56" s="1"/>
  <c r="AP56" s="1"/>
  <c r="W12"/>
  <c r="Z12" s="1"/>
  <c r="R12" s="1"/>
  <c r="AM12" s="1"/>
  <c r="AP12" s="1"/>
  <c r="W137"/>
  <c r="Z137" s="1"/>
  <c r="R137" s="1"/>
  <c r="AM137" s="1"/>
  <c r="AP137" s="1"/>
  <c r="W88"/>
  <c r="Z88" s="1"/>
  <c r="R88" s="1"/>
  <c r="AM88" s="1"/>
  <c r="AP88" s="1"/>
  <c r="W44"/>
  <c r="Z44" s="1"/>
  <c r="R44" s="1"/>
  <c r="AM44" s="1"/>
  <c r="AP44" s="1"/>
  <c r="W121"/>
  <c r="Z121" s="1"/>
  <c r="R121" s="1"/>
  <c r="AM121" s="1"/>
  <c r="AP121" s="1"/>
  <c r="W76"/>
  <c r="Z76" s="1"/>
  <c r="R76" s="1"/>
  <c r="AM76" s="1"/>
  <c r="AP76" s="1"/>
  <c r="W33"/>
  <c r="Z33" s="1"/>
  <c r="R33" s="1"/>
  <c r="AM33" s="1"/>
  <c r="AP33" s="1"/>
  <c r="L19" i="40"/>
  <c r="E52" i="2"/>
  <c r="D81"/>
  <c r="D82" s="1"/>
  <c r="D83" s="1"/>
  <c r="D163"/>
  <c r="D164" s="1"/>
  <c r="K20" i="40"/>
  <c r="K22" s="1"/>
  <c r="E42" i="2"/>
  <c r="F42" s="1"/>
  <c r="F41"/>
  <c r="G22" i="10" s="1"/>
  <c r="L22" s="1"/>
  <c r="D73" i="37"/>
  <c r="F72"/>
  <c r="P199" i="10"/>
  <c r="Q120"/>
  <c r="W192" i="25" l="1"/>
  <c r="Z89"/>
  <c r="R89" s="1"/>
  <c r="AM89" s="1"/>
  <c r="AP89" s="1"/>
  <c r="AA9"/>
  <c r="R9"/>
  <c r="AM9" s="1"/>
  <c r="AP9" s="1"/>
  <c r="AQ165"/>
  <c r="K23" i="40"/>
  <c r="E53" i="2"/>
  <c r="E54" s="1"/>
  <c r="E55" s="1"/>
  <c r="E56" s="1"/>
  <c r="E57" s="1"/>
  <c r="E58" s="1"/>
  <c r="E59" s="1"/>
  <c r="E60" s="1"/>
  <c r="E61" s="1"/>
  <c r="E62" s="1"/>
  <c r="E63" s="1"/>
  <c r="F63" s="1"/>
  <c r="F52"/>
  <c r="G31" i="10" s="1"/>
  <c r="D114" i="2"/>
  <c r="D167"/>
  <c r="D169" s="1"/>
  <c r="E43"/>
  <c r="G23" i="10"/>
  <c r="L23" s="1"/>
  <c r="D74" i="37"/>
  <c r="F73"/>
  <c r="Q109" i="10"/>
  <c r="AU165" i="25" l="1"/>
  <c r="M155" i="10" s="1"/>
  <c r="O155" s="1"/>
  <c r="R192" i="25"/>
  <c r="Z192"/>
  <c r="F43" i="2"/>
  <c r="G24" i="10" s="1"/>
  <c r="L24" s="1"/>
  <c r="E44" i="2"/>
  <c r="L31" i="10"/>
  <c r="D115" i="2"/>
  <c r="D85"/>
  <c r="D86" s="1"/>
  <c r="D87" s="1"/>
  <c r="D172"/>
  <c r="D170"/>
  <c r="E64"/>
  <c r="D75" i="37"/>
  <c r="D118" s="1"/>
  <c r="F74"/>
  <c r="AQ121" i="25"/>
  <c r="Q119" i="10"/>
  <c r="F44" i="2" l="1"/>
  <c r="G25" i="10" s="1"/>
  <c r="E45" i="2"/>
  <c r="E65"/>
  <c r="F65" s="1"/>
  <c r="G38" i="10" s="1"/>
  <c r="L38" s="1"/>
  <c r="E66" i="2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D168"/>
  <c r="D116"/>
  <c r="D165" s="1"/>
  <c r="D166" s="1"/>
  <c r="D160" i="37"/>
  <c r="F75"/>
  <c r="AQ123" i="25"/>
  <c r="AU121"/>
  <c r="M114" i="10" s="1"/>
  <c r="O114" s="1"/>
  <c r="AQ86" i="25"/>
  <c r="AQ119"/>
  <c r="Q85" i="10"/>
  <c r="AQ120" i="25"/>
  <c r="D88" i="2"/>
  <c r="AQ116" i="25"/>
  <c r="AQ84"/>
  <c r="AQ118"/>
  <c r="AQ114"/>
  <c r="AQ85"/>
  <c r="AQ115"/>
  <c r="AQ117"/>
  <c r="F45" i="2" l="1"/>
  <c r="G26" i="10" s="1"/>
  <c r="E46" i="2"/>
  <c r="F46" s="1"/>
  <c r="G27" i="10" s="1"/>
  <c r="L25"/>
  <c r="H342"/>
  <c r="H343" s="1"/>
  <c r="D109" i="2"/>
  <c r="D113"/>
  <c r="E85"/>
  <c r="E81"/>
  <c r="AD192" i="25"/>
  <c r="AQ180"/>
  <c r="D161" i="37"/>
  <c r="D162" s="1"/>
  <c r="H5"/>
  <c r="H6" s="1"/>
  <c r="AU123" i="25"/>
  <c r="M115" i="10" s="1"/>
  <c r="O115" s="1"/>
  <c r="AU86" i="25"/>
  <c r="M104" i="10" s="1"/>
  <c r="O104" s="1"/>
  <c r="AU119" i="25"/>
  <c r="M112" i="10" s="1"/>
  <c r="O112" s="1"/>
  <c r="D343"/>
  <c r="AU120" i="25"/>
  <c r="M113" i="10" s="1"/>
  <c r="O113" s="1"/>
  <c r="AU114" i="25"/>
  <c r="M107" i="10" s="1"/>
  <c r="O107" s="1"/>
  <c r="AU118" i="25"/>
  <c r="M111" i="10" s="1"/>
  <c r="O111" s="1"/>
  <c r="AU84" i="25"/>
  <c r="M102" i="10" s="1"/>
  <c r="O102" s="1"/>
  <c r="AU116" i="25"/>
  <c r="M109" i="10" s="1"/>
  <c r="O109" s="1"/>
  <c r="D89" i="2"/>
  <c r="AU85" i="25"/>
  <c r="M103" i="10" s="1"/>
  <c r="O103" s="1"/>
  <c r="AU117" i="25"/>
  <c r="M110" i="10" s="1"/>
  <c r="O110" s="1"/>
  <c r="AU115" i="25"/>
  <c r="M108" i="10" s="1"/>
  <c r="O108" s="1"/>
  <c r="L27" l="1"/>
  <c r="L26"/>
  <c r="F81" i="2"/>
  <c r="G64" i="10" s="1"/>
  <c r="E82" i="2"/>
  <c r="F85"/>
  <c r="G88" i="10" s="1"/>
  <c r="E86" i="2"/>
  <c r="AU180" i="25"/>
  <c r="D164" i="37"/>
  <c r="D165" s="1"/>
  <c r="D90" i="2"/>
  <c r="F86" l="1"/>
  <c r="G89" i="10" s="1"/>
  <c r="E87" i="2"/>
  <c r="E83"/>
  <c r="F83" s="1"/>
  <c r="G66" i="10" s="1"/>
  <c r="F82" i="2"/>
  <c r="G65" i="10" s="1"/>
  <c r="L64"/>
  <c r="O179"/>
  <c r="M177"/>
  <c r="O177" s="1"/>
  <c r="D166" i="37"/>
  <c r="D91" i="2"/>
  <c r="AQ175" i="25" l="1"/>
  <c r="AQ71"/>
  <c r="L65" i="10"/>
  <c r="L66"/>
  <c r="F87" i="2"/>
  <c r="G90" i="10" s="1"/>
  <c r="E88" i="2"/>
  <c r="AQ125" i="25"/>
  <c r="AQ171"/>
  <c r="AQ100"/>
  <c r="AQ101"/>
  <c r="AU101" s="1"/>
  <c r="AQ184"/>
  <c r="AU184" s="1"/>
  <c r="M182" i="10" s="1"/>
  <c r="O182" s="1"/>
  <c r="D170" i="37"/>
  <c r="D167"/>
  <c r="AQ10" i="25"/>
  <c r="AQ98"/>
  <c r="AQ78"/>
  <c r="AQ149"/>
  <c r="AQ168"/>
  <c r="AQ173"/>
  <c r="AQ131"/>
  <c r="AQ104"/>
  <c r="AQ144"/>
  <c r="AQ139"/>
  <c r="AQ126"/>
  <c r="AQ96"/>
  <c r="AQ105"/>
  <c r="AQ130"/>
  <c r="AQ97"/>
  <c r="AQ108"/>
  <c r="AQ83"/>
  <c r="AQ127"/>
  <c r="AQ169"/>
  <c r="AQ155"/>
  <c r="AQ87"/>
  <c r="AQ166"/>
  <c r="AQ102"/>
  <c r="AQ82"/>
  <c r="AQ103"/>
  <c r="AQ148"/>
  <c r="AQ170"/>
  <c r="AQ181"/>
  <c r="AQ124"/>
  <c r="AQ109"/>
  <c r="AQ128"/>
  <c r="AQ183"/>
  <c r="AQ88"/>
  <c r="AQ164"/>
  <c r="AQ174"/>
  <c r="AQ129"/>
  <c r="AQ106"/>
  <c r="AQ99"/>
  <c r="AQ167"/>
  <c r="AQ113"/>
  <c r="AQ172"/>
  <c r="AQ107"/>
  <c r="AQ182"/>
  <c r="D93" i="2"/>
  <c r="AU175" i="25" l="1"/>
  <c r="M173" i="10" s="1"/>
  <c r="O173" s="1"/>
  <c r="AU71" i="25"/>
  <c r="M31" i="10" s="1"/>
  <c r="O31" s="1"/>
  <c r="AQ62" i="25"/>
  <c r="AQ63"/>
  <c r="AQ64"/>
  <c r="D168" i="37"/>
  <c r="AQ122" i="25"/>
  <c r="AX122"/>
  <c r="F88" i="2"/>
  <c r="G91" i="10" s="1"/>
  <c r="E89" i="2"/>
  <c r="AQ22" i="25"/>
  <c r="AU125"/>
  <c r="M136" i="10" s="1"/>
  <c r="O136" s="1"/>
  <c r="AU171" i="25"/>
  <c r="M163" i="10" s="1"/>
  <c r="O163" s="1"/>
  <c r="AX178" i="25"/>
  <c r="AQ179"/>
  <c r="AQ162"/>
  <c r="AU162" s="1"/>
  <c r="M152" i="10" s="1"/>
  <c r="O152" s="1"/>
  <c r="AU100" i="25"/>
  <c r="M83" i="10" s="1"/>
  <c r="O83" s="1"/>
  <c r="AQ23" i="25"/>
  <c r="AQ21"/>
  <c r="AQ61"/>
  <c r="AQ60"/>
  <c r="D171" i="37"/>
  <c r="AQ176" i="25"/>
  <c r="AQ59"/>
  <c r="AQ110"/>
  <c r="AU110" s="1"/>
  <c r="M122" i="10" s="1"/>
  <c r="O122" s="1"/>
  <c r="AU98" i="25"/>
  <c r="M81" i="10" s="1"/>
  <c r="O81" s="1"/>
  <c r="AW78" i="25"/>
  <c r="AX78" s="1"/>
  <c r="AU78"/>
  <c r="M38" i="10" s="1"/>
  <c r="O38" s="1"/>
  <c r="P38" s="1"/>
  <c r="AQ66" i="25"/>
  <c r="AQ42"/>
  <c r="AQ13"/>
  <c r="AU173"/>
  <c r="AU105"/>
  <c r="M121" i="10" s="1"/>
  <c r="O121" s="1"/>
  <c r="AU129" i="25"/>
  <c r="M140" i="10" s="1"/>
  <c r="O140" s="1"/>
  <c r="AU109" i="25"/>
  <c r="M127" i="10" s="1"/>
  <c r="O127" s="1"/>
  <c r="AU82" i="25"/>
  <c r="AU97"/>
  <c r="M80" i="10" s="1"/>
  <c r="O80" s="1"/>
  <c r="AU130" i="25"/>
  <c r="M141" i="10" s="1"/>
  <c r="O141" s="1"/>
  <c r="AU104" i="25"/>
  <c r="M120" i="10" s="1"/>
  <c r="O120" s="1"/>
  <c r="AU131" i="25"/>
  <c r="M144" i="10" s="1"/>
  <c r="O144" s="1"/>
  <c r="AU149" i="25"/>
  <c r="M166" i="10" s="1"/>
  <c r="O166" s="1"/>
  <c r="AU182" i="25"/>
  <c r="M178" i="10" s="1"/>
  <c r="O178" s="1"/>
  <c r="AU99" i="25"/>
  <c r="M82" i="10" s="1"/>
  <c r="O82" s="1"/>
  <c r="AU106" i="25"/>
  <c r="M124" i="10" s="1"/>
  <c r="O124" s="1"/>
  <c r="AU88" i="25"/>
  <c r="M119" i="10" s="1"/>
  <c r="O119" s="1"/>
  <c r="AU128" i="25"/>
  <c r="M139" i="10" s="1"/>
  <c r="O139" s="1"/>
  <c r="AU148" i="25"/>
  <c r="AU87"/>
  <c r="M118" i="10" s="1"/>
  <c r="O118" s="1"/>
  <c r="AU155" i="25"/>
  <c r="M132" i="10" s="1"/>
  <c r="O132" s="1"/>
  <c r="AU102" i="25"/>
  <c r="M85" i="10" s="1"/>
  <c r="O85" s="1"/>
  <c r="AU166" i="25"/>
  <c r="M156" i="10" s="1"/>
  <c r="O156" s="1"/>
  <c r="AU169" i="25"/>
  <c r="M161" i="10" s="1"/>
  <c r="O161" s="1"/>
  <c r="AU83" i="25"/>
  <c r="M100" i="10" s="1"/>
  <c r="O100" s="1"/>
  <c r="AU139" i="25"/>
  <c r="M91" i="10" s="1"/>
  <c r="O91" s="1"/>
  <c r="AU174" i="25"/>
  <c r="M183" i="10" s="1"/>
  <c r="O183" s="1"/>
  <c r="AU164" i="25"/>
  <c r="O154" i="10" s="1"/>
  <c r="AU181" i="25"/>
  <c r="M180" i="10" s="1"/>
  <c r="O180" s="1"/>
  <c r="AU107" i="25"/>
  <c r="M125" i="10" s="1"/>
  <c r="O125" s="1"/>
  <c r="AU172" i="25"/>
  <c r="M164" i="10" s="1"/>
  <c r="O164" s="1"/>
  <c r="AU167" i="25"/>
  <c r="M157" i="10" s="1"/>
  <c r="O157" s="1"/>
  <c r="P157" s="1"/>
  <c r="M84"/>
  <c r="O84" s="1"/>
  <c r="AU183" i="25"/>
  <c r="M181" i="10" s="1"/>
  <c r="O181" s="1"/>
  <c r="AU170" i="25"/>
  <c r="M162" i="10" s="1"/>
  <c r="O162" s="1"/>
  <c r="AU103" i="25"/>
  <c r="M86" i="10" s="1"/>
  <c r="O86" s="1"/>
  <c r="AU108" i="25"/>
  <c r="M126" i="10" s="1"/>
  <c r="O126" s="1"/>
  <c r="AU96" i="25"/>
  <c r="M79" i="10" s="1"/>
  <c r="O79" s="1"/>
  <c r="AU126" i="25"/>
  <c r="M137" i="10" s="1"/>
  <c r="O137" s="1"/>
  <c r="AU144" i="25"/>
  <c r="M96" i="10" s="1"/>
  <c r="O96" s="1"/>
  <c r="AU168" i="25"/>
  <c r="M159" i="10" s="1"/>
  <c r="O159" s="1"/>
  <c r="P159" s="1"/>
  <c r="AQ94" i="25"/>
  <c r="AQ53"/>
  <c r="AQ29"/>
  <c r="AQ39"/>
  <c r="AQ44"/>
  <c r="AQ151"/>
  <c r="AQ68"/>
  <c r="AQ143"/>
  <c r="AQ58"/>
  <c r="AQ30"/>
  <c r="AQ24"/>
  <c r="AQ47"/>
  <c r="AQ11"/>
  <c r="AQ92"/>
  <c r="AQ43"/>
  <c r="AQ137"/>
  <c r="AQ28"/>
  <c r="AQ51"/>
  <c r="AQ156"/>
  <c r="AQ160"/>
  <c r="AQ34"/>
  <c r="AQ80"/>
  <c r="AQ17"/>
  <c r="AQ93"/>
  <c r="AQ146"/>
  <c r="AQ56"/>
  <c r="AQ76"/>
  <c r="AQ18"/>
  <c r="AQ70"/>
  <c r="AQ154"/>
  <c r="AQ77"/>
  <c r="AQ89"/>
  <c r="AQ45"/>
  <c r="AQ157"/>
  <c r="AQ57"/>
  <c r="AQ14"/>
  <c r="AQ12"/>
  <c r="AQ54"/>
  <c r="AQ90"/>
  <c r="AQ79"/>
  <c r="AQ75"/>
  <c r="AQ73"/>
  <c r="AU113"/>
  <c r="M106" i="10" s="1"/>
  <c r="O106" s="1"/>
  <c r="AU124" i="25"/>
  <c r="M135" i="10" s="1"/>
  <c r="O135" s="1"/>
  <c r="AU127" i="25"/>
  <c r="M138" i="10" s="1"/>
  <c r="O138" s="1"/>
  <c r="AQ37" i="25"/>
  <c r="AQ25"/>
  <c r="AQ38"/>
  <c r="AQ161"/>
  <c r="AQ152"/>
  <c r="AQ159"/>
  <c r="AQ26"/>
  <c r="AQ49"/>
  <c r="AQ46"/>
  <c r="AQ40"/>
  <c r="AQ133"/>
  <c r="AQ55"/>
  <c r="AQ52"/>
  <c r="AQ67"/>
  <c r="AQ111"/>
  <c r="AQ32"/>
  <c r="AQ19"/>
  <c r="AQ36"/>
  <c r="AQ132"/>
  <c r="AQ72"/>
  <c r="AQ16"/>
  <c r="AQ50"/>
  <c r="AQ31"/>
  <c r="AQ158"/>
  <c r="AQ141"/>
  <c r="AQ20"/>
  <c r="AQ140"/>
  <c r="AQ33"/>
  <c r="AQ15"/>
  <c r="AQ27"/>
  <c r="AQ142"/>
  <c r="AQ35"/>
  <c r="AQ150"/>
  <c r="AQ138"/>
  <c r="AQ134"/>
  <c r="AQ153"/>
  <c r="AQ69"/>
  <c r="AQ74"/>
  <c r="AQ48"/>
  <c r="AQ136"/>
  <c r="AQ145"/>
  <c r="D94" i="2"/>
  <c r="AW63" i="25" l="1"/>
  <c r="AX63" s="1"/>
  <c r="AW71"/>
  <c r="AX71" s="1"/>
  <c r="AW64"/>
  <c r="AX64" s="1"/>
  <c r="AU64"/>
  <c r="M27" i="10" s="1"/>
  <c r="O27" s="1"/>
  <c r="F321" s="1"/>
  <c r="AU62" i="25"/>
  <c r="M25" i="10" s="1"/>
  <c r="O25" s="1"/>
  <c r="AW62" i="25"/>
  <c r="AX62" s="1"/>
  <c r="AU63"/>
  <c r="M26" i="10" s="1"/>
  <c r="O26" s="1"/>
  <c r="AQ177" i="25"/>
  <c r="AU177" s="1"/>
  <c r="M171" i="10" s="1"/>
  <c r="O171" s="1"/>
  <c r="P31"/>
  <c r="G328" s="1"/>
  <c r="F328"/>
  <c r="AU122" i="25"/>
  <c r="M116" i="10" s="1"/>
  <c r="O116" s="1"/>
  <c r="E90" i="2"/>
  <c r="F89"/>
  <c r="G92" i="10" s="1"/>
  <c r="AQ147" i="25"/>
  <c r="AU147" s="1"/>
  <c r="M165" i="10" s="1"/>
  <c r="O165" s="1"/>
  <c r="AU176" i="25"/>
  <c r="M172" i="10" s="1"/>
  <c r="AW22" i="25"/>
  <c r="AX22" s="1"/>
  <c r="AQ178"/>
  <c r="AU179"/>
  <c r="M176" i="10" s="1"/>
  <c r="AX179" i="25"/>
  <c r="AQ91"/>
  <c r="AU91" s="1"/>
  <c r="M130" i="10" s="1"/>
  <c r="O130" s="1"/>
  <c r="AM192" i="25"/>
  <c r="AM200" s="1"/>
  <c r="AW23"/>
  <c r="AX23" s="1"/>
  <c r="AU22"/>
  <c r="M65" i="10" s="1"/>
  <c r="O65" s="1"/>
  <c r="F294" s="1"/>
  <c r="AU23" i="25"/>
  <c r="M66" i="10" s="1"/>
  <c r="O66" s="1"/>
  <c r="F295" s="1"/>
  <c r="AU21" i="25"/>
  <c r="M64" i="10" s="1"/>
  <c r="O64" s="1"/>
  <c r="F293" s="1"/>
  <c r="AW21" i="25"/>
  <c r="AX21" s="1"/>
  <c r="D172" i="37"/>
  <c r="AW49" i="25"/>
  <c r="AX49" s="1"/>
  <c r="AW61"/>
  <c r="AX61" s="1"/>
  <c r="AU61"/>
  <c r="M24" i="10" s="1"/>
  <c r="AU60" i="25"/>
  <c r="M23" i="10" s="1"/>
  <c r="AW60" i="25"/>
  <c r="D163" i="37"/>
  <c r="AU59" i="25"/>
  <c r="M22" i="10" s="1"/>
  <c r="O22" s="1"/>
  <c r="AW59" i="25"/>
  <c r="AX59" s="1"/>
  <c r="M99" i="10"/>
  <c r="O99" s="1"/>
  <c r="AW38" i="25"/>
  <c r="AW14"/>
  <c r="AQ9"/>
  <c r="AU13"/>
  <c r="M71" i="10" s="1"/>
  <c r="O71" s="1"/>
  <c r="P71" s="1"/>
  <c r="AW13" i="25"/>
  <c r="AW18"/>
  <c r="AX18" s="1"/>
  <c r="AU138"/>
  <c r="M90" i="10" s="1"/>
  <c r="O90" s="1"/>
  <c r="AU111" i="25"/>
  <c r="M105" i="10" s="1"/>
  <c r="O105" s="1"/>
  <c r="AU152" i="25"/>
  <c r="M169" i="10" s="1"/>
  <c r="O169" s="1"/>
  <c r="AU77" i="25"/>
  <c r="M37" i="10" s="1"/>
  <c r="O37" s="1"/>
  <c r="F234" s="1"/>
  <c r="F235" s="1"/>
  <c r="AW44" i="25"/>
  <c r="AW29"/>
  <c r="AX29" s="1"/>
  <c r="AU94"/>
  <c r="M101" i="10" s="1"/>
  <c r="O101" s="1"/>
  <c r="AU160" i="25"/>
  <c r="M148" i="10" s="1"/>
  <c r="O148" s="1"/>
  <c r="AU47" i="25"/>
  <c r="M10" i="10" s="1"/>
  <c r="O10" s="1"/>
  <c r="F302" s="1"/>
  <c r="AW58" i="25"/>
  <c r="AU153"/>
  <c r="M170" i="10" s="1"/>
  <c r="O170" s="1"/>
  <c r="AU134" i="25"/>
  <c r="M143" i="10" s="1"/>
  <c r="O143" s="1"/>
  <c r="AU137" i="25"/>
  <c r="M89" i="10" s="1"/>
  <c r="O89" s="1"/>
  <c r="AW30" i="25"/>
  <c r="AW31"/>
  <c r="AU132"/>
  <c r="M145" i="10" s="1"/>
  <c r="O145" s="1"/>
  <c r="AW19" i="25"/>
  <c r="AU32"/>
  <c r="M52" i="10" s="1"/>
  <c r="O52" s="1"/>
  <c r="AU75" i="25"/>
  <c r="M35" i="10" s="1"/>
  <c r="O35" s="1"/>
  <c r="AW28" i="25"/>
  <c r="AW15"/>
  <c r="AU20"/>
  <c r="M72" i="10" s="1"/>
  <c r="O72" s="1"/>
  <c r="P72" s="1"/>
  <c r="AU141" i="25"/>
  <c r="M93" i="10" s="1"/>
  <c r="O93" s="1"/>
  <c r="AU158" i="25"/>
  <c r="M146" i="10" s="1"/>
  <c r="O146" s="1"/>
  <c r="AW40" i="25"/>
  <c r="AX40" s="1"/>
  <c r="AW26"/>
  <c r="AX26" s="1"/>
  <c r="AW42"/>
  <c r="AU12"/>
  <c r="M68" i="10" s="1"/>
  <c r="O68" s="1"/>
  <c r="AW17" i="25"/>
  <c r="AU136"/>
  <c r="M88" i="10" s="1"/>
  <c r="O88" s="1"/>
  <c r="AU48" i="25"/>
  <c r="M11" i="10" s="1"/>
  <c r="O11" s="1"/>
  <c r="AU142" i="25"/>
  <c r="M94" i="10" s="1"/>
  <c r="O94" s="1"/>
  <c r="AU72" i="25"/>
  <c r="M32" i="10" s="1"/>
  <c r="O32" s="1"/>
  <c r="F329" s="1"/>
  <c r="AU133" i="25"/>
  <c r="M142" i="10" s="1"/>
  <c r="O142" s="1"/>
  <c r="AW25" i="25"/>
  <c r="AX25" s="1"/>
  <c r="AW37"/>
  <c r="AX37" s="1"/>
  <c r="AU90"/>
  <c r="M129" i="10" s="1"/>
  <c r="O129" s="1"/>
  <c r="AU45" i="25"/>
  <c r="M8" i="10" s="1"/>
  <c r="O8" s="1"/>
  <c r="AU89" i="25"/>
  <c r="M128" i="10" s="1"/>
  <c r="O128" s="1"/>
  <c r="AW56" i="25"/>
  <c r="AU146"/>
  <c r="M98" i="10" s="1"/>
  <c r="O98" s="1"/>
  <c r="AU93" i="25"/>
  <c r="M123" i="10" s="1"/>
  <c r="O123" s="1"/>
  <c r="AU43" i="25"/>
  <c r="M6" i="10" s="1"/>
  <c r="O6" s="1"/>
  <c r="AU11" i="25"/>
  <c r="M75" i="10" s="1"/>
  <c r="O75" s="1"/>
  <c r="P75" s="1"/>
  <c r="AU143" i="25"/>
  <c r="M95" i="10" s="1"/>
  <c r="O95" s="1"/>
  <c r="AW68" i="25"/>
  <c r="AU151"/>
  <c r="M168" i="10" s="1"/>
  <c r="O168" s="1"/>
  <c r="AU145" i="25"/>
  <c r="M97" i="10" s="1"/>
  <c r="O97" s="1"/>
  <c r="AW74" i="25"/>
  <c r="AX74" s="1"/>
  <c r="AU69"/>
  <c r="M29" i="10" s="1"/>
  <c r="O29" s="1"/>
  <c r="AW35" i="25"/>
  <c r="AU140"/>
  <c r="M92" i="10" s="1"/>
  <c r="O92" s="1"/>
  <c r="AU16" i="25"/>
  <c r="M56" i="10" s="1"/>
  <c r="O56" s="1"/>
  <c r="AW67" i="25"/>
  <c r="AW52"/>
  <c r="AU52"/>
  <c r="M15" i="10" s="1"/>
  <c r="O15" s="1"/>
  <c r="AU46" i="25"/>
  <c r="M9" i="10" s="1"/>
  <c r="O9" s="1"/>
  <c r="AU49" i="25"/>
  <c r="AU38"/>
  <c r="AU10"/>
  <c r="M74" i="10" s="1"/>
  <c r="O74" s="1"/>
  <c r="P74" s="1"/>
  <c r="AW73" i="25"/>
  <c r="AW54"/>
  <c r="AU54"/>
  <c r="M17" i="10" s="1"/>
  <c r="O17" s="1"/>
  <c r="AU57" i="25"/>
  <c r="M20" i="10" s="1"/>
  <c r="O20" s="1"/>
  <c r="F314" s="1"/>
  <c r="AU157" i="25"/>
  <c r="M134" i="10" s="1"/>
  <c r="O134" s="1"/>
  <c r="AU70" i="25"/>
  <c r="M30" i="10" s="1"/>
  <c r="O30" s="1"/>
  <c r="F327" s="1"/>
  <c r="AW70" i="25"/>
  <c r="AW76"/>
  <c r="AW80"/>
  <c r="AX80" s="1"/>
  <c r="AU51"/>
  <c r="M14" i="10" s="1"/>
  <c r="O14" s="1"/>
  <c r="F308" s="1"/>
  <c r="AU66" i="25"/>
  <c r="M76" i="10" s="1"/>
  <c r="O76" s="1"/>
  <c r="AW43" i="25"/>
  <c r="AW24"/>
  <c r="AU58"/>
  <c r="M21" i="10" s="1"/>
  <c r="O21" s="1"/>
  <c r="AW39" i="25"/>
  <c r="AU74"/>
  <c r="M34" i="10" s="1"/>
  <c r="O34" s="1"/>
  <c r="F333" s="1"/>
  <c r="AU35" i="25"/>
  <c r="M55" i="10" s="1"/>
  <c r="O55" s="1"/>
  <c r="F286" s="1"/>
  <c r="AW27" i="25"/>
  <c r="AU27"/>
  <c r="M47" i="10" s="1"/>
  <c r="O47" s="1"/>
  <c r="F279" s="1"/>
  <c r="AU33" i="25"/>
  <c r="M53" i="10" s="1"/>
  <c r="O53" s="1"/>
  <c r="AW33" i="25"/>
  <c r="AW20"/>
  <c r="AX20" s="1"/>
  <c r="AU31"/>
  <c r="M51" i="10" s="1"/>
  <c r="O51" s="1"/>
  <c r="AU50" i="25"/>
  <c r="M13" i="10" s="1"/>
  <c r="O13" s="1"/>
  <c r="F240" s="1"/>
  <c r="AW72" i="25"/>
  <c r="AX72" s="1"/>
  <c r="AW36"/>
  <c r="AX36" s="1"/>
  <c r="AU19"/>
  <c r="M69" i="10" s="1"/>
  <c r="O69" s="1"/>
  <c r="P69" s="1"/>
  <c r="AW32" i="25"/>
  <c r="AX32" s="1"/>
  <c r="AU67"/>
  <c r="M77" i="10" s="1"/>
  <c r="O77" s="1"/>
  <c r="AW55" i="25"/>
  <c r="AU55"/>
  <c r="M18" i="10" s="1"/>
  <c r="O18" s="1"/>
  <c r="AU40" i="25"/>
  <c r="M60" i="10" s="1"/>
  <c r="O60" s="1"/>
  <c r="AW46" i="25"/>
  <c r="AU161"/>
  <c r="M149" i="10" s="1"/>
  <c r="O149" s="1"/>
  <c r="AU37" i="25"/>
  <c r="M58" i="10" s="1"/>
  <c r="O58" s="1"/>
  <c r="AW10" i="25"/>
  <c r="AX10" s="1"/>
  <c r="AU42"/>
  <c r="M5" i="10" s="1"/>
  <c r="AW75" i="25"/>
  <c r="AX75" s="1"/>
  <c r="AU79"/>
  <c r="M39" i="10" s="1"/>
  <c r="O39" s="1"/>
  <c r="AW12" i="25"/>
  <c r="AW45"/>
  <c r="AX45" s="1"/>
  <c r="AU154"/>
  <c r="M131" i="10" s="1"/>
  <c r="O131" s="1"/>
  <c r="AU18" i="25"/>
  <c r="M63" i="10" s="1"/>
  <c r="O63" s="1"/>
  <c r="AU76" i="25"/>
  <c r="M36" i="10" s="1"/>
  <c r="O36" s="1"/>
  <c r="F334" s="1"/>
  <c r="AU56" i="25"/>
  <c r="M19" i="10" s="1"/>
  <c r="O19" s="1"/>
  <c r="F313" s="1"/>
  <c r="AU17" i="25"/>
  <c r="M62" i="10" s="1"/>
  <c r="O62" s="1"/>
  <c r="F291" s="1"/>
  <c r="AU80" i="25"/>
  <c r="M40" i="10" s="1"/>
  <c r="O40" s="1"/>
  <c r="AU34" i="25"/>
  <c r="M54" i="10" s="1"/>
  <c r="O54" s="1"/>
  <c r="AU156" i="25"/>
  <c r="M133" i="10" s="1"/>
  <c r="O133" s="1"/>
  <c r="AU30" i="25"/>
  <c r="M50" i="10" s="1"/>
  <c r="O50" s="1"/>
  <c r="AU28" i="25"/>
  <c r="M48" i="10" s="1"/>
  <c r="O48" s="1"/>
  <c r="AW66" i="25"/>
  <c r="AX66" s="1"/>
  <c r="AU92"/>
  <c r="M117" i="10" s="1"/>
  <c r="O117" s="1"/>
  <c r="AW11" i="25"/>
  <c r="AW47"/>
  <c r="AX47" s="1"/>
  <c r="AU39"/>
  <c r="M59" i="10" s="1"/>
  <c r="O59" s="1"/>
  <c r="AU29" i="25"/>
  <c r="M49" i="10" s="1"/>
  <c r="O49" s="1"/>
  <c r="AU53" i="25"/>
  <c r="M16" i="10" s="1"/>
  <c r="O16" s="1"/>
  <c r="AW48" i="25"/>
  <c r="AW69"/>
  <c r="AU150"/>
  <c r="M167" i="10" s="1"/>
  <c r="O167" s="1"/>
  <c r="AU15" i="25"/>
  <c r="M43" i="10" s="1"/>
  <c r="O43" s="1"/>
  <c r="AW50" i="25"/>
  <c r="AW16"/>
  <c r="AU36"/>
  <c r="AU26"/>
  <c r="M46" i="10" s="1"/>
  <c r="O46" s="1"/>
  <c r="F278" s="1"/>
  <c r="AU159" i="25"/>
  <c r="M147" i="10" s="1"/>
  <c r="O147" s="1"/>
  <c r="AU25" i="25"/>
  <c r="M45" i="10" s="1"/>
  <c r="O45" s="1"/>
  <c r="F277" s="1"/>
  <c r="AU73" i="25"/>
  <c r="M33" i="10" s="1"/>
  <c r="O33" s="1"/>
  <c r="AW79" i="25"/>
  <c r="AU14"/>
  <c r="M42" i="10" s="1"/>
  <c r="O42" s="1"/>
  <c r="AW57" i="25"/>
  <c r="AW77"/>
  <c r="AW34"/>
  <c r="AW51"/>
  <c r="AU24"/>
  <c r="M44" i="10" s="1"/>
  <c r="O44" s="1"/>
  <c r="F276" s="1"/>
  <c r="AU68" i="25"/>
  <c r="M28" i="10" s="1"/>
  <c r="O28" s="1"/>
  <c r="F324" s="1"/>
  <c r="AU44" i="25"/>
  <c r="AW53"/>
  <c r="D117" i="2"/>
  <c r="F319" i="10" l="1"/>
  <c r="P25"/>
  <c r="G319" s="1"/>
  <c r="P27"/>
  <c r="G321" s="1"/>
  <c r="E321" s="1"/>
  <c r="F320"/>
  <c r="P26"/>
  <c r="G320" s="1"/>
  <c r="E328"/>
  <c r="F281"/>
  <c r="P56"/>
  <c r="G287" s="1"/>
  <c r="F287"/>
  <c r="F230"/>
  <c r="F232" s="1"/>
  <c r="F284"/>
  <c r="F290"/>
  <c r="F309"/>
  <c r="F280"/>
  <c r="F340"/>
  <c r="P63"/>
  <c r="G292" s="1"/>
  <c r="F292"/>
  <c r="F339"/>
  <c r="F312"/>
  <c r="F282"/>
  <c r="F323"/>
  <c r="F311"/>
  <c r="F316"/>
  <c r="F342"/>
  <c r="O5"/>
  <c r="F297" s="1"/>
  <c r="F344"/>
  <c r="F283"/>
  <c r="P68"/>
  <c r="F310"/>
  <c r="F315"/>
  <c r="F345"/>
  <c r="F90" i="2"/>
  <c r="G93" i="10" s="1"/>
  <c r="E91" i="2"/>
  <c r="AU178" i="25"/>
  <c r="M175" i="10" s="1"/>
  <c r="AQ192" i="25"/>
  <c r="AQ196" s="1"/>
  <c r="AP192"/>
  <c r="AP196" s="1"/>
  <c r="J217" i="10"/>
  <c r="J220" s="1"/>
  <c r="L220" s="1"/>
  <c r="M61"/>
  <c r="F255"/>
  <c r="F256" s="1"/>
  <c r="F274" s="1"/>
  <c r="F273" s="1"/>
  <c r="F259"/>
  <c r="F263"/>
  <c r="F264" s="1"/>
  <c r="F304" s="1"/>
  <c r="P66"/>
  <c r="G295" s="1"/>
  <c r="E295" s="1"/>
  <c r="P65"/>
  <c r="G294" s="1"/>
  <c r="E294" s="1"/>
  <c r="P64"/>
  <c r="G293" s="1"/>
  <c r="E293" s="1"/>
  <c r="O24"/>
  <c r="AX60" i="25"/>
  <c r="O23" i="10"/>
  <c r="F317" s="1"/>
  <c r="P22"/>
  <c r="G316" s="1"/>
  <c r="AX39" i="25"/>
  <c r="J214" i="10"/>
  <c r="L214" s="1"/>
  <c r="M12"/>
  <c r="O12" s="1"/>
  <c r="F305" s="1"/>
  <c r="AX14" i="25"/>
  <c r="AX70"/>
  <c r="AX24"/>
  <c r="AX30"/>
  <c r="AX55"/>
  <c r="AW9"/>
  <c r="AX44"/>
  <c r="AX17"/>
  <c r="AX46"/>
  <c r="AX67"/>
  <c r="AX27"/>
  <c r="AX28"/>
  <c r="AX42"/>
  <c r="AX19"/>
  <c r="AX13"/>
  <c r="AX58"/>
  <c r="AX76"/>
  <c r="AX43"/>
  <c r="F237" i="10"/>
  <c r="F338" s="1"/>
  <c r="AX31" i="25"/>
  <c r="AX68"/>
  <c r="AX11"/>
  <c r="AX56"/>
  <c r="F238" i="10"/>
  <c r="F335" s="1"/>
  <c r="AX54" i="25"/>
  <c r="AX73"/>
  <c r="AX52"/>
  <c r="AX15"/>
  <c r="AX35"/>
  <c r="P62" i="10"/>
  <c r="G291" s="1"/>
  <c r="E291" s="1"/>
  <c r="AX33" i="25"/>
  <c r="AX12"/>
  <c r="F250" i="10"/>
  <c r="F251" s="1"/>
  <c r="F236"/>
  <c r="F337" s="1"/>
  <c r="AU9" i="25"/>
  <c r="F241" i="10"/>
  <c r="AX34" i="25"/>
  <c r="AX57"/>
  <c r="M57" i="10"/>
  <c r="O57" s="1"/>
  <c r="F288" s="1"/>
  <c r="AX50" i="25"/>
  <c r="P43" i="10"/>
  <c r="AX69" i="25"/>
  <c r="F336" i="10"/>
  <c r="O172"/>
  <c r="AX79" i="25"/>
  <c r="AX53"/>
  <c r="M7" i="10"/>
  <c r="J213"/>
  <c r="AX51" i="25"/>
  <c r="AX77"/>
  <c r="P42" i="10"/>
  <c r="AX16" i="25"/>
  <c r="AX48"/>
  <c r="O176" i="10"/>
  <c r="D95" i="2"/>
  <c r="D118" s="1"/>
  <c r="E319" i="10" l="1"/>
  <c r="E320"/>
  <c r="F231"/>
  <c r="F242"/>
  <c r="F306" s="1"/>
  <c r="F307"/>
  <c r="E316"/>
  <c r="P24"/>
  <c r="G318" s="1"/>
  <c r="F318"/>
  <c r="E292"/>
  <c r="E287"/>
  <c r="E92" i="2"/>
  <c r="F91"/>
  <c r="G94" i="10" s="1"/>
  <c r="AU192" i="25"/>
  <c r="AU196" s="1"/>
  <c r="J219" i="10"/>
  <c r="J221" s="1"/>
  <c r="O61" s="1"/>
  <c r="F275" s="1"/>
  <c r="L217"/>
  <c r="F265"/>
  <c r="F303" s="1"/>
  <c r="F257"/>
  <c r="F260"/>
  <c r="F326" s="1"/>
  <c r="G255"/>
  <c r="E255" s="1"/>
  <c r="P23"/>
  <c r="G317" s="1"/>
  <c r="E317" s="1"/>
  <c r="M70"/>
  <c r="O70" s="1"/>
  <c r="AP7" i="25"/>
  <c r="O175" i="10"/>
  <c r="AX9" i="25"/>
  <c r="O7" i="10"/>
  <c r="AQ7" i="25"/>
  <c r="F331" i="10"/>
  <c r="F252"/>
  <c r="F332" s="1"/>
  <c r="L213"/>
  <c r="D96" i="2"/>
  <c r="D119" s="1"/>
  <c r="P179" i="10"/>
  <c r="E318" l="1"/>
  <c r="F272"/>
  <c r="M187"/>
  <c r="E93" i="2"/>
  <c r="F92"/>
  <c r="G95" i="10" s="1"/>
  <c r="L221"/>
  <c r="L219"/>
  <c r="F261"/>
  <c r="F325" s="1"/>
  <c r="E256"/>
  <c r="P70"/>
  <c r="G272" s="1"/>
  <c r="AX38" i="25"/>
  <c r="AX192" s="1"/>
  <c r="AW192"/>
  <c r="M201" i="10"/>
  <c r="F253"/>
  <c r="F244"/>
  <c r="D173" i="2"/>
  <c r="D174" s="1"/>
  <c r="D178" s="1"/>
  <c r="D179" s="1"/>
  <c r="D97"/>
  <c r="D120" s="1"/>
  <c r="D121" s="1"/>
  <c r="D122" s="1"/>
  <c r="E94" l="1"/>
  <c r="F93"/>
  <c r="G96" i="10" s="1"/>
  <c r="D180" i="2"/>
  <c r="F296" i="10"/>
  <c r="F247"/>
  <c r="F301" s="1"/>
  <c r="G256"/>
  <c r="G274" s="1"/>
  <c r="E257"/>
  <c r="E272"/>
  <c r="AX193" i="25"/>
  <c r="F330" i="10"/>
  <c r="F245"/>
  <c r="F299" s="1"/>
  <c r="F246"/>
  <c r="F300" s="1"/>
  <c r="D98" i="2"/>
  <c r="E274" i="10" l="1"/>
  <c r="G273"/>
  <c r="E273" s="1"/>
  <c r="F94" i="2"/>
  <c r="G97" i="10" s="1"/>
  <c r="E95" i="2"/>
  <c r="G257" i="10"/>
  <c r="F248"/>
  <c r="F298" s="1"/>
  <c r="F322" s="1"/>
  <c r="M200"/>
  <c r="M202" s="1"/>
  <c r="M189"/>
  <c r="F341"/>
  <c r="D99" i="2"/>
  <c r="E96" l="1"/>
  <c r="F95"/>
  <c r="G146" i="10" s="1"/>
  <c r="F343"/>
  <c r="D100" i="2"/>
  <c r="F96" l="1"/>
  <c r="E97"/>
  <c r="E98" s="1"/>
  <c r="E99" s="1"/>
  <c r="E100" s="1"/>
  <c r="D102"/>
  <c r="D103" s="1"/>
  <c r="D104" s="1"/>
  <c r="M203" i="10" l="1"/>
  <c r="D110" i="2"/>
  <c r="D106" l="1"/>
  <c r="D123"/>
  <c r="D111"/>
  <c r="D124" l="1"/>
  <c r="D125" s="1"/>
  <c r="D108"/>
  <c r="D112"/>
  <c r="D126" l="1"/>
  <c r="D128"/>
  <c r="D127" l="1"/>
  <c r="D129"/>
  <c r="D130"/>
  <c r="D131"/>
  <c r="D132"/>
  <c r="D133" l="1"/>
  <c r="D135"/>
  <c r="D94" i="37" l="1"/>
  <c r="D145" i="2"/>
  <c r="D136"/>
  <c r="D134"/>
  <c r="D95" i="37" l="1"/>
  <c r="D137" i="2"/>
  <c r="D144"/>
  <c r="D138"/>
  <c r="D146"/>
  <c r="D98" i="37" l="1"/>
  <c r="D99" s="1"/>
  <c r="D139" i="2"/>
  <c r="D147"/>
  <c r="D100" i="37" l="1"/>
  <c r="D148" i="2"/>
  <c r="D140"/>
  <c r="D101" i="37" l="1"/>
  <c r="D141" i="2"/>
  <c r="D149"/>
  <c r="D150" l="1"/>
  <c r="D142"/>
  <c r="D143" s="1"/>
  <c r="D151" l="1"/>
  <c r="D152" l="1"/>
  <c r="D153" l="1"/>
  <c r="D154" s="1"/>
  <c r="D155" l="1"/>
  <c r="D156" l="1"/>
  <c r="D157" l="1"/>
  <c r="D158" l="1"/>
  <c r="D159" l="1"/>
  <c r="D160" l="1"/>
  <c r="D161" l="1"/>
  <c r="D162" l="1"/>
  <c r="F36" l="1"/>
  <c r="G15" i="10" s="1"/>
  <c r="L15" s="1"/>
  <c r="G6"/>
  <c r="L6" s="1"/>
  <c r="F29" i="2"/>
  <c r="G8" i="10" s="1"/>
  <c r="L8" s="1"/>
  <c r="F30" i="2"/>
  <c r="G9" i="10" s="1"/>
  <c r="L9" s="1"/>
  <c r="F35" i="2"/>
  <c r="G14" i="10" s="1"/>
  <c r="L14" s="1"/>
  <c r="G11"/>
  <c r="L11" s="1"/>
  <c r="G17"/>
  <c r="L17" s="1"/>
  <c r="G16"/>
  <c r="L16" s="1"/>
  <c r="F31" i="2"/>
  <c r="G10" i="10" s="1"/>
  <c r="L10" s="1"/>
  <c r="F40" i="2"/>
  <c r="G19" i="10" s="1"/>
  <c r="L19" s="1"/>
  <c r="F39" i="2"/>
  <c r="G18" i="10" s="1"/>
  <c r="L18" s="1"/>
  <c r="F47" i="2"/>
  <c r="G20" i="10" s="1"/>
  <c r="L20" s="1"/>
  <c r="F49" i="2"/>
  <c r="G28" i="10" s="1"/>
  <c r="L28" s="1"/>
  <c r="F34" i="2"/>
  <c r="G13" i="10" s="1"/>
  <c r="L13" s="1"/>
  <c r="F50" i="2"/>
  <c r="G29" i="10" s="1"/>
  <c r="L29" s="1"/>
  <c r="F48" i="2"/>
  <c r="G21" i="10" s="1"/>
  <c r="L21" s="1"/>
  <c r="F51" i="2"/>
  <c r="G30" i="10" s="1"/>
  <c r="L30" s="1"/>
  <c r="F53" i="2"/>
  <c r="G32" i="10" s="1"/>
  <c r="L32" s="1"/>
  <c r="F56" i="2"/>
  <c r="G35" i="10" s="1"/>
  <c r="L35" s="1"/>
  <c r="F55" i="2"/>
  <c r="G34" i="10" s="1"/>
  <c r="L34" s="1"/>
  <c r="F59" i="2"/>
  <c r="G58" i="10" s="1"/>
  <c r="L58" s="1"/>
  <c r="F58" i="2"/>
  <c r="G57" i="10" s="1"/>
  <c r="L57" s="1"/>
  <c r="F57" i="2"/>
  <c r="G36" i="10" s="1"/>
  <c r="L36" s="1"/>
  <c r="G77"/>
  <c r="L77" s="1"/>
  <c r="F60" i="2"/>
  <c r="G60" i="10" s="1"/>
  <c r="L60" s="1"/>
  <c r="F54" i="2"/>
  <c r="G33" i="10" s="1"/>
  <c r="L33" s="1"/>
  <c r="F62" i="2"/>
  <c r="G76" i="10" s="1"/>
  <c r="L76" s="1"/>
  <c r="F66" i="2"/>
  <c r="G39" i="10" s="1"/>
  <c r="L39" s="1"/>
  <c r="F67" i="2"/>
  <c r="G40" i="10" s="1"/>
  <c r="L40" s="1"/>
  <c r="F64" i="2"/>
  <c r="G37" i="10" s="1"/>
  <c r="L37" s="1"/>
  <c r="F68" i="2"/>
  <c r="G44" i="10" s="1"/>
  <c r="L44" s="1"/>
  <c r="F69" i="2"/>
  <c r="G45" i="10" s="1"/>
  <c r="L45" s="1"/>
  <c r="F71" i="2"/>
  <c r="G47" i="10" s="1"/>
  <c r="L47" s="1"/>
  <c r="F70" i="2"/>
  <c r="G46" i="10" s="1"/>
  <c r="L46" s="1"/>
  <c r="F74" i="2"/>
  <c r="G50" i="10" s="1"/>
  <c r="L50" s="1"/>
  <c r="F73" i="2"/>
  <c r="G49" i="10" s="1"/>
  <c r="L49" s="1"/>
  <c r="F72" i="2"/>
  <c r="G48" i="10" s="1"/>
  <c r="L48" s="1"/>
  <c r="F76" i="2"/>
  <c r="G52" i="10" s="1"/>
  <c r="L52" s="1"/>
  <c r="F77" i="2"/>
  <c r="G53" i="10" s="1"/>
  <c r="L53" s="1"/>
  <c r="F33" i="2"/>
  <c r="F78"/>
  <c r="G54" i="10" s="1"/>
  <c r="L54" s="1"/>
  <c r="F79" i="2"/>
  <c r="G55" i="10" s="1"/>
  <c r="L55" s="1"/>
  <c r="F80" i="2"/>
  <c r="F75"/>
  <c r="G51" i="10" s="1"/>
  <c r="L51" s="1"/>
  <c r="F61" i="2"/>
  <c r="G61" i="10" s="1"/>
  <c r="L61" s="1"/>
  <c r="P11" l="1"/>
  <c r="H5" i="2"/>
  <c r="P54" i="10"/>
  <c r="P32"/>
  <c r="G329" s="1"/>
  <c r="E329" s="1"/>
  <c r="P6"/>
  <c r="P52"/>
  <c r="P45"/>
  <c r="G277" s="1"/>
  <c r="E277" s="1"/>
  <c r="P77"/>
  <c r="P28"/>
  <c r="G324" s="1"/>
  <c r="E324" s="1"/>
  <c r="P48"/>
  <c r="G280" s="1"/>
  <c r="E280" s="1"/>
  <c r="P58"/>
  <c r="P33"/>
  <c r="P35"/>
  <c r="P29"/>
  <c r="P8"/>
  <c r="P50"/>
  <c r="P36"/>
  <c r="G334" s="1"/>
  <c r="E334" s="1"/>
  <c r="P21"/>
  <c r="G315" s="1"/>
  <c r="E315" s="1"/>
  <c r="P20"/>
  <c r="G314" s="1"/>
  <c r="E314" s="1"/>
  <c r="P16"/>
  <c r="G310" s="1"/>
  <c r="E310" s="1"/>
  <c r="P9"/>
  <c r="H213"/>
  <c r="I213" s="1"/>
  <c r="M213" s="1"/>
  <c r="G7"/>
  <c r="G59"/>
  <c r="L59" s="1"/>
  <c r="H214"/>
  <c r="I214" s="1"/>
  <c r="M214" s="1"/>
  <c r="G12"/>
  <c r="L12" s="1"/>
  <c r="P51"/>
  <c r="P55"/>
  <c r="G286" s="1"/>
  <c r="E286" s="1"/>
  <c r="P53"/>
  <c r="G283" s="1"/>
  <c r="E283" s="1"/>
  <c r="P47"/>
  <c r="G279" s="1"/>
  <c r="E279" s="1"/>
  <c r="P40"/>
  <c r="G340" s="1"/>
  <c r="E340" s="1"/>
  <c r="P46"/>
  <c r="G278" s="1"/>
  <c r="E278" s="1"/>
  <c r="P44"/>
  <c r="G276" s="1"/>
  <c r="E276" s="1"/>
  <c r="P39"/>
  <c r="G339" s="1"/>
  <c r="E339" s="1"/>
  <c r="P34"/>
  <c r="G333" s="1"/>
  <c r="E333" s="1"/>
  <c r="P18"/>
  <c r="G312" s="1"/>
  <c r="E312" s="1"/>
  <c r="P10"/>
  <c r="G302" s="1"/>
  <c r="E302" s="1"/>
  <c r="H217"/>
  <c r="G5"/>
  <c r="L5" s="1"/>
  <c r="P49"/>
  <c r="P76"/>
  <c r="P60"/>
  <c r="G290" s="1"/>
  <c r="E290" s="1"/>
  <c r="P57"/>
  <c r="P30"/>
  <c r="G327" s="1"/>
  <c r="E327" s="1"/>
  <c r="P13"/>
  <c r="G240" s="1"/>
  <c r="P19"/>
  <c r="G313" s="1"/>
  <c r="E313" s="1"/>
  <c r="P17"/>
  <c r="G311" s="1"/>
  <c r="E311" s="1"/>
  <c r="P14"/>
  <c r="G308" s="1"/>
  <c r="E308" s="1"/>
  <c r="P15"/>
  <c r="G309" s="1"/>
  <c r="E309" s="1"/>
  <c r="P37"/>
  <c r="G234" s="1"/>
  <c r="E234" s="1"/>
  <c r="G288" l="1"/>
  <c r="E288" s="1"/>
  <c r="G281"/>
  <c r="E281" s="1"/>
  <c r="G323"/>
  <c r="E323" s="1"/>
  <c r="G230"/>
  <c r="E230" s="1"/>
  <c r="E232" s="1"/>
  <c r="G284"/>
  <c r="E284" s="1"/>
  <c r="L7"/>
  <c r="G263"/>
  <c r="E263" s="1"/>
  <c r="G259"/>
  <c r="E259" s="1"/>
  <c r="G250"/>
  <c r="E250" s="1"/>
  <c r="E251" s="1"/>
  <c r="P59"/>
  <c r="G282" s="1"/>
  <c r="E282" s="1"/>
  <c r="H6" i="2"/>
  <c r="I217" i="10"/>
  <c r="M217" s="1"/>
  <c r="H219"/>
  <c r="H220"/>
  <c r="E237"/>
  <c r="E235"/>
  <c r="E236"/>
  <c r="E238"/>
  <c r="E240"/>
  <c r="E231" l="1"/>
  <c r="P7"/>
  <c r="G244" s="1"/>
  <c r="E264"/>
  <c r="E304" s="1"/>
  <c r="E260"/>
  <c r="E326" s="1"/>
  <c r="G232"/>
  <c r="H221"/>
  <c r="I221" s="1"/>
  <c r="M221" s="1"/>
  <c r="E241"/>
  <c r="E337"/>
  <c r="G236"/>
  <c r="G337" s="1"/>
  <c r="E338"/>
  <c r="G237"/>
  <c r="G338" s="1"/>
  <c r="I219"/>
  <c r="E331"/>
  <c r="G251"/>
  <c r="E252"/>
  <c r="E335"/>
  <c r="G238"/>
  <c r="G335" s="1"/>
  <c r="E336"/>
  <c r="G235"/>
  <c r="G336" s="1"/>
  <c r="I220"/>
  <c r="M220" s="1"/>
  <c r="P5"/>
  <c r="G297" s="1"/>
  <c r="P12"/>
  <c r="G305" s="1"/>
  <c r="E305" s="1"/>
  <c r="E297" l="1"/>
  <c r="G231"/>
  <c r="E242"/>
  <c r="E306" s="1"/>
  <c r="E307"/>
  <c r="G264"/>
  <c r="G304" s="1"/>
  <c r="E244"/>
  <c r="G260"/>
  <c r="E261"/>
  <c r="E325" s="1"/>
  <c r="E265"/>
  <c r="E303" s="1"/>
  <c r="P61"/>
  <c r="G252"/>
  <c r="G332" s="1"/>
  <c r="E332"/>
  <c r="E253"/>
  <c r="G331"/>
  <c r="M219"/>
  <c r="G241"/>
  <c r="G307" s="1"/>
  <c r="G275" l="1"/>
  <c r="E275" s="1"/>
  <c r="E296" s="1"/>
  <c r="G261"/>
  <c r="G325" s="1"/>
  <c r="G326"/>
  <c r="G265"/>
  <c r="G303" s="1"/>
  <c r="E247"/>
  <c r="E301" s="1"/>
  <c r="E245"/>
  <c r="E299" s="1"/>
  <c r="E246"/>
  <c r="G253"/>
  <c r="G330" s="1"/>
  <c r="G242"/>
  <c r="G306" s="1"/>
  <c r="E330"/>
  <c r="G296" l="1"/>
  <c r="G246"/>
  <c r="G300" s="1"/>
  <c r="E300"/>
  <c r="G341"/>
  <c r="G247"/>
  <c r="G301" s="1"/>
  <c r="G245"/>
  <c r="G299" s="1"/>
  <c r="E248"/>
  <c r="E298" s="1"/>
  <c r="E341"/>
  <c r="E322" l="1"/>
  <c r="G248"/>
  <c r="F98" i="2"/>
  <c r="G132" i="10" s="1"/>
  <c r="F99" i="2"/>
  <c r="G133" i="10" s="1"/>
  <c r="F100" i="2"/>
  <c r="G134" i="10" s="1"/>
  <c r="F97" i="2"/>
  <c r="E102"/>
  <c r="G298" i="10" l="1"/>
  <c r="E103" i="2"/>
  <c r="F102"/>
  <c r="G131" i="10"/>
  <c r="G322" l="1"/>
  <c r="E104" i="2"/>
  <c r="F103"/>
  <c r="G164" i="10" s="1"/>
  <c r="G156"/>
  <c r="E105" i="2" l="1"/>
  <c r="F104"/>
  <c r="F105" l="1"/>
  <c r="G161" i="10" s="1"/>
  <c r="E106" i="2"/>
  <c r="E107" l="1"/>
  <c r="F106"/>
  <c r="G162" i="10" s="1"/>
  <c r="E108" i="2" l="1"/>
  <c r="F107"/>
  <c r="G163" i="10" s="1"/>
  <c r="E109" i="2" l="1"/>
  <c r="F108"/>
  <c r="G166" i="10" s="1"/>
  <c r="E110" i="2" l="1"/>
  <c r="F109"/>
  <c r="G167" i="10" s="1"/>
  <c r="E111" i="2" l="1"/>
  <c r="F110"/>
  <c r="G168" i="10" s="1"/>
  <c r="E112" i="2" l="1"/>
  <c r="F111"/>
  <c r="G169" i="10" s="1"/>
  <c r="E113" i="2" l="1"/>
  <c r="F112"/>
  <c r="G170" i="10" s="1"/>
  <c r="E114" i="2" l="1"/>
  <c r="F113"/>
  <c r="G183" i="10" s="1"/>
  <c r="E115" i="2" l="1"/>
  <c r="F114"/>
  <c r="E116" l="1"/>
  <c r="F115"/>
  <c r="G147" i="10"/>
  <c r="E117" i="2" l="1"/>
  <c r="F116"/>
  <c r="G148" i="10"/>
  <c r="G149" l="1"/>
  <c r="E118" i="2"/>
  <c r="E123"/>
  <c r="F117"/>
  <c r="G98" i="10" s="1"/>
  <c r="E124" i="2" l="1"/>
  <c r="E125" s="1"/>
  <c r="F125" s="1"/>
  <c r="G81" i="10" s="1"/>
  <c r="F123" i="2"/>
  <c r="G79" i="10" s="1"/>
  <c r="E119" i="2"/>
  <c r="F118"/>
  <c r="G172" i="10" s="1"/>
  <c r="E126" i="2" l="1"/>
  <c r="F124"/>
  <c r="G80" i="10" s="1"/>
  <c r="E120" i="2"/>
  <c r="F119"/>
  <c r="G175" i="10" s="1"/>
  <c r="F120" i="2" l="1"/>
  <c r="G176" i="10" s="1"/>
  <c r="E121" i="2"/>
  <c r="F126"/>
  <c r="G82" i="10" s="1"/>
  <c r="E127" i="2"/>
  <c r="E122" l="1"/>
  <c r="F122" s="1"/>
  <c r="G151" i="10" s="1"/>
  <c r="F121" i="2"/>
  <c r="G150" i="10" s="1"/>
  <c r="E128" i="2"/>
  <c r="F127"/>
  <c r="G86" i="10" s="1"/>
  <c r="E129" i="2" l="1"/>
  <c r="E130" l="1"/>
  <c r="F129"/>
  <c r="G105" i="10" s="1"/>
  <c r="E131" i="2" l="1"/>
  <c r="E132" l="1"/>
  <c r="F131"/>
  <c r="G101" i="10" s="1"/>
  <c r="E133" i="2" l="1"/>
  <c r="F133" l="1"/>
  <c r="G107" i="10" s="1"/>
  <c r="E134" i="2"/>
  <c r="F134" l="1"/>
  <c r="G108" i="10" s="1"/>
  <c r="E135" i="2"/>
  <c r="E136" l="1"/>
  <c r="E137" l="1"/>
  <c r="F136"/>
  <c r="G137" i="10" s="1"/>
  <c r="F137" i="2" l="1"/>
  <c r="G139" i="10" s="1"/>
  <c r="E138" i="2"/>
  <c r="F138" l="1"/>
  <c r="G144" i="10" s="1"/>
  <c r="E139" i="2"/>
  <c r="F139" l="1"/>
  <c r="G110" i="10" s="1"/>
  <c r="E140" i="2"/>
  <c r="F140" l="1"/>
  <c r="E141"/>
  <c r="E142" l="1"/>
  <c r="E143" s="1"/>
  <c r="F143" s="1"/>
  <c r="G114" i="10" s="1"/>
  <c r="F141" i="2"/>
  <c r="G112" i="10" s="1"/>
  <c r="G111"/>
  <c r="E144" i="2" l="1"/>
  <c r="F142"/>
  <c r="G113" i="10" l="1"/>
  <c r="F144" i="2"/>
  <c r="G138" i="10" s="1"/>
  <c r="E145" i="2"/>
  <c r="F145" l="1"/>
  <c r="E146"/>
  <c r="E147" l="1"/>
  <c r="F146"/>
  <c r="G102" i="10"/>
  <c r="F147" i="2" l="1"/>
  <c r="G118" i="10" s="1"/>
  <c r="E148" i="2"/>
  <c r="G117" i="10"/>
  <c r="F148" i="2" l="1"/>
  <c r="E149"/>
  <c r="F149" l="1"/>
  <c r="G85" i="10" s="1"/>
  <c r="E150" i="2"/>
  <c r="G84" i="10"/>
  <c r="E151" i="2" l="1"/>
  <c r="F150"/>
  <c r="G119" i="10" s="1"/>
  <c r="E152" i="2" l="1"/>
  <c r="F151"/>
  <c r="G109" i="10" s="1"/>
  <c r="E153" i="2" l="1"/>
  <c r="E154" s="1"/>
  <c r="F154" s="1"/>
  <c r="G104" i="10" s="1"/>
  <c r="F152" i="2"/>
  <c r="G120" i="10" s="1"/>
  <c r="F153" i="2" l="1"/>
  <c r="G103" i="10" s="1"/>
  <c r="E155" i="2"/>
  <c r="E156" l="1"/>
  <c r="F155"/>
  <c r="G125" i="10" s="1"/>
  <c r="E157" i="2" l="1"/>
  <c r="F156"/>
  <c r="G126" i="10" s="1"/>
  <c r="E158" i="2" l="1"/>
  <c r="F157"/>
  <c r="G121" i="10" s="1"/>
  <c r="F158" i="2" l="1"/>
  <c r="G141" i="10" s="1"/>
  <c r="E159" i="2"/>
  <c r="F159" l="1"/>
  <c r="G140" i="10" s="1"/>
  <c r="E160" i="2"/>
  <c r="F160" l="1"/>
  <c r="G145" i="10" s="1"/>
  <c r="E161" i="2"/>
  <c r="F161" l="1"/>
  <c r="G142" i="10" s="1"/>
  <c r="E162" i="2"/>
  <c r="E163" l="1"/>
  <c r="F162"/>
  <c r="G143" i="10" s="1"/>
  <c r="F163" i="2" l="1"/>
  <c r="E164"/>
  <c r="F164" l="1"/>
  <c r="E165"/>
  <c r="G123" i="10"/>
  <c r="G124" l="1"/>
  <c r="F165" i="2"/>
  <c r="E166"/>
  <c r="E167" l="1"/>
  <c r="F166"/>
  <c r="G129" i="10"/>
  <c r="E168" i="2" l="1"/>
  <c r="F167"/>
  <c r="G122" i="10"/>
  <c r="F168" i="2" l="1"/>
  <c r="E169"/>
  <c r="E170" s="1"/>
  <c r="F170" s="1"/>
  <c r="G115" i="10" s="1"/>
  <c r="G128"/>
  <c r="G130" l="1"/>
  <c r="E172" i="2"/>
  <c r="F169"/>
  <c r="G127" i="10" l="1"/>
  <c r="E173" i="2"/>
  <c r="F173" s="1"/>
  <c r="F172"/>
  <c r="G177" i="10" l="1"/>
  <c r="G178"/>
  <c r="E174" i="2"/>
  <c r="F174" s="1"/>
  <c r="E175" l="1"/>
  <c r="F175" l="1"/>
  <c r="E176"/>
  <c r="G180" i="10"/>
  <c r="F176" i="2" l="1"/>
  <c r="E177"/>
  <c r="F177" l="1"/>
  <c r="E178"/>
  <c r="E179" l="1"/>
  <c r="F179" s="1"/>
  <c r="G181" i="10" s="1"/>
  <c r="F178" i="2"/>
  <c r="G184" i="10" s="1"/>
  <c r="E180" i="2"/>
  <c r="E181" s="1"/>
  <c r="E183" l="1"/>
  <c r="F183" s="1"/>
  <c r="G155" i="10" s="1"/>
  <c r="F181" i="2"/>
  <c r="G165" i="10" s="1"/>
  <c r="L184"/>
  <c r="P184" s="1"/>
  <c r="F180" i="2"/>
  <c r="G182" i="10" s="1"/>
  <c r="E182" i="2"/>
  <c r="L165" i="10" l="1"/>
  <c r="P165" s="1"/>
  <c r="F182" i="2"/>
  <c r="E184"/>
  <c r="G154" i="10" l="1"/>
  <c r="F184" i="2"/>
  <c r="G158" i="10" s="1"/>
  <c r="E185" i="2"/>
  <c r="F185" s="1"/>
  <c r="G174" i="10" s="1"/>
  <c r="L174" s="1"/>
  <c r="F128" i="2"/>
  <c r="L158" i="10" l="1"/>
  <c r="G99"/>
  <c r="Q99"/>
  <c r="L154" l="1"/>
  <c r="P154" s="1"/>
  <c r="L155"/>
  <c r="P155" s="1"/>
  <c r="F130" i="2" l="1"/>
  <c r="Q100" i="10" l="1"/>
  <c r="G100"/>
  <c r="F135" i="2" l="1"/>
  <c r="Q135" i="10"/>
  <c r="G135" l="1"/>
  <c r="F132" i="2"/>
  <c r="G106" i="10" s="1"/>
  <c r="C190" i="2"/>
  <c r="C10" s="1"/>
  <c r="B10" i="37" s="1"/>
  <c r="G187" i="10" l="1"/>
  <c r="F188" i="2"/>
  <c r="Q106" i="10"/>
  <c r="D350"/>
  <c r="H344" l="1"/>
  <c r="H347" s="1"/>
  <c r="H348" s="1"/>
  <c r="Q187"/>
  <c r="G200"/>
  <c r="F190" i="2"/>
  <c r="G188" i="10"/>
  <c r="G189" s="1"/>
  <c r="D347"/>
  <c r="D348" s="1"/>
  <c r="G201" l="1"/>
  <c r="G202" s="1"/>
  <c r="F10" i="2"/>
  <c r="D351" i="10"/>
  <c r="G203" l="1"/>
  <c r="O16" i="35"/>
  <c r="O19" s="1"/>
  <c r="H9" i="37" l="1"/>
  <c r="D119" l="1"/>
  <c r="D120" l="1"/>
  <c r="D124"/>
  <c r="D122"/>
  <c r="D127" l="1"/>
  <c r="D128"/>
  <c r="D125"/>
  <c r="D123"/>
  <c r="D126"/>
  <c r="D121"/>
  <c r="D129" l="1"/>
  <c r="D131"/>
  <c r="D132" l="1"/>
  <c r="D133"/>
  <c r="D142"/>
  <c r="D130"/>
  <c r="D141" l="1"/>
  <c r="D135"/>
  <c r="D134"/>
  <c r="D143"/>
  <c r="D144" l="1"/>
  <c r="D136"/>
  <c r="D145" l="1"/>
  <c r="D137"/>
  <c r="D138" l="1"/>
  <c r="D146"/>
  <c r="D139" l="1"/>
  <c r="D147"/>
  <c r="D148" l="1"/>
  <c r="D140"/>
  <c r="D149" l="1"/>
  <c r="D150" l="1"/>
  <c r="D151" l="1"/>
  <c r="D152"/>
  <c r="D153" l="1"/>
  <c r="D154" l="1"/>
  <c r="D155" l="1"/>
  <c r="D156" l="1"/>
  <c r="D157" l="1"/>
  <c r="D158" l="1"/>
  <c r="D159" l="1"/>
  <c r="F77" l="1"/>
  <c r="H88" i="10" s="1"/>
  <c r="D78" i="37" l="1"/>
  <c r="F78" s="1"/>
  <c r="H89" i="10" s="1"/>
  <c r="L89" s="1"/>
  <c r="P89" s="1"/>
  <c r="L88"/>
  <c r="D79" i="37"/>
  <c r="D80" l="1"/>
  <c r="F79"/>
  <c r="P88" i="10"/>
  <c r="H90" l="1"/>
  <c r="D81" i="37"/>
  <c r="F80"/>
  <c r="H91" i="10" s="1"/>
  <c r="L91" s="1"/>
  <c r="P91" s="1"/>
  <c r="D83" i="37" l="1"/>
  <c r="D82"/>
  <c r="F81"/>
  <c r="H92" i="10" s="1"/>
  <c r="L92" s="1"/>
  <c r="F82" i="37"/>
  <c r="L90" i="10"/>
  <c r="D84" i="37" l="1"/>
  <c r="F83"/>
  <c r="P90" i="10"/>
  <c r="P92"/>
  <c r="H94" l="1"/>
  <c r="D85" i="37"/>
  <c r="L94" i="10" l="1"/>
  <c r="D86" i="37"/>
  <c r="D87" l="1"/>
  <c r="P94" i="10"/>
  <c r="D88" i="37" l="1"/>
  <c r="D89" l="1"/>
  <c r="D90" l="1"/>
  <c r="D91" l="1"/>
  <c r="D102" s="1"/>
  <c r="D103" l="1"/>
  <c r="D104" l="1"/>
  <c r="D105" l="1"/>
  <c r="D106" l="1"/>
  <c r="D107" l="1"/>
  <c r="D109" l="1"/>
  <c r="D108"/>
  <c r="D110"/>
  <c r="D111"/>
  <c r="D112" l="1"/>
  <c r="D113" l="1"/>
  <c r="D114" s="1"/>
  <c r="D115" l="1"/>
  <c r="D116" l="1"/>
  <c r="D117" s="1"/>
  <c r="D174" l="1"/>
  <c r="F84"/>
  <c r="H96" i="10" s="1"/>
  <c r="L96" s="1"/>
  <c r="P96" s="1"/>
  <c r="E85" i="37" l="1"/>
  <c r="E86" l="1"/>
  <c r="F85"/>
  <c r="H97" i="10" s="1"/>
  <c r="L97" s="1"/>
  <c r="P97" l="1"/>
  <c r="F86" i="37"/>
  <c r="H146" i="10" s="1"/>
  <c r="L146" s="1"/>
  <c r="E87" i="37"/>
  <c r="P146" i="10" l="1"/>
  <c r="E88" i="37"/>
  <c r="F87"/>
  <c r="E89" l="1"/>
  <c r="F88"/>
  <c r="H131" i="10" s="1"/>
  <c r="L131" s="1"/>
  <c r="F89" i="37" l="1"/>
  <c r="H132" i="10" s="1"/>
  <c r="L132" s="1"/>
  <c r="P132" s="1"/>
  <c r="E90" i="37"/>
  <c r="P131" i="10"/>
  <c r="F90" i="37" l="1"/>
  <c r="H133" i="10" s="1"/>
  <c r="L133" s="1"/>
  <c r="E91" i="37"/>
  <c r="P133" i="10" l="1"/>
  <c r="F91" i="37"/>
  <c r="H134" i="10" s="1"/>
  <c r="L134" s="1"/>
  <c r="E93" i="37"/>
  <c r="E94" l="1"/>
  <c r="F93"/>
  <c r="H156" i="10" s="1"/>
  <c r="L156" s="1"/>
  <c r="P134"/>
  <c r="P156" l="1"/>
  <c r="F94" i="37"/>
  <c r="H164" i="10" s="1"/>
  <c r="L164" s="1"/>
  <c r="E95" i="37"/>
  <c r="E96" s="1"/>
  <c r="E97" l="1"/>
  <c r="F96"/>
  <c r="H95" i="10" s="1"/>
  <c r="F95" i="37"/>
  <c r="H161" i="10" s="1"/>
  <c r="L161" s="1"/>
  <c r="P164"/>
  <c r="L95" l="1"/>
  <c r="P95" s="1"/>
  <c r="P161"/>
  <c r="E98" i="37"/>
  <c r="F97"/>
  <c r="F98" l="1"/>
  <c r="H162" i="10" s="1"/>
  <c r="L162" s="1"/>
  <c r="E99" i="37"/>
  <c r="E100" s="1"/>
  <c r="E101" s="1"/>
  <c r="E102" s="1"/>
  <c r="P162" i="10" l="1"/>
  <c r="F99" i="37"/>
  <c r="H163" i="10" s="1"/>
  <c r="L163" s="1"/>
  <c r="P163" s="1"/>
  <c r="E103" i="37" l="1"/>
  <c r="F102"/>
  <c r="H166" i="10" s="1"/>
  <c r="L166" s="1"/>
  <c r="P166" l="1"/>
  <c r="E104" i="37"/>
  <c r="F103"/>
  <c r="H167" i="10" s="1"/>
  <c r="L167" s="1"/>
  <c r="P167" l="1"/>
  <c r="F104" i="37"/>
  <c r="H168" i="10" s="1"/>
  <c r="L168" s="1"/>
  <c r="E105" i="37"/>
  <c r="F105" l="1"/>
  <c r="H169" i="10" s="1"/>
  <c r="L169" s="1"/>
  <c r="E106" i="37"/>
  <c r="P168" i="10"/>
  <c r="P169" l="1"/>
  <c r="E107" i="37"/>
  <c r="F106"/>
  <c r="H170" i="10" s="1"/>
  <c r="L170" s="1"/>
  <c r="P170" l="1"/>
  <c r="F107" i="37"/>
  <c r="H183" i="10" s="1"/>
  <c r="L183" s="1"/>
  <c r="E108" i="37"/>
  <c r="E109" l="1"/>
  <c r="F108"/>
  <c r="P183" i="10"/>
  <c r="F109" i="37" l="1"/>
  <c r="E110"/>
  <c r="F110" l="1"/>
  <c r="H149" i="10" s="1"/>
  <c r="L149" s="1"/>
  <c r="E111" i="37"/>
  <c r="F111" l="1"/>
  <c r="H98" i="10" s="1"/>
  <c r="E112" i="37"/>
  <c r="E118"/>
  <c r="P149" i="10"/>
  <c r="L98" l="1"/>
  <c r="P98" s="1"/>
  <c r="E119" i="37"/>
  <c r="F118"/>
  <c r="H79" i="10" s="1"/>
  <c r="E113" i="37"/>
  <c r="F112"/>
  <c r="H172" i="10" s="1"/>
  <c r="L79" l="1"/>
  <c r="P79" s="1"/>
  <c r="F113" i="37"/>
  <c r="H171" i="10" s="1"/>
  <c r="L171" s="1"/>
  <c r="P171" s="1"/>
  <c r="E114" i="37"/>
  <c r="F100"/>
  <c r="H175" i="10" s="1"/>
  <c r="L175" s="1"/>
  <c r="L172"/>
  <c r="E120" i="37"/>
  <c r="F119"/>
  <c r="H80" i="10" s="1"/>
  <c r="L80" s="1"/>
  <c r="E122" i="37"/>
  <c r="P175" i="10" l="1"/>
  <c r="P80"/>
  <c r="F120" i="37"/>
  <c r="H81" i="10" s="1"/>
  <c r="E121" i="37"/>
  <c r="F121" s="1"/>
  <c r="H83" i="10" s="1"/>
  <c r="L83" s="1"/>
  <c r="P83" s="1"/>
  <c r="F101" i="37"/>
  <c r="H176" i="10" s="1"/>
  <c r="L176" s="1"/>
  <c r="E123" i="37"/>
  <c r="F122"/>
  <c r="H82" i="10" s="1"/>
  <c r="L82" s="1"/>
  <c r="P172"/>
  <c r="L81" l="1"/>
  <c r="P81" s="1"/>
  <c r="P176"/>
  <c r="P82"/>
  <c r="F114" i="37"/>
  <c r="H150" i="10" s="1"/>
  <c r="L150" s="1"/>
  <c r="E115" i="37"/>
  <c r="F123"/>
  <c r="H86" i="10" s="1"/>
  <c r="L86" s="1"/>
  <c r="E124" i="37"/>
  <c r="P150" i="10" l="1"/>
  <c r="F124" i="37"/>
  <c r="H99" i="10" s="1"/>
  <c r="L99" s="1"/>
  <c r="E125" i="37"/>
  <c r="P86" i="10"/>
  <c r="E116" i="37"/>
  <c r="F115"/>
  <c r="H151" i="10" s="1"/>
  <c r="L151" s="1"/>
  <c r="F116" i="37" l="1"/>
  <c r="H152" i="10" s="1"/>
  <c r="L152" s="1"/>
  <c r="P152" s="1"/>
  <c r="E117" i="37"/>
  <c r="F117" s="1"/>
  <c r="H173" i="10" s="1"/>
  <c r="P151"/>
  <c r="F125" i="37"/>
  <c r="H105" i="10" s="1"/>
  <c r="L105" s="1"/>
  <c r="E126" i="37"/>
  <c r="P99" i="10"/>
  <c r="L173" l="1"/>
  <c r="P173" s="1"/>
  <c r="F126" i="37"/>
  <c r="H100" i="10" s="1"/>
  <c r="L100" s="1"/>
  <c r="E127" i="37"/>
  <c r="P105" i="10"/>
  <c r="F127" i="37" l="1"/>
  <c r="H101" i="10" s="1"/>
  <c r="L101" s="1"/>
  <c r="E128" i="37"/>
  <c r="P100" i="10"/>
  <c r="F128" i="37" l="1"/>
  <c r="H106" i="10" s="1"/>
  <c r="E129" i="37"/>
  <c r="P101" i="10"/>
  <c r="F129" i="37" l="1"/>
  <c r="H107" i="10" s="1"/>
  <c r="L107" s="1"/>
  <c r="E130" i="37"/>
  <c r="L106" i="10"/>
  <c r="F130" i="37" l="1"/>
  <c r="H108" i="10" s="1"/>
  <c r="E131" i="37"/>
  <c r="P106" i="10"/>
  <c r="P107"/>
  <c r="E133" i="37" l="1"/>
  <c r="F131"/>
  <c r="H135" i="10" s="1"/>
  <c r="L135" s="1"/>
  <c r="E132" i="37"/>
  <c r="F132" s="1"/>
  <c r="H136" i="10" s="1"/>
  <c r="L136" s="1"/>
  <c r="P136" s="1"/>
  <c r="L108"/>
  <c r="P135" l="1"/>
  <c r="P108"/>
  <c r="E134" i="37"/>
  <c r="F133"/>
  <c r="H137" i="10" s="1"/>
  <c r="L137" s="1"/>
  <c r="P137" l="1"/>
  <c r="F134" i="37"/>
  <c r="H139" i="10" s="1"/>
  <c r="L139" s="1"/>
  <c r="E135" i="37"/>
  <c r="F135" l="1"/>
  <c r="H144" i="10" s="1"/>
  <c r="L144" s="1"/>
  <c r="E136" i="37"/>
  <c r="P139" i="10"/>
  <c r="E137" i="37" l="1"/>
  <c r="F136"/>
  <c r="H110" i="10" s="1"/>
  <c r="L110" s="1"/>
  <c r="P144"/>
  <c r="P110" l="1"/>
  <c r="F137" i="37"/>
  <c r="H111" i="10" s="1"/>
  <c r="L111" s="1"/>
  <c r="E138" i="37"/>
  <c r="E139" l="1"/>
  <c r="F138"/>
  <c r="H112" i="10" s="1"/>
  <c r="L112" s="1"/>
  <c r="P111"/>
  <c r="P112" l="1"/>
  <c r="E140" i="37"/>
  <c r="F140" s="1"/>
  <c r="H114" i="10" s="1"/>
  <c r="L114" s="1"/>
  <c r="F139" i="37"/>
  <c r="H113" i="10" s="1"/>
  <c r="L113" s="1"/>
  <c r="E141" i="37"/>
  <c r="P114" i="10" l="1"/>
  <c r="P113"/>
  <c r="E142" i="37"/>
  <c r="F141"/>
  <c r="H138" i="10" s="1"/>
  <c r="L138" s="1"/>
  <c r="P138" l="1"/>
  <c r="F142" i="37"/>
  <c r="H102" i="10" s="1"/>
  <c r="L102" s="1"/>
  <c r="E143" i="37"/>
  <c r="F143" l="1"/>
  <c r="H117" i="10" s="1"/>
  <c r="L117" s="1"/>
  <c r="E144" i="37"/>
  <c r="P102" i="10"/>
  <c r="F144" i="37" l="1"/>
  <c r="H118" i="10" s="1"/>
  <c r="L118" s="1"/>
  <c r="E145" i="37"/>
  <c r="P117" i="10"/>
  <c r="F145" i="37" l="1"/>
  <c r="H84" i="10" s="1"/>
  <c r="E146" i="37"/>
  <c r="P118" i="10"/>
  <c r="L84" l="1"/>
  <c r="P84" s="1"/>
  <c r="E147" i="37"/>
  <c r="F146"/>
  <c r="H85" i="10" s="1"/>
  <c r="L85" s="1"/>
  <c r="P85" l="1"/>
  <c r="F147" i="37"/>
  <c r="H119" i="10" s="1"/>
  <c r="L119" s="1"/>
  <c r="E148" i="37"/>
  <c r="F148" l="1"/>
  <c r="H109" i="10" s="1"/>
  <c r="E149" i="37"/>
  <c r="P119" i="10"/>
  <c r="L109" l="1"/>
  <c r="P109" s="1"/>
  <c r="F149" i="37"/>
  <c r="H120" i="10" s="1"/>
  <c r="L120" s="1"/>
  <c r="E150" i="37"/>
  <c r="F150" l="1"/>
  <c r="H103" i="10" s="1"/>
  <c r="L103" s="1"/>
  <c r="E151" i="37"/>
  <c r="F151" s="1"/>
  <c r="H104" i="10" s="1"/>
  <c r="L104" s="1"/>
  <c r="E152" i="37"/>
  <c r="P120" i="10"/>
  <c r="P104" l="1"/>
  <c r="P103"/>
  <c r="F152" i="37"/>
  <c r="H125" i="10" s="1"/>
  <c r="L125" s="1"/>
  <c r="E153" i="37"/>
  <c r="F153" l="1"/>
  <c r="H126" i="10" s="1"/>
  <c r="L126" s="1"/>
  <c r="E154" i="37"/>
  <c r="P125" i="10"/>
  <c r="F154" i="37" l="1"/>
  <c r="H121" i="10" s="1"/>
  <c r="L121" s="1"/>
  <c r="E155" i="37"/>
  <c r="P126" i="10"/>
  <c r="E156" i="37" l="1"/>
  <c r="F155"/>
  <c r="H141" i="10" s="1"/>
  <c r="L141" s="1"/>
  <c r="P121"/>
  <c r="P141" l="1"/>
  <c r="E157" i="37"/>
  <c r="F156"/>
  <c r="H140" i="10" s="1"/>
  <c r="L140" s="1"/>
  <c r="P140" l="1"/>
  <c r="E158" i="37"/>
  <c r="F157"/>
  <c r="H145" i="10" s="1"/>
  <c r="L145" s="1"/>
  <c r="P145" l="1"/>
  <c r="F158" i="37"/>
  <c r="H142" i="10" s="1"/>
  <c r="E159" i="37"/>
  <c r="F159" l="1"/>
  <c r="H143" i="10" s="1"/>
  <c r="L143" s="1"/>
  <c r="E160" i="37"/>
  <c r="L142" i="10"/>
  <c r="P142" l="1"/>
  <c r="F160" i="37"/>
  <c r="H123" i="10" s="1"/>
  <c r="L123" s="1"/>
  <c r="E161" i="37"/>
  <c r="P143" i="10"/>
  <c r="F161" i="37" l="1"/>
  <c r="H124" i="10" s="1"/>
  <c r="L124" s="1"/>
  <c r="E162" i="37"/>
  <c r="P123" i="10"/>
  <c r="E163" i="37" l="1"/>
  <c r="F162"/>
  <c r="H129" i="10" s="1"/>
  <c r="L129" s="1"/>
  <c r="P124"/>
  <c r="P129" l="1"/>
  <c r="E164" i="37"/>
  <c r="F163"/>
  <c r="H122" i="10" s="1"/>
  <c r="L122" s="1"/>
  <c r="P122" l="1"/>
  <c r="F164" i="37"/>
  <c r="H128" i="10" s="1"/>
  <c r="L128" s="1"/>
  <c r="E165" i="37"/>
  <c r="F165" l="1"/>
  <c r="H130" i="10" s="1"/>
  <c r="L130" s="1"/>
  <c r="E166" i="37"/>
  <c r="P128" i="10"/>
  <c r="E167" i="37" l="1"/>
  <c r="F166"/>
  <c r="H127" i="10" s="1"/>
  <c r="L127" s="1"/>
  <c r="E170" i="37"/>
  <c r="P130" i="10"/>
  <c r="E171" i="37" l="1"/>
  <c r="F170"/>
  <c r="H177" i="10" s="1"/>
  <c r="L177" s="1"/>
  <c r="P177" s="1"/>
  <c r="P127"/>
  <c r="F167" i="37"/>
  <c r="H115" i="10" s="1"/>
  <c r="L115" s="1"/>
  <c r="E168" i="37"/>
  <c r="F168" s="1"/>
  <c r="H116" i="10" s="1"/>
  <c r="P115" l="1"/>
  <c r="L116"/>
  <c r="P116" s="1"/>
  <c r="G342" s="1"/>
  <c r="F171" i="37"/>
  <c r="H178" i="10" s="1"/>
  <c r="L178" s="1"/>
  <c r="P178" s="1"/>
  <c r="E172" i="37"/>
  <c r="F172" l="1"/>
  <c r="H180" i="10" s="1"/>
  <c r="L180" s="1"/>
  <c r="P180" s="1"/>
  <c r="E178" i="37"/>
  <c r="E173"/>
  <c r="G343" i="10"/>
  <c r="E342"/>
  <c r="G344"/>
  <c r="E344" l="1"/>
  <c r="E174" i="37"/>
  <c r="F173"/>
  <c r="H182" i="10" s="1"/>
  <c r="L182" s="1"/>
  <c r="P182" s="1"/>
  <c r="E179" i="37"/>
  <c r="F178"/>
  <c r="E343" i="10"/>
  <c r="F174" i="37" l="1"/>
  <c r="H181" i="10" s="1"/>
  <c r="L181" s="1"/>
  <c r="P181" s="1"/>
  <c r="E175" i="37"/>
  <c r="E180"/>
  <c r="F179"/>
  <c r="F175" l="1"/>
  <c r="H148" i="10" s="1"/>
  <c r="E176" i="37"/>
  <c r="F180"/>
  <c r="E181"/>
  <c r="L148" i="10" l="1"/>
  <c r="P148" s="1"/>
  <c r="F181" i="37"/>
  <c r="E182"/>
  <c r="F182" s="1"/>
  <c r="F176"/>
  <c r="H93" i="10" s="1"/>
  <c r="E177" i="37"/>
  <c r="F177" s="1"/>
  <c r="H147" i="10" s="1"/>
  <c r="F185" i="37" l="1"/>
  <c r="L147" i="10"/>
  <c r="L93"/>
  <c r="H187"/>
  <c r="P93" l="1"/>
  <c r="L187"/>
  <c r="H200"/>
  <c r="L188"/>
  <c r="P147"/>
  <c r="H188"/>
  <c r="H189" s="1"/>
  <c r="F187" i="37"/>
  <c r="G345" i="10" l="1"/>
  <c r="E350"/>
  <c r="L189"/>
  <c r="L200"/>
  <c r="H203"/>
  <c r="E345" l="1"/>
  <c r="H24" i="35" l="1"/>
  <c r="I13" s="1"/>
  <c r="I14" l="1"/>
  <c r="K14" s="1"/>
  <c r="M14" s="1"/>
  <c r="K13"/>
  <c r="M13" s="1"/>
  <c r="N14" l="1"/>
  <c r="Q14" s="1"/>
  <c r="N174" i="10" s="1"/>
  <c r="O174" s="1"/>
  <c r="I16" i="35"/>
  <c r="I18" s="1"/>
  <c r="I20" s="1"/>
  <c r="J13"/>
  <c r="M16"/>
  <c r="K16"/>
  <c r="N13"/>
  <c r="Q13" s="1"/>
  <c r="N16" l="1"/>
  <c r="Q19"/>
  <c r="N158" i="10"/>
  <c r="O158" s="1"/>
  <c r="P174"/>
  <c r="N187" l="1"/>
  <c r="O187"/>
  <c r="P158"/>
  <c r="F346"/>
  <c r="N189" l="1"/>
  <c r="N203"/>
  <c r="N200"/>
  <c r="G346"/>
  <c r="P187"/>
  <c r="P200" s="1"/>
  <c r="F350"/>
  <c r="G350" s="1"/>
  <c r="O200"/>
  <c r="F347"/>
  <c r="F348" s="1"/>
  <c r="G347" l="1"/>
  <c r="G348" s="1"/>
  <c r="F351"/>
  <c r="E346"/>
  <c r="E347" l="1"/>
  <c r="E348" s="1"/>
  <c r="G351"/>
  <c r="E351" l="1"/>
</calcChain>
</file>

<file path=xl/comments1.xml><?xml version="1.0" encoding="utf-8"?>
<comments xmlns="http://schemas.openxmlformats.org/spreadsheetml/2006/main">
  <authors>
    <author>Surtigas S.A E.S.P</author>
  </authors>
  <commentList>
    <comment ref="E219" authorId="0">
      <text>
        <r>
          <rPr>
            <b/>
            <sz val="8"/>
            <color indexed="81"/>
            <rFont val="Tahoma"/>
            <family val="2"/>
          </rPr>
          <t>Surtigas S.A E.S.P:</t>
        </r>
        <r>
          <rPr>
            <sz val="8"/>
            <color indexed="81"/>
            <rFont val="Tahoma"/>
            <family val="2"/>
          </rPr>
          <t xml:space="preserve">
OJO PODER CALORIFICO
</t>
        </r>
      </text>
    </comment>
    <comment ref="E220" authorId="0">
      <text>
        <r>
          <rPr>
            <b/>
            <sz val="8"/>
            <color indexed="81"/>
            <rFont val="Tahoma"/>
            <family val="2"/>
          </rPr>
          <t>Surtigas S.A E.S.P:</t>
        </r>
        <r>
          <rPr>
            <sz val="8"/>
            <color indexed="81"/>
            <rFont val="Tahoma"/>
            <family val="2"/>
          </rPr>
          <t xml:space="preserve">
OJO PODER CALORIFICO
</t>
        </r>
      </text>
    </comment>
  </commentList>
</comments>
</file>

<file path=xl/comments2.xml><?xml version="1.0" encoding="utf-8"?>
<comments xmlns="http://schemas.openxmlformats.org/spreadsheetml/2006/main">
  <authors>
    <author>IvanM</author>
  </authors>
  <commentList>
    <comment ref="AP200" authorId="0">
      <text>
        <r>
          <rPr>
            <sz val="9"/>
            <color indexed="81"/>
            <rFont val="Tahoma"/>
            <family val="2"/>
          </rPr>
          <t>se digita el valor de la diferencia que se encuantre en cg128</t>
        </r>
      </text>
    </comment>
    <comment ref="AQ200" authorId="0">
      <text>
        <r>
          <rPr>
            <sz val="9"/>
            <color indexed="81"/>
            <rFont val="Tahoma"/>
            <family val="2"/>
          </rPr>
          <t>se digita el valor de la diferencia que se encuantre en cg128</t>
        </r>
      </text>
    </comment>
    <comment ref="AS200" authorId="0">
      <text>
        <r>
          <rPr>
            <sz val="10"/>
            <color indexed="81"/>
            <rFont val="Tahoma"/>
            <family val="2"/>
          </rPr>
          <t>valor diferencia antes de actualizar el nuevo %</t>
        </r>
      </text>
    </comment>
  </commentList>
</comments>
</file>

<file path=xl/sharedStrings.xml><?xml version="1.0" encoding="utf-8"?>
<sst xmlns="http://schemas.openxmlformats.org/spreadsheetml/2006/main" count="1724" uniqueCount="617">
  <si>
    <t>Surtidora de Gas del Caribe. S.A. e.s.p.</t>
  </si>
  <si>
    <t xml:space="preserve"> </t>
  </si>
  <si>
    <t>AGENCIA</t>
  </si>
  <si>
    <t>ECOPETROL</t>
  </si>
  <si>
    <t>DIFERENCIA</t>
  </si>
  <si>
    <t>DEFINITIVO</t>
  </si>
  <si>
    <t>FACTURA</t>
  </si>
  <si>
    <t>MBTU</t>
  </si>
  <si>
    <t>TRM</t>
  </si>
  <si>
    <t>GAS</t>
  </si>
  <si>
    <t>TRANSPORTE</t>
  </si>
  <si>
    <t>TOTAL</t>
  </si>
  <si>
    <t>MT3</t>
  </si>
  <si>
    <t>MONTERIA</t>
  </si>
  <si>
    <t>CERETE</t>
  </si>
  <si>
    <t>CERETE III</t>
  </si>
  <si>
    <t>CERETE IV</t>
  </si>
  <si>
    <t>CIENAGA DE ORO</t>
  </si>
  <si>
    <t>MONTELIBANO</t>
  </si>
  <si>
    <t>PLANETA RICA</t>
  </si>
  <si>
    <t>LORICA</t>
  </si>
  <si>
    <t>CHIMA</t>
  </si>
  <si>
    <t>SAN ANDRES</t>
  </si>
  <si>
    <t>MOMIL</t>
  </si>
  <si>
    <t xml:space="preserve">PURISIMA </t>
  </si>
  <si>
    <t>PUEBLO NUEVO</t>
  </si>
  <si>
    <t>SAMPUES</t>
  </si>
  <si>
    <t>CHINU</t>
  </si>
  <si>
    <t>SAHAGUN</t>
  </si>
  <si>
    <t>SAN MARCOS</t>
  </si>
  <si>
    <t xml:space="preserve">TOLU </t>
  </si>
  <si>
    <t>TOLU VIEJO</t>
  </si>
  <si>
    <t>HDA ORO BLANCO</t>
  </si>
  <si>
    <t>SAN ONOFRE</t>
  </si>
  <si>
    <t>COROZAL</t>
  </si>
  <si>
    <t>SINCE</t>
  </si>
  <si>
    <t>BETULIA</t>
  </si>
  <si>
    <t>TURBACO</t>
  </si>
  <si>
    <t>ARJONA</t>
  </si>
  <si>
    <t>SAN JUAN</t>
  </si>
  <si>
    <t>SAN JACINTO</t>
  </si>
  <si>
    <t>EL CARMEN</t>
  </si>
  <si>
    <t>OVEJAS</t>
  </si>
  <si>
    <t>SAN PEDRO</t>
  </si>
  <si>
    <t>BUENAVISTA</t>
  </si>
  <si>
    <t>JUAN ARIAS</t>
  </si>
  <si>
    <t>CAMILO TORRES</t>
  </si>
  <si>
    <t>MAGANGUE</t>
  </si>
  <si>
    <t>CICUCO</t>
  </si>
  <si>
    <t>TALAIGUA</t>
  </si>
  <si>
    <t>MOMPOX</t>
  </si>
  <si>
    <t>CLEMENCIA</t>
  </si>
  <si>
    <t>MARIA LA BAJA</t>
  </si>
  <si>
    <t>EL RETIRO</t>
  </si>
  <si>
    <t>TURBANA</t>
  </si>
  <si>
    <t>STA CATALINA</t>
  </si>
  <si>
    <t>STA ROSA</t>
  </si>
  <si>
    <t>POZON - TERMINAL</t>
  </si>
  <si>
    <t>TERNERA</t>
  </si>
  <si>
    <t>CORELCA</t>
  </si>
  <si>
    <t>ZONA FRANCA</t>
  </si>
  <si>
    <t>SINCELEJO</t>
  </si>
  <si>
    <t>G.N.C. BOSQUE</t>
  </si>
  <si>
    <t>G.N.C. TESCA</t>
  </si>
  <si>
    <t>TUBOCARIBE</t>
  </si>
  <si>
    <t>CELLUX</t>
  </si>
  <si>
    <t>BIOFILM 1</t>
  </si>
  <si>
    <t>BIOFILM 2</t>
  </si>
  <si>
    <t>CASCABEL</t>
  </si>
  <si>
    <t>ATUNCOL</t>
  </si>
  <si>
    <t>POLYBOL</t>
  </si>
  <si>
    <t>PROPILCO</t>
  </si>
  <si>
    <t>SIDEBOYACA</t>
  </si>
  <si>
    <t>VAN LEER</t>
  </si>
  <si>
    <t>DEXTON</t>
  </si>
  <si>
    <t>PAAD</t>
  </si>
  <si>
    <t>LAMITECH</t>
  </si>
  <si>
    <t>COLTERMINALES</t>
  </si>
  <si>
    <t>DOW</t>
  </si>
  <si>
    <t>DOW RESINA</t>
  </si>
  <si>
    <t>COLCLINKER</t>
  </si>
  <si>
    <t>BIOAISE</t>
  </si>
  <si>
    <t>TOLCEMENTO</t>
  </si>
  <si>
    <t>CALES DEL CARIBE</t>
  </si>
  <si>
    <t>CERROMATOSO</t>
  </si>
  <si>
    <t>PROPAISE</t>
  </si>
  <si>
    <t>TRM DIA ANTES DEL DIA DE FACTURACION</t>
  </si>
  <si>
    <t>TRM PROMEDIO MES</t>
  </si>
  <si>
    <t>TRM ULTIMO DIA MES</t>
  </si>
  <si>
    <t>DIF</t>
  </si>
  <si>
    <t xml:space="preserve">No FACTURA </t>
  </si>
  <si>
    <t>TOTALES</t>
  </si>
  <si>
    <t>Surtigas S.A. e.s.p</t>
  </si>
  <si>
    <t>RESUMEN DE COMPRAS POR AGENCIA</t>
  </si>
  <si>
    <t>Mt3</t>
  </si>
  <si>
    <t>CARTAGENA</t>
  </si>
  <si>
    <t>BUENAVISTA-J.ARIAS</t>
  </si>
  <si>
    <t>MAGANGUE-C.TORRES</t>
  </si>
  <si>
    <t>Sub Total Bolivar:</t>
  </si>
  <si>
    <t>Sub Total Cordova:</t>
  </si>
  <si>
    <t>Sub Total Sucre:</t>
  </si>
  <si>
    <t>GNC</t>
  </si>
  <si>
    <t>Sub Total Surtigas</t>
  </si>
  <si>
    <t>DITRIB.RED TERCE</t>
  </si>
  <si>
    <t>COMERCIALIZACION</t>
  </si>
  <si>
    <t>Sub Total Terceros:</t>
  </si>
  <si>
    <t>Total General:</t>
  </si>
  <si>
    <t>GUAJIRA</t>
  </si>
  <si>
    <t>GUEPAJE</t>
  </si>
  <si>
    <t>U$/MBTU</t>
  </si>
  <si>
    <t xml:space="preserve">CONTROL DE FACTURAS TEXAS </t>
  </si>
  <si>
    <t>T.R.M.</t>
  </si>
  <si>
    <t>KPC</t>
  </si>
  <si>
    <t>FACTURAS</t>
  </si>
  <si>
    <t>TEXAS</t>
  </si>
  <si>
    <t>GAS+TRANS</t>
  </si>
  <si>
    <t xml:space="preserve">CONTROL DE FACTURAS  </t>
  </si>
  <si>
    <t>GNC SINCELEJO</t>
  </si>
  <si>
    <t>GNC MONTERIA</t>
  </si>
  <si>
    <t>PROMI. SUR</t>
  </si>
  <si>
    <t>IMPUESTO</t>
  </si>
  <si>
    <t>FACTURADO</t>
  </si>
  <si>
    <t>MBTU FACT</t>
  </si>
  <si>
    <t>GAS FACT</t>
  </si>
  <si>
    <t>IMPUESTO TRASPORTE</t>
  </si>
  <si>
    <t>TEXACO</t>
  </si>
  <si>
    <t>%</t>
  </si>
  <si>
    <t>TOTAL SURTIGAS</t>
  </si>
  <si>
    <t>TRM ULTIMO DIA HABIL DEL MES</t>
  </si>
  <si>
    <t>GRAN</t>
  </si>
  <si>
    <t>OTROS GNC</t>
  </si>
  <si>
    <t>PESOS</t>
  </si>
  <si>
    <t>PROMIGAS</t>
  </si>
  <si>
    <t>SANTA ANA</t>
  </si>
  <si>
    <t>TALAIGUA TOT</t>
  </si>
  <si>
    <t>COROZAL TOT</t>
  </si>
  <si>
    <t>MORROA</t>
  </si>
  <si>
    <t>LOS PALMITOS</t>
  </si>
  <si>
    <t>GALERAS</t>
  </si>
  <si>
    <t>Kpc</t>
  </si>
  <si>
    <t>TERMOCARTAGENA</t>
  </si>
  <si>
    <t>FLORES</t>
  </si>
  <si>
    <t>Us$</t>
  </si>
  <si>
    <t>PROLECHE</t>
  </si>
  <si>
    <t>COLANTA</t>
  </si>
  <si>
    <t>CORRECCION POR NUEVOS GRANDES CONSUMIDORES</t>
  </si>
  <si>
    <t>TURBOMACH</t>
  </si>
  <si>
    <t>TOLCEMENTO AUTOGEN</t>
  </si>
  <si>
    <t>GASCARIBE</t>
  </si>
  <si>
    <t>PROELECTRICA</t>
  </si>
  <si>
    <t>ROCHA</t>
  </si>
  <si>
    <t>TERMOCANDELARIA</t>
  </si>
  <si>
    <t>CONTROL DE FACTURAS DE PROMIGAS</t>
  </si>
  <si>
    <t>SURTIBOLR</t>
  </si>
  <si>
    <t>SURTISRTMR</t>
  </si>
  <si>
    <t>SURTISRTNR</t>
  </si>
  <si>
    <t>G.N.C. SAN FELIPE</t>
  </si>
  <si>
    <t>SURTISRTCOL</t>
  </si>
  <si>
    <t>SURTISINCEGUJR</t>
  </si>
  <si>
    <t>SURTISINCEGUJNR</t>
  </si>
  <si>
    <t>SURTISINCEGUPR</t>
  </si>
  <si>
    <t>SURTIJOBOGUJR</t>
  </si>
  <si>
    <t>SURTISINCEGUPNR</t>
  </si>
  <si>
    <t>SURTIJOBOGUJNR</t>
  </si>
  <si>
    <t>NO REGULADO</t>
  </si>
  <si>
    <t>CUOTA</t>
  </si>
  <si>
    <t>FOMENTO</t>
  </si>
  <si>
    <t>G.N.C SAN FELIPE</t>
  </si>
  <si>
    <t xml:space="preserve">PROMIGAS </t>
  </si>
  <si>
    <t>PERDIDA DE</t>
  </si>
  <si>
    <t>GUEPA</t>
  </si>
  <si>
    <t>GUAJI</t>
  </si>
  <si>
    <t>MER REGULA</t>
  </si>
  <si>
    <t>desbalance surtigas</t>
  </si>
  <si>
    <t>SURTIBOLNR</t>
  </si>
  <si>
    <t>GNC LA VARIANTE</t>
  </si>
  <si>
    <t>ROCHA TOTAL</t>
  </si>
  <si>
    <t>CI OCEANOS FINCA</t>
  </si>
  <si>
    <t>CARTAGENA ZONA NORTE</t>
  </si>
  <si>
    <t>BAYUNCA</t>
  </si>
  <si>
    <t>PONTEZUELA</t>
  </si>
  <si>
    <t>CARTAGENA Z NORTE</t>
  </si>
  <si>
    <t>BAYUNCA + POZON</t>
  </si>
  <si>
    <t>BAYUNCA + PONTEZ</t>
  </si>
  <si>
    <t>COLCLINKER GENERACION</t>
  </si>
  <si>
    <t>TERNERA II</t>
  </si>
  <si>
    <t>COLCLINKER GEN</t>
  </si>
  <si>
    <t xml:space="preserve">GNC SAN BUENAV -TERN </t>
  </si>
  <si>
    <t>GNC SAN BUENAV -TER II</t>
  </si>
  <si>
    <t>COLCLINKER GENERACI.</t>
  </si>
  <si>
    <t>CAUCASIA</t>
  </si>
  <si>
    <t>LORICA TOT</t>
  </si>
  <si>
    <t>SAN ANTERO</t>
  </si>
  <si>
    <t>CERETE TOT</t>
  </si>
  <si>
    <t>SAN PELAYO</t>
  </si>
  <si>
    <t>no regulado</t>
  </si>
  <si>
    <t>GNC DOÑA MANUELA</t>
  </si>
  <si>
    <t>GNC TERNERA</t>
  </si>
  <si>
    <t>GNC EL AMPARO</t>
  </si>
  <si>
    <t>GNC EL TIGRE</t>
  </si>
  <si>
    <t>GNC DÑA MANUELA</t>
  </si>
  <si>
    <t>GNC DONA MAUELA</t>
  </si>
  <si>
    <t>GNC AMPARO</t>
  </si>
  <si>
    <t>G.N.C EL TIGRE</t>
  </si>
  <si>
    <t>CI OCEANOS GENER.</t>
  </si>
  <si>
    <t>MTS OCENOS</t>
  </si>
  <si>
    <t>MTS GENERACION</t>
  </si>
  <si>
    <t>CI OCEANOS GENERA</t>
  </si>
  <si>
    <t>GNC CORTIJO</t>
  </si>
  <si>
    <t>MTS3</t>
  </si>
  <si>
    <t>G.N.C. AMPARO</t>
  </si>
  <si>
    <t>G.N.C. TIGRE</t>
  </si>
  <si>
    <t>Gm</t>
  </si>
  <si>
    <t>GNC MANGA</t>
  </si>
  <si>
    <t>G.N.C. MANGA</t>
  </si>
  <si>
    <t>BUENAVISTA CORD</t>
  </si>
  <si>
    <t>ALVAREZ Y COLLINS</t>
  </si>
  <si>
    <t>URIBE URIBE</t>
  </si>
  <si>
    <t>TERNERA  II</t>
  </si>
  <si>
    <t>TURBOMAC</t>
  </si>
  <si>
    <t>BAYUNCA + PONTEZU</t>
  </si>
  <si>
    <t>GNC SAN FELIPE</t>
  </si>
  <si>
    <t>GNC SAN BUENV</t>
  </si>
  <si>
    <t>AMPARO</t>
  </si>
  <si>
    <t>TIGRE</t>
  </si>
  <si>
    <t>CONSUMIDOR</t>
  </si>
  <si>
    <t>SURTIGAS MAMONAL</t>
  </si>
  <si>
    <t>ESTACION G.N.C. BOSQUE</t>
  </si>
  <si>
    <t xml:space="preserve"> ESTACIONG.N.C TESCA</t>
  </si>
  <si>
    <t xml:space="preserve"> ESTACIONG.N.C SAN FELIPE</t>
  </si>
  <si>
    <t xml:space="preserve"> ESTACIONG.N.C EL TIGRE</t>
  </si>
  <si>
    <t xml:space="preserve"> ESTACIONG.N.C LA MANGA</t>
  </si>
  <si>
    <t>CELLUX S.A.</t>
  </si>
  <si>
    <t>BIOFILM</t>
  </si>
  <si>
    <t>BIOFILM COGENERACION</t>
  </si>
  <si>
    <t>POLYBOL S.A.</t>
  </si>
  <si>
    <t>PETROQUIMICA</t>
  </si>
  <si>
    <t>PETCO COGENERACION</t>
  </si>
  <si>
    <t xml:space="preserve"> PROPAISE</t>
  </si>
  <si>
    <t>VANLEER</t>
  </si>
  <si>
    <t>AMOCAR</t>
  </si>
  <si>
    <t>AMOCAR M. P.</t>
  </si>
  <si>
    <t>ABOCOL</t>
  </si>
  <si>
    <t>CABOT 1</t>
  </si>
  <si>
    <t>CABOT 2</t>
  </si>
  <si>
    <t>SURTIGAS ZONA FRANCA</t>
  </si>
  <si>
    <t>DOW RESINA EPOXICA</t>
  </si>
  <si>
    <t>MALTERIA BAVARIA</t>
  </si>
  <si>
    <t>ECOPETROL REFINERIA</t>
  </si>
  <si>
    <t>SURTIGAS TURBANA</t>
  </si>
  <si>
    <t>SURTIGAS SAN ONOFRE</t>
  </si>
  <si>
    <t>SURTIGAS TOLU VIEJO</t>
  </si>
  <si>
    <t>SURTIGAS ORO BLANCO</t>
  </si>
  <si>
    <t>SURTIGAS TOLU</t>
  </si>
  <si>
    <t>SURTIGAS SINCELEJO</t>
  </si>
  <si>
    <t>SURTIGAS URIBE URIBE</t>
  </si>
  <si>
    <t>ESTACION GNC SINCELEJO</t>
  </si>
  <si>
    <t>SURTIGAS SAMPUES</t>
  </si>
  <si>
    <t>SURTIGAS CHINU</t>
  </si>
  <si>
    <t>SAN ANDRES DE SOTAVENTO</t>
  </si>
  <si>
    <t>SURTIGAS CHIMA</t>
  </si>
  <si>
    <t>SURTIGAS MOMIL</t>
  </si>
  <si>
    <t>SURTIGAS PURISIMA</t>
  </si>
  <si>
    <t>SURTGAS S.A. LORICA</t>
  </si>
  <si>
    <t>SURTIGAS SAHAGUN</t>
  </si>
  <si>
    <t>SURTIGAS CIENAGA DE ORO</t>
  </si>
  <si>
    <t>SURTIGAS CERETE</t>
  </si>
  <si>
    <t>SURTIGAS S.A. CERETE III</t>
  </si>
  <si>
    <t>SURTIGAS S.A. CERETE IV</t>
  </si>
  <si>
    <t>SURTIGAS MONTERIA</t>
  </si>
  <si>
    <t>SURTIGAS SAN MARCOS</t>
  </si>
  <si>
    <t>SURTIGAS PLANETA RICA I</t>
  </si>
  <si>
    <t>SURTIGAS PLANETA RICA II</t>
  </si>
  <si>
    <t>BUENAVISTA CORDOBA</t>
  </si>
  <si>
    <t>SURTIGAS MONTELIBANO</t>
  </si>
  <si>
    <t xml:space="preserve">CERRO MATOSO </t>
  </si>
  <si>
    <t>SURTIGAS EL CARMEN DE BOL.</t>
  </si>
  <si>
    <t>SURTIGAS OVEJAS</t>
  </si>
  <si>
    <t>SURTIGAS SAN JACINTO</t>
  </si>
  <si>
    <t>SURTIGAS SAN JUAN</t>
  </si>
  <si>
    <t>SURTIGAS BETULIA</t>
  </si>
  <si>
    <t>SURTIGAS COROZAL</t>
  </si>
  <si>
    <t>SURTIGAS SAN PEDRO</t>
  </si>
  <si>
    <t>SURTIGAS SINCE</t>
  </si>
  <si>
    <t>SURTIGAS MAGANGUE</t>
  </si>
  <si>
    <t>SURTIGAS BUENA VISTA</t>
  </si>
  <si>
    <t>SURTIGAS JUAN ARIAS</t>
  </si>
  <si>
    <t>SURTIGAS CAMILO TORRES</t>
  </si>
  <si>
    <t>SURTIGAS EL LIMON (CICUCO)</t>
  </si>
  <si>
    <t>SURTIGAS TALAIGUA NUEVO</t>
  </si>
  <si>
    <t>SURTIGAS MOMPOX</t>
  </si>
  <si>
    <t>Tubo Caribe</t>
  </si>
  <si>
    <t>Turbaco</t>
  </si>
  <si>
    <t>Arjona</t>
  </si>
  <si>
    <t>Estación Ternera</t>
  </si>
  <si>
    <t>Doña Manuela</t>
  </si>
  <si>
    <t>Clemencia</t>
  </si>
  <si>
    <t>Santa Catalina</t>
  </si>
  <si>
    <t>Santa Rosa</t>
  </si>
  <si>
    <t>GNC Doña Manuela</t>
  </si>
  <si>
    <t>GNC Ternera</t>
  </si>
  <si>
    <t>GNC La Variante</t>
  </si>
  <si>
    <t>Bayunca</t>
  </si>
  <si>
    <t>Pontezuela</t>
  </si>
  <si>
    <t>Cartagena zona norte</t>
  </si>
  <si>
    <t>ternera II - san buenav</t>
  </si>
  <si>
    <t>Alvarez y Collins</t>
  </si>
  <si>
    <t>OCENOS</t>
  </si>
  <si>
    <t>OCENOS GENERACION</t>
  </si>
  <si>
    <t>$/us$</t>
  </si>
  <si>
    <t>MES</t>
  </si>
  <si>
    <t>% PERDIDA DE GAS</t>
  </si>
  <si>
    <t>PODER CALORIFICO GUAJIRA</t>
  </si>
  <si>
    <t>PODER CALORIFICO GUEPAJE</t>
  </si>
  <si>
    <t>No. FACTURA PROMIGAS</t>
  </si>
  <si>
    <t>TOT REGULADOS  PROMIGAS $</t>
  </si>
  <si>
    <t>KPC REGULADOS PROMIGAS</t>
  </si>
  <si>
    <t>digite 1</t>
  </si>
  <si>
    <t>REGULADOS</t>
  </si>
  <si>
    <t>GNC Texaco El Amparo</t>
  </si>
  <si>
    <t>GNC Esso El Amparo</t>
  </si>
  <si>
    <t>GNC ESSO EL AMPARO</t>
  </si>
  <si>
    <t>ESSO AMPARO</t>
  </si>
  <si>
    <t>G.N.C. ESSO AMPARO</t>
  </si>
  <si>
    <t>SAN CARLOS</t>
  </si>
  <si>
    <t>COVEÑAS</t>
  </si>
  <si>
    <t>PORVENIR</t>
  </si>
  <si>
    <t>TOLU TOT</t>
  </si>
  <si>
    <t>TOLU</t>
  </si>
  <si>
    <t>GNC ESSO AMPARO</t>
  </si>
  <si>
    <t>E2</t>
  </si>
  <si>
    <t>GNC OKALA</t>
  </si>
  <si>
    <t>GNC Okala</t>
  </si>
  <si>
    <t>G.N.C. MARBELLA</t>
  </si>
  <si>
    <t>GNC MARBELLA</t>
  </si>
  <si>
    <t>PETCO COGENERACION 2</t>
  </si>
  <si>
    <t>CMATOSOGEN</t>
  </si>
  <si>
    <t>GNC SANTA CRUZ</t>
  </si>
  <si>
    <t>EDS La Troncal</t>
  </si>
  <si>
    <t>EDS LA TRONCAL</t>
  </si>
  <si>
    <t>LA TRONCAL</t>
  </si>
  <si>
    <t>ZONA FRANCA LA CANDELARIA</t>
  </si>
  <si>
    <t>SAN PABLO</t>
  </si>
  <si>
    <t>CERAMICA ITALIA</t>
  </si>
  <si>
    <t>GNC India Catalina</t>
  </si>
  <si>
    <t>GNC INDIA CATALINA</t>
  </si>
  <si>
    <t>INDIA CATALINA</t>
  </si>
  <si>
    <t>Mbtu</t>
  </si>
  <si>
    <t>Total</t>
  </si>
  <si>
    <t>MONTERIA SEVILLA NORTE</t>
  </si>
  <si>
    <t>AYAPEL</t>
  </si>
  <si>
    <t>SEVILLA NORTE</t>
  </si>
  <si>
    <t>EDS NTRA SEÑORA CAR</t>
  </si>
  <si>
    <t>EDS NTRA SEÑORA</t>
  </si>
  <si>
    <t>NTRA SEÑORA CAR</t>
  </si>
  <si>
    <t>NUESTRA SRA CARMEN</t>
  </si>
  <si>
    <t>GNC TERPEL HEROICA</t>
  </si>
  <si>
    <t>GNC Terpel Heroica</t>
  </si>
  <si>
    <t>G.N.C. TERPEL HEROIC</t>
  </si>
  <si>
    <t>G.N.C. TERPEL HEROI</t>
  </si>
  <si>
    <t>GYPTEC</t>
  </si>
  <si>
    <t>GNC Pedro de Heredia</t>
  </si>
  <si>
    <t>GNC PEDRO DE HEREDIA</t>
  </si>
  <si>
    <t>G.N.C. PEDRO DE HERE</t>
  </si>
  <si>
    <t>GNC PEDRO HEREDIA</t>
  </si>
  <si>
    <t>G.N.C. PEDRO HEREDIA</t>
  </si>
  <si>
    <t>EDS Texaco Arjona</t>
  </si>
  <si>
    <t>TEXACO ARJONA</t>
  </si>
  <si>
    <t>EDS TEXACO ARJONA</t>
  </si>
  <si>
    <t>GNC EL TRIANGULO</t>
  </si>
  <si>
    <t>EDS Nuestra Señora Carmen</t>
  </si>
  <si>
    <t>GNC EL TRAINGULO</t>
  </si>
  <si>
    <t>$</t>
  </si>
  <si>
    <t>GNC PIE DEL CERRO</t>
  </si>
  <si>
    <t>GNC Pie del cerro</t>
  </si>
  <si>
    <t>G.N.C. PIE DE CERRO</t>
  </si>
  <si>
    <t>G.N.C. PIE DEL CERRO</t>
  </si>
  <si>
    <t>GNC EL TRINGULO</t>
  </si>
  <si>
    <t>GNC CRUZ DE MAYO</t>
  </si>
  <si>
    <t>SOLANA PETROLEUM</t>
  </si>
  <si>
    <t>SOLANA</t>
  </si>
  <si>
    <t>Texaco 4 Distracom</t>
  </si>
  <si>
    <t>TEXACO 4 DISTRACOM</t>
  </si>
  <si>
    <t>EDS Texaco 4 Distracom</t>
  </si>
  <si>
    <t>EDS TEXACO 4 DISTRACOM</t>
  </si>
  <si>
    <t>EDS TEXACO 4 DISTR</t>
  </si>
  <si>
    <t>EDS TEXACO 4 DIST</t>
  </si>
  <si>
    <t>G.N.C. EL CORTIJO MONTERIA</t>
  </si>
  <si>
    <t xml:space="preserve">TOTAL FACTURACION </t>
  </si>
  <si>
    <t>BUNKERCOL</t>
  </si>
  <si>
    <t>M3</t>
  </si>
  <si>
    <t>EDS La Terminal</t>
  </si>
  <si>
    <t>EDS LA TERMINAL</t>
  </si>
  <si>
    <t>DATO TOMADPO DE PROMIGAS VOL</t>
  </si>
  <si>
    <t>GLORMED</t>
  </si>
  <si>
    <t>Diferencia</t>
  </si>
  <si>
    <t xml:space="preserve"> PROPAISE 2</t>
  </si>
  <si>
    <t>ESTACION GNC LAURELES</t>
  </si>
  <si>
    <t>GNC LAURELES</t>
  </si>
  <si>
    <t>PROPAISE 2</t>
  </si>
  <si>
    <t>INTERRUMPIBLE</t>
  </si>
  <si>
    <t>Regulado</t>
  </si>
  <si>
    <t>Interrumpible</t>
  </si>
  <si>
    <t xml:space="preserve"> G.N.C. SANTA CRUZ</t>
  </si>
  <si>
    <t xml:space="preserve"> G.N.C. MONTERIA</t>
  </si>
  <si>
    <t>GNC VIRGEN DEL CAR</t>
  </si>
  <si>
    <t xml:space="preserve">GNC BUENOS AIRES </t>
  </si>
  <si>
    <t>GNC CANDILEJAS CAU</t>
  </si>
  <si>
    <t>EDS CANDILEJAS</t>
  </si>
  <si>
    <t>EDS CANDILEJAS CAUC</t>
  </si>
  <si>
    <t>GNC BUENOS AIRES</t>
  </si>
  <si>
    <t>GNC VIRGEN DEL C</t>
  </si>
  <si>
    <t>GNC CANDILEJAS</t>
  </si>
  <si>
    <t>FUSION</t>
  </si>
  <si>
    <t>ESPEJOS</t>
  </si>
  <si>
    <t>BIOFIL COOG 1</t>
  </si>
  <si>
    <t>GNC URBINA</t>
  </si>
  <si>
    <t>BIOFILM COOG 1</t>
  </si>
  <si>
    <t>ESTACION GNV URBINA</t>
  </si>
  <si>
    <t>BIFIL COOG 1</t>
  </si>
  <si>
    <t>GNC ESSO HERNANDEZ</t>
  </si>
  <si>
    <t>GNC ESSO HDEZ</t>
  </si>
  <si>
    <t>GNC SAHAGUN</t>
  </si>
  <si>
    <t>EMGESA</t>
  </si>
  <si>
    <t>SUIN SA</t>
  </si>
  <si>
    <t>SUIN</t>
  </si>
  <si>
    <t>GYPLAC SA</t>
  </si>
  <si>
    <t>EDS TECNOLOGICA</t>
  </si>
  <si>
    <t>GYPLAC</t>
  </si>
  <si>
    <t>EDS TECNOLOG</t>
  </si>
  <si>
    <t>EDS PIE POPA</t>
  </si>
  <si>
    <t>EDS PIE DE LA POPA</t>
  </si>
  <si>
    <t>PROPILCO 1</t>
  </si>
  <si>
    <t>GNC PLANETA RICA</t>
  </si>
  <si>
    <t>Propilco 1 (PROPAISE)</t>
  </si>
  <si>
    <t>PROPILCO 1 (PROPAISE)</t>
  </si>
  <si>
    <r>
      <t xml:space="preserve">PROPILCO 1 </t>
    </r>
    <r>
      <rPr>
        <sz val="8"/>
        <rFont val="Tahoma"/>
        <family val="2"/>
      </rPr>
      <t>(PROPAISE)</t>
    </r>
  </si>
  <si>
    <t>GNC HEROICA PROMIGAS</t>
  </si>
  <si>
    <t>GNC HEROICA PROM</t>
  </si>
  <si>
    <t>GNC LA MACARENA</t>
  </si>
  <si>
    <t>Proelectrica</t>
  </si>
  <si>
    <t>Tcandelaria</t>
  </si>
  <si>
    <t>Cabot</t>
  </si>
  <si>
    <t>CABOT</t>
  </si>
  <si>
    <t>SUPER EDS SJO</t>
  </si>
  <si>
    <t>ECOPETROL RETIRO</t>
  </si>
  <si>
    <t>ECOP RETIRO</t>
  </si>
  <si>
    <t>SUPER EDS SINCLEJO</t>
  </si>
  <si>
    <t>EDS LUIS C GALAN</t>
  </si>
  <si>
    <t>GNC LA GIRALDA</t>
  </si>
  <si>
    <t>EDS LA GIRALDA</t>
  </si>
  <si>
    <t>GNC SOC PORTUARIA</t>
  </si>
  <si>
    <t>G.N.C. SOC PORTUARIA</t>
  </si>
  <si>
    <t>AJOVER (DEXTON)</t>
  </si>
  <si>
    <r>
      <t>BIOF COOG 2 (</t>
    </r>
    <r>
      <rPr>
        <sz val="8"/>
        <rFont val="Tahoma"/>
        <family val="2"/>
      </rPr>
      <t>TURBOMACH)</t>
    </r>
  </si>
  <si>
    <t>CI OCEANSO GEN</t>
  </si>
  <si>
    <t>CI OCEANOS FIN</t>
  </si>
  <si>
    <t>CI OCEANOS GEN</t>
  </si>
  <si>
    <t>PERDIDA</t>
  </si>
  <si>
    <t>AG CARTAGENA</t>
  </si>
  <si>
    <t>TOLCEMENTO GEN</t>
  </si>
  <si>
    <t>ternera II Total</t>
  </si>
  <si>
    <t>OJO</t>
  </si>
  <si>
    <t>TERNERA II DISTRIB</t>
  </si>
  <si>
    <t>TERNERA II SAN B</t>
  </si>
  <si>
    <t>PEÑITAS</t>
  </si>
  <si>
    <t>EL GALLO</t>
  </si>
  <si>
    <t>AUTOC LA ESTACION</t>
  </si>
  <si>
    <t>ALMIDONES DE SUCRE</t>
  </si>
  <si>
    <t>ARGOS BQ</t>
  </si>
  <si>
    <t>GNC LAS PEÑITAS</t>
  </si>
  <si>
    <t>GNC EL GALLO</t>
  </si>
  <si>
    <t>ALMIDONES DE SUC</t>
  </si>
  <si>
    <t>ALMIDONES SUCRE</t>
  </si>
  <si>
    <t>LAS PEÑITAS</t>
  </si>
  <si>
    <t>ARGOS BQLLA</t>
  </si>
  <si>
    <t>ARGOS CTG</t>
  </si>
  <si>
    <t>GNC HEROICA PROMI</t>
  </si>
  <si>
    <t xml:space="preserve">TIERRA ALTA </t>
  </si>
  <si>
    <t>TIERRA ALTA</t>
  </si>
  <si>
    <t>IQR</t>
  </si>
  <si>
    <t>ARCLAD</t>
  </si>
  <si>
    <t>Mts 3</t>
  </si>
  <si>
    <t>$/m3</t>
  </si>
  <si>
    <t>MALTERIA</t>
  </si>
  <si>
    <t>GNC MAGANGUE</t>
  </si>
  <si>
    <t>GNC MAGAMGUE</t>
  </si>
  <si>
    <t>PALO ALTO</t>
  </si>
  <si>
    <t>VALENCIA</t>
  </si>
  <si>
    <t>SAN BERNARDO</t>
  </si>
  <si>
    <t>CONTROL DE FACTURAS ECOPETROL</t>
  </si>
  <si>
    <t>ECOP GJ</t>
  </si>
  <si>
    <t>Malteria</t>
  </si>
  <si>
    <t>ECOPETR GUAJ</t>
  </si>
  <si>
    <t>E2 ENERGIA EFIC</t>
  </si>
  <si>
    <t xml:space="preserve">                  TRANSPORTE</t>
  </si>
  <si>
    <t>ojo</t>
  </si>
  <si>
    <t>No. FACTURA Chevron</t>
  </si>
  <si>
    <t>No. FACTURA Ecopetrol</t>
  </si>
  <si>
    <t>COTORRA</t>
  </si>
  <si>
    <t>m3</t>
  </si>
  <si>
    <t>LA APARTADA</t>
  </si>
  <si>
    <t>Emgesa</t>
  </si>
  <si>
    <t>PLATO MAG.</t>
  </si>
  <si>
    <t>PLATO MAGD.</t>
  </si>
  <si>
    <t>PLATO</t>
  </si>
  <si>
    <t>ZAMBRANO</t>
  </si>
  <si>
    <t>MAHATES</t>
  </si>
  <si>
    <t>EDS SANTA RITA</t>
  </si>
  <si>
    <t>CARBOQUIMICA</t>
  </si>
  <si>
    <t>EDS STA RITA</t>
  </si>
  <si>
    <t>TURBACO TOT</t>
  </si>
  <si>
    <t>VILLANUEVA</t>
  </si>
  <si>
    <t>TUCHIN</t>
  </si>
  <si>
    <t>CHINU TOT</t>
  </si>
  <si>
    <t>MONTELIBANO TOT</t>
  </si>
  <si>
    <t>AJOVER</t>
  </si>
  <si>
    <t>OCEANOS</t>
  </si>
  <si>
    <t>OCEANOS AG</t>
  </si>
  <si>
    <t>CONTROL DE FACTURAS PETROMIL</t>
  </si>
  <si>
    <t>TPTE</t>
  </si>
  <si>
    <t>COMP</t>
  </si>
  <si>
    <t>Total Gm</t>
  </si>
  <si>
    <t>Total Tv</t>
  </si>
  <si>
    <t>Total Cm</t>
  </si>
  <si>
    <t>TARAZA</t>
  </si>
  <si>
    <t>rocha</t>
  </si>
  <si>
    <t>Chevron</t>
  </si>
  <si>
    <t>Solana</t>
  </si>
  <si>
    <t>AJOVER CCOGEN</t>
  </si>
  <si>
    <t>BALLESTAS</t>
  </si>
  <si>
    <t>AJOVER GENERACION</t>
  </si>
  <si>
    <t>AJOVER DEXTON</t>
  </si>
  <si>
    <t>E2 ENERGIA EFIC.</t>
  </si>
  <si>
    <t>AJOVER COOGEN</t>
  </si>
  <si>
    <t>AJOVER COGEN</t>
  </si>
  <si>
    <t xml:space="preserve">AJOVER DEXTON </t>
  </si>
  <si>
    <t>Mexichem</t>
  </si>
  <si>
    <t>tubocaribe</t>
  </si>
  <si>
    <t>Lamitech</t>
  </si>
  <si>
    <t>Ecope GJ</t>
  </si>
  <si>
    <t>GDO</t>
  </si>
  <si>
    <t>Ecop Guep</t>
  </si>
  <si>
    <t>MEXICHEM</t>
  </si>
  <si>
    <t>GASES DE OCCIDENTE</t>
  </si>
  <si>
    <t>PACIFIC</t>
  </si>
  <si>
    <t>Pacific</t>
  </si>
  <si>
    <t>taraza</t>
  </si>
  <si>
    <t>valencia</t>
  </si>
  <si>
    <t>COLCINKER HORNO</t>
  </si>
  <si>
    <t>COLCINKER GENERAC</t>
  </si>
  <si>
    <t>TOLFA HORNO</t>
  </si>
  <si>
    <t>TOLFA GENERAC</t>
  </si>
  <si>
    <t>PROPAISE III</t>
  </si>
  <si>
    <t>PROPAISE 3</t>
  </si>
  <si>
    <t>MOÑITO</t>
  </si>
  <si>
    <t>PTO LIBERTADOR</t>
  </si>
  <si>
    <t>ARBOLETES</t>
  </si>
  <si>
    <t>ARGOS CTG &lt;5000</t>
  </si>
  <si>
    <t>ARGOS CTG&gt;5000</t>
  </si>
  <si>
    <t>ARGOS SJO&lt;1000</t>
  </si>
  <si>
    <t>ARGOS SJO&gt;1000</t>
  </si>
  <si>
    <t>ARGOS GTG&lt;5000</t>
  </si>
  <si>
    <t>ARGOS GTG&gt;5000</t>
  </si>
  <si>
    <t>tierra alta</t>
  </si>
  <si>
    <t>la apartada</t>
  </si>
  <si>
    <t>san bernardo</t>
  </si>
  <si>
    <t>moñito</t>
  </si>
  <si>
    <t>pto lbertador</t>
  </si>
  <si>
    <t>zambarano</t>
  </si>
  <si>
    <t>mahates</t>
  </si>
  <si>
    <t>SEATECH - ATUNCOL</t>
  </si>
  <si>
    <t>SEATECH</t>
  </si>
  <si>
    <t>arboletes</t>
  </si>
  <si>
    <t>GNC RIO SINU</t>
  </si>
  <si>
    <t>LA UNION</t>
  </si>
  <si>
    <t>EDS CARMEN BOLV</t>
  </si>
  <si>
    <t>EDS CARMEN BOLIVAR</t>
  </si>
  <si>
    <t>GNC CARMEN BOLV</t>
  </si>
  <si>
    <t>GNC CARMEN DE BOL</t>
  </si>
  <si>
    <t>PUERTO ESCONDIDO</t>
  </si>
  <si>
    <t>LOS CORDOBAS</t>
  </si>
  <si>
    <t>NECOCLI</t>
  </si>
  <si>
    <t>PR01-</t>
  </si>
  <si>
    <t>Tolfa Gen</t>
  </si>
  <si>
    <t>Tolfa Horn esp</t>
  </si>
  <si>
    <t>Tolfa Gen Esp</t>
  </si>
  <si>
    <t>LOS COEDOBAS</t>
  </si>
  <si>
    <t>ASOMINEROS SUCRE</t>
  </si>
  <si>
    <t>ASOMINEROS</t>
  </si>
  <si>
    <t>Mexichem 2</t>
  </si>
  <si>
    <t>Argos hornos</t>
  </si>
  <si>
    <t>OCTUBRE 2012</t>
  </si>
  <si>
    <t>GNC ESSO AMPARAO</t>
  </si>
  <si>
    <t>Ballena Bqilla</t>
  </si>
  <si>
    <t>Bquilla Cartagena</t>
  </si>
  <si>
    <t>STRT Mamonla</t>
  </si>
  <si>
    <t>Cartagena Sjo</t>
  </si>
  <si>
    <t>AO&amp;M</t>
  </si>
  <si>
    <t>Comparativo mes anterior</t>
  </si>
  <si>
    <t>Valor facturado</t>
  </si>
  <si>
    <t>KPC facturados</t>
  </si>
  <si>
    <t>Tarifa</t>
  </si>
  <si>
    <t>% Partic</t>
  </si>
  <si>
    <t>Adicion 1</t>
  </si>
  <si>
    <t>Adicion 2</t>
  </si>
  <si>
    <t>Adicion 3</t>
  </si>
  <si>
    <t>TOTAL REG</t>
  </si>
  <si>
    <t>kpc no reg</t>
  </si>
  <si>
    <t>tarifa us/kpc</t>
  </si>
  <si>
    <t>% Partici</t>
  </si>
  <si>
    <t>TOTAL NO REG</t>
  </si>
  <si>
    <t>Sub total factura</t>
  </si>
  <si>
    <t xml:space="preserve"> secuencia sap 39151</t>
  </si>
  <si>
    <t>secuencia SAP 38924</t>
  </si>
  <si>
    <t>Secuencia SAP 38926</t>
  </si>
  <si>
    <t xml:space="preserve">Secuencia SAP 38929 </t>
  </si>
</sst>
</file>

<file path=xl/styles.xml><?xml version="1.0" encoding="utf-8"?>
<styleSheet xmlns="http://schemas.openxmlformats.org/spreadsheetml/2006/main">
  <numFmts count="21">
    <numFmt numFmtId="43" formatCode="_(* #,##0.00_);_(* \(#,##0.00\);_(* &quot;-&quot;??_);_(@_)"/>
    <numFmt numFmtId="164" formatCode="#,##0.0"/>
    <numFmt numFmtId="165" formatCode="0.00%;[Red]\-0.00%"/>
    <numFmt numFmtId="166" formatCode="0.00000"/>
    <numFmt numFmtId="167" formatCode="#,##0.0000"/>
    <numFmt numFmtId="168" formatCode="#,##0.000"/>
    <numFmt numFmtId="169" formatCode="#,##0.00000"/>
    <numFmt numFmtId="170" formatCode="#,##0.000000"/>
    <numFmt numFmtId="171" formatCode="0.000"/>
    <numFmt numFmtId="172" formatCode="0.0"/>
    <numFmt numFmtId="173" formatCode="0.0%"/>
    <numFmt numFmtId="174" formatCode="0.0000%"/>
    <numFmt numFmtId="175" formatCode="0.000%"/>
    <numFmt numFmtId="176" formatCode="_ * #,##0_ ;_ * \-#,##0_ ;_ * &quot;-&quot;??_ ;_ @_ "/>
    <numFmt numFmtId="177" formatCode="#,##0.0000000"/>
    <numFmt numFmtId="178" formatCode="_ * #,##0.0_ ;_ * \-#,##0.0_ ;_ * &quot;-&quot;??_ ;_ @_ "/>
    <numFmt numFmtId="179" formatCode="_(* #,##0.0000_);_(* \(#,##0.0000\);_(* &quot;-&quot;??_);_(@_)"/>
    <numFmt numFmtId="180" formatCode="_(* #,##0.0_);_(* \(#,##0.0\);_(* &quot;-&quot;????_);_(@_)"/>
    <numFmt numFmtId="181" formatCode="_-* #,##0\ &quot;$&quot;_-;\-* #,##0\ &quot;$&quot;_-;_-* &quot;-&quot;\ &quot;$&quot;_-;_-@_-"/>
    <numFmt numFmtId="182" formatCode="_-* #,##0\ _$_-;\-* #,##0\ _$_-;_-* &quot;-&quot;\ _$_-;_-@_-"/>
    <numFmt numFmtId="183" formatCode="_-* #,##0.00\ _$_-;\-* #,##0.00\ _$_-;_-* &quot;-&quot;??\ _$_-;_-@_-"/>
  </numFmts>
  <fonts count="141">
    <font>
      <sz val="10"/>
      <name val="Arial"/>
    </font>
    <font>
      <sz val="10"/>
      <name val="Arial"/>
      <family val="2"/>
    </font>
    <font>
      <b/>
      <sz val="16"/>
      <color indexed="18"/>
      <name val="Brush Script MT"/>
      <family val="4"/>
    </font>
    <font>
      <sz val="10"/>
      <name val="Times New Roman"/>
      <family val="1"/>
    </font>
    <font>
      <b/>
      <sz val="10"/>
      <name val="Times New Roman"/>
      <family val="1"/>
    </font>
    <font>
      <sz val="14"/>
      <color indexed="12"/>
      <name val="Brush Script MT"/>
      <family val="4"/>
    </font>
    <font>
      <sz val="8"/>
      <color indexed="81"/>
      <name val="Tahoma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14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b/>
      <sz val="11"/>
      <color indexed="14"/>
      <name val="Arial"/>
      <family val="2"/>
    </font>
    <font>
      <b/>
      <sz val="10"/>
      <name val="Times New Roman"/>
      <family val="1"/>
    </font>
    <font>
      <sz val="10"/>
      <color indexed="17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b/>
      <sz val="16"/>
      <color indexed="18"/>
      <name val="Tahoma"/>
      <family val="2"/>
    </font>
    <font>
      <sz val="10"/>
      <color indexed="10"/>
      <name val="Tahoma"/>
      <family val="2"/>
    </font>
    <font>
      <sz val="10"/>
      <color indexed="12"/>
      <name val="Tahoma"/>
      <family val="2"/>
    </font>
    <font>
      <b/>
      <sz val="8"/>
      <color indexed="81"/>
      <name val="Tahoma"/>
      <family val="2"/>
    </font>
    <font>
      <sz val="10"/>
      <color indexed="14"/>
      <name val="Tahoma"/>
      <family val="2"/>
    </font>
    <font>
      <sz val="8"/>
      <name val="Tahoma"/>
      <family val="2"/>
    </font>
    <font>
      <b/>
      <sz val="9"/>
      <name val="Arial"/>
      <family val="2"/>
    </font>
    <font>
      <b/>
      <sz val="10"/>
      <color indexed="16"/>
      <name val="Tahoma"/>
      <family val="2"/>
    </font>
    <font>
      <b/>
      <sz val="12"/>
      <color indexed="18"/>
      <name val="Tahoma"/>
      <family val="2"/>
    </font>
    <font>
      <sz val="10"/>
      <name val="Tahoma"/>
      <family val="2"/>
    </font>
    <font>
      <sz val="10"/>
      <color indexed="12"/>
      <name val="Times New Roman"/>
      <family val="1"/>
    </font>
    <font>
      <b/>
      <sz val="8"/>
      <name val="Arial"/>
      <family val="2"/>
    </font>
    <font>
      <b/>
      <sz val="9"/>
      <color indexed="12"/>
      <name val="Tahoma"/>
      <family val="2"/>
    </font>
    <font>
      <sz val="10"/>
      <color indexed="16"/>
      <name val="Tahoma"/>
      <family val="2"/>
    </font>
    <font>
      <b/>
      <sz val="10"/>
      <color indexed="18"/>
      <name val="Tahoma"/>
      <family val="2"/>
    </font>
    <font>
      <b/>
      <sz val="16"/>
      <name val="Tahoma"/>
      <family val="2"/>
    </font>
    <font>
      <sz val="10"/>
      <name val="Arial"/>
      <family val="2"/>
    </font>
    <font>
      <b/>
      <sz val="8"/>
      <color indexed="60"/>
      <name val="Arial"/>
      <family val="2"/>
    </font>
    <font>
      <b/>
      <sz val="7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9"/>
      <color indexed="12"/>
      <name val="Tahoma"/>
      <family val="2"/>
    </font>
    <font>
      <sz val="9"/>
      <color indexed="51"/>
      <name val="Tahoma"/>
      <family val="2"/>
    </font>
    <font>
      <sz val="9"/>
      <name val="Arial"/>
      <family val="2"/>
    </font>
    <font>
      <sz val="9"/>
      <color indexed="10"/>
      <name val="Tahoma"/>
      <family val="2"/>
    </font>
    <font>
      <sz val="9"/>
      <name val="Arial"/>
      <family val="2"/>
    </font>
    <font>
      <b/>
      <sz val="9"/>
      <color indexed="23"/>
      <name val="Tahoma"/>
      <family val="2"/>
    </font>
    <font>
      <b/>
      <sz val="10"/>
      <color indexed="9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color indexed="60"/>
      <name val="Arial"/>
      <family val="2"/>
    </font>
    <font>
      <sz val="7"/>
      <color indexed="9"/>
      <name val="Arial"/>
      <family val="2"/>
    </font>
    <font>
      <b/>
      <sz val="10"/>
      <color indexed="12"/>
      <name val="Tahoma"/>
      <family val="2"/>
    </font>
    <font>
      <b/>
      <sz val="9"/>
      <color indexed="10"/>
      <name val="Tahoma"/>
      <family val="2"/>
    </font>
    <font>
      <b/>
      <sz val="9"/>
      <color indexed="41"/>
      <name val="Tahoma"/>
      <family val="2"/>
    </font>
    <font>
      <sz val="10"/>
      <color indexed="12"/>
      <name val="Arial"/>
      <family val="2"/>
    </font>
    <font>
      <sz val="8"/>
      <color indexed="12"/>
      <name val="Tahoma"/>
      <family val="2"/>
    </font>
    <font>
      <sz val="10"/>
      <color indexed="19"/>
      <name val="Arial"/>
      <family val="2"/>
    </font>
    <font>
      <b/>
      <sz val="10"/>
      <color indexed="17"/>
      <name val="Arial"/>
      <family val="2"/>
    </font>
    <font>
      <sz val="10"/>
      <color indexed="53"/>
      <name val="Arial"/>
      <family val="2"/>
    </font>
    <font>
      <sz val="10"/>
      <color indexed="48"/>
      <name val="Arial"/>
      <family val="2"/>
    </font>
    <font>
      <sz val="9"/>
      <color indexed="16"/>
      <name val="Tahoma"/>
      <family val="2"/>
    </font>
    <font>
      <sz val="9"/>
      <color indexed="16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2"/>
      <color indexed="17"/>
      <name val="Arial"/>
      <family val="2"/>
    </font>
    <font>
      <sz val="10"/>
      <color indexed="39"/>
      <name val="Arial"/>
      <family val="2"/>
    </font>
    <font>
      <sz val="10"/>
      <color indexed="50"/>
      <name val="Arial"/>
      <family val="2"/>
    </font>
    <font>
      <b/>
      <sz val="10"/>
      <color indexed="9"/>
      <name val="Tahoma"/>
      <family val="2"/>
    </font>
    <font>
      <sz val="9"/>
      <color indexed="9"/>
      <name val="Tahoma"/>
      <family val="2"/>
    </font>
    <font>
      <sz val="9"/>
      <color indexed="48"/>
      <name val="Tahoma"/>
      <family val="2"/>
    </font>
    <font>
      <b/>
      <sz val="8"/>
      <color indexed="23"/>
      <name val="Tahoma"/>
      <family val="2"/>
    </font>
    <font>
      <sz val="8"/>
      <color indexed="22"/>
      <name val="Arial"/>
      <family val="2"/>
    </font>
    <font>
      <sz val="9"/>
      <color indexed="22"/>
      <name val="Tahoma"/>
      <family val="2"/>
    </font>
    <font>
      <sz val="10"/>
      <color indexed="55"/>
      <name val="Tahoma"/>
      <family val="2"/>
    </font>
    <font>
      <sz val="7"/>
      <name val="Arial"/>
      <family val="2"/>
    </font>
    <font>
      <sz val="9"/>
      <color indexed="53"/>
      <name val="Tahoma"/>
      <family val="2"/>
    </font>
    <font>
      <sz val="10"/>
      <color indexed="53"/>
      <name val="Tahoma"/>
      <family val="2"/>
    </font>
    <font>
      <sz val="9"/>
      <color indexed="17"/>
      <name val="Arial"/>
      <family val="2"/>
    </font>
    <font>
      <sz val="10"/>
      <color indexed="17"/>
      <name val="Arial"/>
      <family val="2"/>
    </font>
    <font>
      <sz val="9"/>
      <color indexed="17"/>
      <name val="Tahoma"/>
      <family val="2"/>
    </font>
    <font>
      <sz val="10"/>
      <color indexed="20"/>
      <name val="Tahoma"/>
      <family val="2"/>
    </font>
    <font>
      <sz val="10"/>
      <color indexed="60"/>
      <name val="Tahoma"/>
      <family val="2"/>
    </font>
    <font>
      <sz val="10"/>
      <color indexed="10"/>
      <name val="Tahoma"/>
      <family val="2"/>
    </font>
    <font>
      <sz val="9"/>
      <color indexed="60"/>
      <name val="Arial"/>
      <family val="2"/>
    </font>
    <font>
      <b/>
      <sz val="10"/>
      <color indexed="10"/>
      <name val="Arial"/>
      <family val="2"/>
    </font>
    <font>
      <b/>
      <sz val="8"/>
      <name val="Tahoma"/>
      <family val="2"/>
    </font>
    <font>
      <sz val="8"/>
      <name val="Arial"/>
      <family val="2"/>
    </font>
    <font>
      <sz val="9"/>
      <color indexed="55"/>
      <name val="Tahoma"/>
      <family val="2"/>
    </font>
    <font>
      <sz val="10"/>
      <color indexed="81"/>
      <name val="Tahoma"/>
      <family val="2"/>
    </font>
    <font>
      <sz val="10"/>
      <color indexed="10"/>
      <name val="Arial"/>
      <family val="2"/>
    </font>
    <font>
      <sz val="9"/>
      <color indexed="81"/>
      <name val="Tahoma"/>
      <family val="2"/>
    </font>
    <font>
      <sz val="8"/>
      <name val="Times New Roman"/>
      <family val="1"/>
    </font>
    <font>
      <sz val="9"/>
      <color indexed="20"/>
      <name val="Tahoma"/>
      <family val="2"/>
    </font>
    <font>
      <b/>
      <sz val="12"/>
      <color indexed="10"/>
      <name val="Arial"/>
      <family val="2"/>
    </font>
    <font>
      <sz val="8"/>
      <color indexed="50"/>
      <name val="Tahoma"/>
      <family val="2"/>
    </font>
    <font>
      <sz val="8"/>
      <color indexed="50"/>
      <name val="Arial"/>
      <family val="2"/>
    </font>
    <font>
      <b/>
      <sz val="8"/>
      <color indexed="50"/>
      <name val="Arial"/>
      <family val="2"/>
    </font>
    <font>
      <sz val="10"/>
      <color indexed="53"/>
      <name val="Tahoma"/>
      <family val="2"/>
    </font>
    <font>
      <b/>
      <sz val="10"/>
      <color indexed="53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color indexed="55"/>
      <name val="Arial"/>
      <family val="2"/>
    </font>
    <font>
      <sz val="9"/>
      <color theme="5"/>
      <name val="Arial"/>
      <family val="2"/>
    </font>
    <font>
      <sz val="10"/>
      <color rgb="FFC00000"/>
      <name val="Arial"/>
      <family val="2"/>
    </font>
    <font>
      <sz val="9"/>
      <color rgb="FFFF0000"/>
      <name val="Tahoma"/>
      <family val="2"/>
    </font>
    <font>
      <sz val="10"/>
      <color theme="5"/>
      <name val="Tahoma"/>
      <family val="2"/>
    </font>
    <font>
      <sz val="10"/>
      <color rgb="FFFF0000"/>
      <name val="Tahoma"/>
      <family val="2"/>
    </font>
    <font>
      <sz val="10"/>
      <color theme="9" tint="-0.249977111117893"/>
      <name val="Arial"/>
      <family val="2"/>
    </font>
    <font>
      <sz val="9"/>
      <color rgb="FF0070C0"/>
      <name val="Arial"/>
      <family val="2"/>
    </font>
    <font>
      <sz val="9"/>
      <name val="Calibri"/>
      <family val="2"/>
      <scheme val="minor"/>
    </font>
    <font>
      <sz val="9"/>
      <color rgb="FFFF0000"/>
      <name val="Arial"/>
      <family val="2"/>
    </font>
    <font>
      <sz val="10"/>
      <color rgb="FFFF0000"/>
      <name val="Arial"/>
      <family val="2"/>
    </font>
    <font>
      <sz val="10"/>
      <color rgb="FFFF0000"/>
      <name val="Times New Roman"/>
      <family val="1"/>
    </font>
    <font>
      <sz val="10"/>
      <color theme="0" tint="-0.34998626667073579"/>
      <name val="Tahoma"/>
      <family val="2"/>
    </font>
    <font>
      <sz val="8"/>
      <color rgb="FFFF0000"/>
      <name val="Arial"/>
      <family val="2"/>
    </font>
    <font>
      <sz val="10"/>
      <color rgb="FF0070C0"/>
      <name val="Tahoma"/>
      <family val="2"/>
    </font>
    <font>
      <sz val="9"/>
      <color theme="6" tint="-0.249977111117893"/>
      <name val="Tahoma"/>
      <family val="2"/>
    </font>
    <font>
      <sz val="10"/>
      <color rgb="FF0070C0"/>
      <name val="Arial"/>
      <family val="2"/>
    </font>
    <font>
      <sz val="9"/>
      <color rgb="FF7030A0"/>
      <name val="Arial"/>
      <family val="2"/>
    </font>
    <font>
      <sz val="9"/>
      <color rgb="FF7030A0"/>
      <name val="Tahoma"/>
      <family val="2"/>
    </font>
    <font>
      <sz val="9"/>
      <color theme="0" tint="-0.14999847407452621"/>
      <name val="Tahoma"/>
      <family val="2"/>
    </font>
    <font>
      <sz val="10"/>
      <color rgb="FFC00000"/>
      <name val="Tahoma"/>
      <family val="2"/>
    </font>
    <font>
      <sz val="10"/>
      <color theme="9" tint="-0.249977111117893"/>
      <name val="Tahoma"/>
      <family val="2"/>
    </font>
    <font>
      <sz val="10"/>
      <color rgb="FF7030A0"/>
      <name val="Arial"/>
      <family val="2"/>
    </font>
    <font>
      <sz val="9"/>
      <color theme="9" tint="-0.249977111117893"/>
      <name val="Tahoma"/>
      <family val="2"/>
    </font>
    <font>
      <sz val="10"/>
      <color theme="5" tint="-0.249977111117893"/>
      <name val="Tahoma"/>
      <family val="2"/>
    </font>
    <font>
      <sz val="10"/>
      <color theme="9" tint="-0.499984740745262"/>
      <name val="Tahoma"/>
      <family val="2"/>
    </font>
    <font>
      <sz val="10"/>
      <color theme="7" tint="-0.249977111117893"/>
      <name val="Arial"/>
      <family val="2"/>
    </font>
    <font>
      <sz val="12"/>
      <color rgb="FFFF0000"/>
      <name val="Tahoma"/>
      <family val="2"/>
    </font>
    <font>
      <sz val="10"/>
      <color theme="5" tint="-0.499984740745262"/>
      <name val="Tahoma"/>
      <family val="2"/>
    </font>
    <font>
      <sz val="10"/>
      <color theme="3" tint="-0.499984740745262"/>
      <name val="Tahoma"/>
      <family val="2"/>
    </font>
    <font>
      <u/>
      <sz val="10"/>
      <color rgb="FF0070C0"/>
      <name val="Arial"/>
      <family val="2"/>
    </font>
    <font>
      <sz val="10"/>
      <color theme="9" tint="-0.499984740745262"/>
      <name val="Arial"/>
      <family val="2"/>
    </font>
    <font>
      <sz val="9"/>
      <color theme="9" tint="-0.499984740745262"/>
      <name val="Tahoma"/>
      <family val="2"/>
    </font>
    <font>
      <sz val="10"/>
      <color theme="7" tint="-0.249977111117893"/>
      <name val="Tahoma"/>
      <family val="2"/>
    </font>
    <font>
      <sz val="10"/>
      <color rgb="FF0000FF"/>
      <name val="Tahoma"/>
      <family val="2"/>
    </font>
    <font>
      <sz val="9"/>
      <color rgb="FF0000FF"/>
      <name val="Tahoma"/>
      <family val="2"/>
    </font>
    <font>
      <sz val="10"/>
      <color rgb="FF0000FF"/>
      <name val="Arial"/>
      <family val="2"/>
    </font>
    <font>
      <sz val="9"/>
      <color rgb="FF0000FF"/>
      <name val="Arial"/>
      <family val="2"/>
    </font>
    <font>
      <sz val="8"/>
      <color rgb="FFFF0000"/>
      <name val="Tahoma"/>
      <family val="2"/>
    </font>
    <font>
      <b/>
      <sz val="8"/>
      <color indexed="12"/>
      <name val="Tahoma"/>
      <family val="2"/>
    </font>
    <font>
      <b/>
      <sz val="10"/>
      <color rgb="FF0000FF"/>
      <name val="Arial"/>
      <family val="2"/>
    </font>
    <font>
      <b/>
      <sz val="10"/>
      <color rgb="FFFF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1"/>
        <bgColor indexed="64"/>
      </patternFill>
    </fill>
    <fill>
      <patternFill patternType="gray0625"/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</fills>
  <borders count="2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slantDashDot">
        <color indexed="64"/>
      </left>
      <right/>
      <top style="slantDashDot">
        <color indexed="64"/>
      </top>
      <bottom style="thin">
        <color indexed="64"/>
      </bottom>
      <diagonal/>
    </border>
    <border>
      <left/>
      <right/>
      <top style="slantDashDot">
        <color indexed="64"/>
      </top>
      <bottom style="thin">
        <color indexed="64"/>
      </bottom>
      <diagonal/>
    </border>
    <border>
      <left style="slantDashDot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slantDashDot">
        <color indexed="64"/>
      </left>
      <right/>
      <top style="slantDashDot">
        <color indexed="64"/>
      </top>
      <bottom/>
      <diagonal/>
    </border>
    <border>
      <left style="medium">
        <color indexed="64"/>
      </left>
      <right/>
      <top style="slantDashDot">
        <color indexed="64"/>
      </top>
      <bottom/>
      <diagonal/>
    </border>
    <border>
      <left/>
      <right/>
      <top style="slantDashDot">
        <color indexed="64"/>
      </top>
      <bottom/>
      <diagonal/>
    </border>
    <border>
      <left/>
      <right style="medium">
        <color indexed="64"/>
      </right>
      <top style="slantDashDot">
        <color indexed="64"/>
      </top>
      <bottom/>
      <diagonal/>
    </border>
    <border>
      <left style="slantDashDot">
        <color indexed="64"/>
      </left>
      <right style="slantDashDot">
        <color indexed="64"/>
      </right>
      <top style="thin">
        <color indexed="64"/>
      </top>
      <bottom style="slantDashDot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slantDashDot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slantDashDot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slantDashDot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slantDashDot">
        <color indexed="64"/>
      </left>
      <right/>
      <top style="thin">
        <color indexed="64"/>
      </top>
      <bottom/>
      <diagonal/>
    </border>
    <border>
      <left style="slantDashDot">
        <color indexed="64"/>
      </left>
      <right style="slantDashDot">
        <color indexed="64"/>
      </right>
      <top style="thin">
        <color indexed="64"/>
      </top>
      <bottom/>
      <diagonal/>
    </border>
    <border>
      <left style="slantDashDot">
        <color indexed="64"/>
      </left>
      <right/>
      <top style="thin">
        <color indexed="64"/>
      </top>
      <bottom style="slantDashDot">
        <color indexed="64"/>
      </bottom>
      <diagonal/>
    </border>
    <border>
      <left/>
      <right/>
      <top style="thin">
        <color indexed="64"/>
      </top>
      <bottom style="slantDashDot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slantDashDot">
        <color indexed="64"/>
      </top>
      <bottom style="hair">
        <color indexed="64"/>
      </bottom>
      <diagonal/>
    </border>
    <border>
      <left/>
      <right/>
      <top style="slantDashDot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slantDashDot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slantDashDot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slantDashDot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 style="slantDashDot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23"/>
      </left>
      <right/>
      <top style="medium">
        <color indexed="23"/>
      </top>
      <bottom/>
      <diagonal/>
    </border>
    <border>
      <left style="thin">
        <color indexed="64"/>
      </left>
      <right/>
      <top style="medium">
        <color indexed="23"/>
      </top>
      <bottom/>
      <diagonal/>
    </border>
    <border>
      <left style="thin">
        <color indexed="64"/>
      </left>
      <right style="thin">
        <color indexed="64"/>
      </right>
      <top style="medium">
        <color indexed="23"/>
      </top>
      <bottom style="thin">
        <color indexed="64"/>
      </bottom>
      <diagonal/>
    </border>
    <border>
      <left style="thin">
        <color indexed="64"/>
      </left>
      <right/>
      <top style="medium">
        <color indexed="23"/>
      </top>
      <bottom style="thin">
        <color indexed="64"/>
      </bottom>
      <diagonal/>
    </border>
    <border>
      <left/>
      <right style="medium">
        <color indexed="23"/>
      </right>
      <top style="medium">
        <color indexed="23"/>
      </top>
      <bottom/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23"/>
      </bottom>
      <diagonal/>
    </border>
    <border>
      <left/>
      <right style="medium">
        <color indexed="23"/>
      </right>
      <top style="thin">
        <color indexed="64"/>
      </top>
      <bottom style="medium">
        <color indexed="23"/>
      </bottom>
      <diagonal/>
    </border>
    <border>
      <left style="medium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medium">
        <color indexed="23"/>
      </right>
      <top style="hair">
        <color indexed="23"/>
      </top>
      <bottom style="hair">
        <color indexed="23"/>
      </bottom>
      <diagonal/>
    </border>
    <border>
      <left style="medium">
        <color indexed="23"/>
      </left>
      <right/>
      <top/>
      <bottom/>
      <diagonal/>
    </border>
    <border>
      <left style="hair">
        <color indexed="23"/>
      </left>
      <right style="hair">
        <color indexed="23"/>
      </right>
      <top style="medium">
        <color indexed="23"/>
      </top>
      <bottom style="hair">
        <color indexed="23"/>
      </bottom>
      <diagonal/>
    </border>
    <border>
      <left style="medium">
        <color indexed="23"/>
      </left>
      <right style="hair">
        <color indexed="23"/>
      </right>
      <top style="hair">
        <color indexed="23"/>
      </top>
      <bottom/>
      <diagonal/>
    </border>
    <border>
      <left style="hair">
        <color indexed="23"/>
      </left>
      <right style="hair">
        <color indexed="23"/>
      </right>
      <top style="hair">
        <color indexed="23"/>
      </top>
      <bottom/>
      <diagonal/>
    </border>
    <border>
      <left style="medium">
        <color indexed="23"/>
      </left>
      <right style="hair">
        <color indexed="23"/>
      </right>
      <top style="medium">
        <color indexed="23"/>
      </top>
      <bottom style="hair">
        <color indexed="23"/>
      </bottom>
      <diagonal/>
    </border>
    <border>
      <left style="hair">
        <color indexed="23"/>
      </left>
      <right style="medium">
        <color indexed="23"/>
      </right>
      <top style="medium">
        <color indexed="23"/>
      </top>
      <bottom style="hair">
        <color indexed="23"/>
      </bottom>
      <diagonal/>
    </border>
    <border>
      <left style="thin">
        <color indexed="23"/>
      </left>
      <right style="thin">
        <color indexed="23"/>
      </right>
      <top style="medium">
        <color indexed="23"/>
      </top>
      <bottom style="hair">
        <color indexed="23"/>
      </bottom>
      <diagonal/>
    </border>
    <border>
      <left style="thin">
        <color indexed="23"/>
      </left>
      <right style="thin">
        <color indexed="23"/>
      </right>
      <top/>
      <bottom style="medium">
        <color indexed="23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medium">
        <color indexed="23"/>
      </left>
      <right/>
      <top style="hair">
        <color indexed="23"/>
      </top>
      <bottom style="hair">
        <color indexed="23"/>
      </bottom>
      <diagonal/>
    </border>
    <border>
      <left style="thin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thin">
        <color indexed="23"/>
      </left>
      <right style="thin">
        <color indexed="23"/>
      </right>
      <top/>
      <bottom style="hair">
        <color indexed="23"/>
      </bottom>
      <diagonal/>
    </border>
    <border>
      <left style="thin">
        <color indexed="23"/>
      </left>
      <right style="thin">
        <color indexed="23"/>
      </right>
      <top style="hair">
        <color indexed="23"/>
      </top>
      <bottom style="hair">
        <color indexed="22"/>
      </bottom>
      <diagonal/>
    </border>
    <border>
      <left style="medium">
        <color indexed="23"/>
      </left>
      <right/>
      <top style="hair">
        <color indexed="23"/>
      </top>
      <bottom/>
      <diagonal/>
    </border>
    <border>
      <left style="thin">
        <color indexed="23"/>
      </left>
      <right style="thin">
        <color indexed="23"/>
      </right>
      <top style="hair">
        <color indexed="23"/>
      </top>
      <bottom/>
      <diagonal/>
    </border>
    <border>
      <left style="medium">
        <color indexed="23"/>
      </left>
      <right/>
      <top style="medium">
        <color indexed="23"/>
      </top>
      <bottom style="medium">
        <color indexed="23"/>
      </bottom>
      <diagonal/>
    </border>
    <border>
      <left style="thin">
        <color indexed="23"/>
      </left>
      <right style="thin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medium">
        <color indexed="23"/>
      </top>
      <bottom/>
      <diagonal/>
    </border>
    <border>
      <left style="slantDashDot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23"/>
      </left>
      <right/>
      <top/>
      <bottom style="hair">
        <color indexed="23"/>
      </bottom>
      <diagonal/>
    </border>
    <border>
      <left/>
      <right/>
      <top/>
      <bottom style="hair">
        <color indexed="64"/>
      </bottom>
      <diagonal/>
    </border>
    <border>
      <left style="medium">
        <color indexed="23"/>
      </left>
      <right style="hair">
        <color indexed="23"/>
      </right>
      <top/>
      <bottom style="hair">
        <color indexed="23"/>
      </bottom>
      <diagonal/>
    </border>
    <border>
      <left/>
      <right/>
      <top/>
      <bottom style="thin">
        <color indexed="10"/>
      </bottom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/>
      <bottom/>
      <diagonal/>
    </border>
    <border>
      <left/>
      <right style="thin">
        <color indexed="12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medium">
        <color indexed="23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23"/>
      </left>
      <right style="hair">
        <color indexed="23"/>
      </right>
      <top/>
      <bottom/>
      <diagonal/>
    </border>
    <border>
      <left style="thin">
        <color indexed="12"/>
      </left>
      <right style="thin">
        <color indexed="12"/>
      </right>
      <top style="thin">
        <color indexed="39"/>
      </top>
      <bottom/>
      <diagonal/>
    </border>
    <border>
      <left style="thin">
        <color indexed="12"/>
      </left>
      <right/>
      <top style="thin">
        <color indexed="39"/>
      </top>
      <bottom style="thin">
        <color indexed="12"/>
      </bottom>
      <diagonal/>
    </border>
    <border>
      <left/>
      <right style="thin">
        <color indexed="39"/>
      </right>
      <top style="thin">
        <color indexed="39"/>
      </top>
      <bottom style="thin">
        <color indexed="12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23"/>
      </left>
      <right style="medium">
        <color indexed="23"/>
      </right>
      <top style="hair">
        <color indexed="23"/>
      </top>
      <bottom/>
      <diagonal/>
    </border>
    <border>
      <left style="medium">
        <color indexed="23"/>
      </left>
      <right style="hair">
        <color indexed="23"/>
      </right>
      <top style="thick">
        <color indexed="10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thick">
        <color indexed="10"/>
      </top>
      <bottom style="hair">
        <color indexed="23"/>
      </bottom>
      <diagonal/>
    </border>
    <border>
      <left style="hair">
        <color indexed="23"/>
      </left>
      <right style="medium">
        <color indexed="23"/>
      </right>
      <top style="thick">
        <color indexed="10"/>
      </top>
      <bottom style="hair">
        <color indexed="23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medium">
        <color indexed="23"/>
      </top>
      <bottom/>
      <diagonal/>
    </border>
    <border>
      <left style="hair">
        <color indexed="23"/>
      </left>
      <right style="thin">
        <color indexed="23"/>
      </right>
      <top style="medium">
        <color indexed="23"/>
      </top>
      <bottom/>
      <diagonal/>
    </border>
    <border>
      <left style="hair">
        <color indexed="23"/>
      </left>
      <right style="thin">
        <color indexed="23"/>
      </right>
      <top/>
      <bottom style="medium">
        <color indexed="23"/>
      </bottom>
      <diagonal/>
    </border>
    <border>
      <left style="hair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thin">
        <color indexed="23"/>
      </right>
      <top/>
      <bottom style="hair">
        <color indexed="23"/>
      </bottom>
      <diagonal/>
    </border>
    <border>
      <left style="hair">
        <color indexed="23"/>
      </left>
      <right style="thin">
        <color indexed="23"/>
      </right>
      <top style="medium">
        <color indexed="23"/>
      </top>
      <bottom style="medium">
        <color indexed="23"/>
      </bottom>
      <diagonal/>
    </border>
    <border>
      <left style="thin">
        <color indexed="64"/>
      </left>
      <right style="thin">
        <color indexed="12"/>
      </right>
      <top/>
      <bottom style="thin">
        <color indexed="64"/>
      </bottom>
      <diagonal/>
    </border>
    <border>
      <left/>
      <right style="thin">
        <color indexed="12"/>
      </right>
      <top/>
      <bottom style="thin">
        <color indexed="39"/>
      </bottom>
      <diagonal/>
    </border>
    <border>
      <left/>
      <right/>
      <top/>
      <bottom style="thin">
        <color indexed="39"/>
      </bottom>
      <diagonal/>
    </border>
    <border>
      <left/>
      <right style="thin">
        <color indexed="12"/>
      </right>
      <top style="thin">
        <color indexed="39"/>
      </top>
      <bottom/>
      <diagonal/>
    </border>
    <border>
      <left style="hair">
        <color indexed="23"/>
      </left>
      <right style="medium">
        <color indexed="23"/>
      </right>
      <top style="medium">
        <color indexed="23"/>
      </top>
      <bottom/>
      <diagonal/>
    </border>
    <border>
      <left style="hair">
        <color indexed="23"/>
      </left>
      <right style="hair">
        <color indexed="23"/>
      </right>
      <top/>
      <bottom style="hair">
        <color indexed="23"/>
      </bottom>
      <diagonal/>
    </border>
    <border>
      <left/>
      <right style="thin">
        <color indexed="64"/>
      </right>
      <top style="medium">
        <color indexed="23"/>
      </top>
      <bottom style="medium">
        <color indexed="23"/>
      </bottom>
      <diagonal/>
    </border>
    <border>
      <left style="thin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thin">
        <color indexed="23"/>
      </left>
      <right style="medium">
        <color indexed="23"/>
      </right>
      <top style="medium">
        <color indexed="23"/>
      </top>
      <bottom style="hair">
        <color indexed="23"/>
      </bottom>
      <diagonal/>
    </border>
    <border>
      <left style="thin">
        <color indexed="23"/>
      </left>
      <right style="medium">
        <color indexed="23"/>
      </right>
      <top/>
      <bottom style="medium">
        <color indexed="23"/>
      </bottom>
      <diagonal/>
    </border>
    <border>
      <left style="thin">
        <color indexed="23"/>
      </left>
      <right style="medium">
        <color indexed="23"/>
      </right>
      <top style="hair">
        <color indexed="23"/>
      </top>
      <bottom style="hair">
        <color indexed="23"/>
      </bottom>
      <diagonal/>
    </border>
    <border>
      <left style="medium">
        <color indexed="23"/>
      </left>
      <right style="thin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 style="thin">
        <color indexed="23"/>
      </right>
      <top style="medium">
        <color indexed="23"/>
      </top>
      <bottom style="hair">
        <color indexed="23"/>
      </bottom>
      <diagonal/>
    </border>
    <border>
      <left style="medium">
        <color indexed="23"/>
      </left>
      <right style="thin">
        <color indexed="23"/>
      </right>
      <top/>
      <bottom style="medium">
        <color indexed="23"/>
      </bottom>
      <diagonal/>
    </border>
    <border>
      <left style="medium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thin">
        <color indexed="23"/>
      </left>
      <right style="medium">
        <color indexed="23"/>
      </right>
      <top/>
      <bottom/>
      <diagonal/>
    </border>
    <border>
      <left style="hair">
        <color indexed="23"/>
      </left>
      <right style="thin">
        <color indexed="23"/>
      </right>
      <top/>
      <bottom/>
      <diagonal/>
    </border>
    <border>
      <left style="hair">
        <color indexed="23"/>
      </left>
      <right style="thin">
        <color indexed="23"/>
      </right>
      <top style="hair">
        <color indexed="23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 style="slantDashDot">
        <color indexed="64"/>
      </left>
      <right/>
      <top style="medium">
        <color indexed="64"/>
      </top>
      <bottom style="thin">
        <color indexed="64"/>
      </bottom>
      <diagonal/>
    </border>
    <border>
      <left style="slantDashDot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slantDashDot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slantDashDot">
        <color indexed="64"/>
      </left>
      <right style="medium">
        <color indexed="64"/>
      </right>
      <top style="thin">
        <color indexed="64"/>
      </top>
      <bottom/>
      <diagonal/>
    </border>
    <border>
      <left style="slantDashDot">
        <color indexed="64"/>
      </left>
      <right style="medium">
        <color indexed="64"/>
      </right>
      <top/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 style="thin">
        <color indexed="64"/>
      </top>
      <bottom style="medium">
        <color indexed="64"/>
      </bottom>
      <diagonal/>
    </border>
    <border>
      <left style="slantDashDot">
        <color indexed="64"/>
      </left>
      <right style="slantDashDot">
        <color indexed="64"/>
      </right>
      <top/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/>
      <bottom style="medium">
        <color indexed="64"/>
      </bottom>
      <diagonal/>
    </border>
    <border>
      <left style="slantDashDot">
        <color indexed="64"/>
      </left>
      <right style="slantDashDot">
        <color indexed="64"/>
      </right>
      <top style="medium">
        <color indexed="64"/>
      </top>
      <bottom/>
      <diagonal/>
    </border>
    <border>
      <left style="hair">
        <color indexed="64"/>
      </left>
      <right style="slantDashDot">
        <color indexed="64"/>
      </right>
      <top style="medium">
        <color indexed="64"/>
      </top>
      <bottom/>
      <diagonal/>
    </border>
    <border>
      <left style="hair">
        <color indexed="64"/>
      </left>
      <right style="slantDashDot">
        <color indexed="64"/>
      </right>
      <top style="thin">
        <color indexed="64"/>
      </top>
      <bottom/>
      <diagonal/>
    </border>
    <border>
      <left style="slantDashDot">
        <color indexed="64"/>
      </left>
      <right style="slantDashDot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slantDashDot">
        <color indexed="64"/>
      </right>
      <top/>
      <bottom/>
      <diagonal/>
    </border>
    <border>
      <left style="slantDashDot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slantDashDot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slantDashDot">
        <color indexed="64"/>
      </right>
      <top/>
      <bottom/>
      <diagonal/>
    </border>
    <border>
      <left style="hair">
        <color indexed="23"/>
      </left>
      <right style="medium">
        <color indexed="23"/>
      </right>
      <top/>
      <bottom style="hair">
        <color indexed="23"/>
      </bottom>
      <diagonal/>
    </border>
    <border>
      <left style="thin">
        <color indexed="23"/>
      </left>
      <right/>
      <top style="hair">
        <color indexed="23"/>
      </top>
      <bottom style="hair">
        <color indexed="23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26" fillId="0" borderId="0"/>
    <xf numFmtId="9" fontId="1" fillId="0" borderId="0" applyFont="0" applyFill="0" applyBorder="0" applyAlignment="0" applyProtection="0"/>
    <xf numFmtId="0" fontId="1" fillId="0" borderId="0"/>
    <xf numFmtId="183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1" fontId="1" fillId="0" borderId="0" applyFont="0" applyFill="0" applyBorder="0" applyAlignment="0" applyProtection="0"/>
  </cellStyleXfs>
  <cellXfs count="1299">
    <xf numFmtId="0" fontId="0" fillId="0" borderId="0" xfId="0"/>
    <xf numFmtId="0" fontId="2" fillId="0" borderId="0" xfId="0" applyFont="1" applyAlignment="1" applyProtection="1"/>
    <xf numFmtId="0" fontId="0" fillId="0" borderId="0" xfId="0" applyAlignment="1" applyProtection="1">
      <protection locked="0"/>
    </xf>
    <xf numFmtId="0" fontId="0" fillId="0" borderId="0" xfId="0" applyAlignment="1" applyProtection="1"/>
    <xf numFmtId="0" fontId="0" fillId="0" borderId="0" xfId="0" applyAlignment="1" applyProtection="1">
      <alignment horizontal="center"/>
    </xf>
    <xf numFmtId="3" fontId="0" fillId="0" borderId="0" xfId="0" applyNumberFormat="1" applyAlignment="1" applyProtection="1"/>
    <xf numFmtId="0" fontId="0" fillId="0" borderId="0" xfId="0" applyProtection="1">
      <protection locked="0"/>
    </xf>
    <xf numFmtId="4" fontId="0" fillId="0" borderId="0" xfId="0" applyNumberFormat="1" applyAlignment="1" applyProtection="1"/>
    <xf numFmtId="0" fontId="3" fillId="0" borderId="0" xfId="0" applyFont="1" applyProtection="1">
      <protection locked="0"/>
    </xf>
    <xf numFmtId="0" fontId="4" fillId="0" borderId="2" xfId="0" applyFont="1" applyBorder="1" applyAlignment="1" applyProtection="1">
      <alignment horizontal="center"/>
    </xf>
    <xf numFmtId="0" fontId="4" fillId="0" borderId="3" xfId="0" applyFont="1" applyBorder="1" applyAlignment="1" applyProtection="1">
      <alignment horizontal="center"/>
    </xf>
    <xf numFmtId="3" fontId="3" fillId="0" borderId="0" xfId="0" applyNumberFormat="1" applyFont="1" applyFill="1" applyBorder="1" applyProtection="1"/>
    <xf numFmtId="4" fontId="3" fillId="0" borderId="0" xfId="0" applyNumberFormat="1" applyFont="1" applyFill="1" applyBorder="1" applyProtection="1"/>
    <xf numFmtId="3" fontId="0" fillId="0" borderId="0" xfId="0" applyNumberFormat="1" applyProtection="1"/>
    <xf numFmtId="164" fontId="0" fillId="0" borderId="0" xfId="0" applyNumberFormat="1"/>
    <xf numFmtId="0" fontId="0" fillId="0" borderId="0" xfId="0" applyProtection="1"/>
    <xf numFmtId="4" fontId="0" fillId="0" borderId="0" xfId="0" applyNumberFormat="1" applyProtection="1"/>
    <xf numFmtId="3" fontId="4" fillId="0" borderId="0" xfId="0" applyNumberFormat="1" applyFont="1" applyProtection="1"/>
    <xf numFmtId="0" fontId="4" fillId="0" borderId="0" xfId="0" applyFont="1" applyProtection="1"/>
    <xf numFmtId="3" fontId="0" fillId="0" borderId="0" xfId="0" applyNumberFormat="1" applyProtection="1">
      <protection locked="0"/>
    </xf>
    <xf numFmtId="0" fontId="4" fillId="0" borderId="6" xfId="0" applyFont="1" applyBorder="1" applyAlignment="1" applyProtection="1">
      <alignment horizontal="center"/>
    </xf>
    <xf numFmtId="3" fontId="7" fillId="0" borderId="8" xfId="0" applyNumberFormat="1" applyFont="1" applyFill="1" applyBorder="1" applyProtection="1"/>
    <xf numFmtId="0" fontId="7" fillId="0" borderId="9" xfId="0" applyFont="1" applyBorder="1" applyProtection="1"/>
    <xf numFmtId="0" fontId="7" fillId="0" borderId="10" xfId="0" applyFont="1" applyBorder="1" applyProtection="1"/>
    <xf numFmtId="0" fontId="7" fillId="0" borderId="11" xfId="0" applyFont="1" applyBorder="1" applyAlignment="1" applyProtection="1">
      <alignment horizontal="center"/>
    </xf>
    <xf numFmtId="0" fontId="7" fillId="0" borderId="0" xfId="0" applyFont="1" applyAlignment="1" applyProtection="1"/>
    <xf numFmtId="0" fontId="9" fillId="0" borderId="0" xfId="0" applyFont="1" applyAlignment="1" applyProtection="1"/>
    <xf numFmtId="17" fontId="10" fillId="0" borderId="0" xfId="0" quotePrefix="1" applyNumberFormat="1" applyFont="1" applyAlignment="1" applyProtection="1">
      <alignment horizontal="center"/>
    </xf>
    <xf numFmtId="0" fontId="7" fillId="0" borderId="0" xfId="0" applyFont="1" applyAlignment="1" applyProtection="1">
      <alignment horizontal="center"/>
    </xf>
    <xf numFmtId="3" fontId="7" fillId="0" borderId="0" xfId="0" applyNumberFormat="1" applyFont="1" applyAlignment="1" applyProtection="1"/>
    <xf numFmtId="0" fontId="10" fillId="0" borderId="12" xfId="0" applyFont="1" applyBorder="1" applyAlignment="1" applyProtection="1">
      <alignment horizontal="center"/>
    </xf>
    <xf numFmtId="0" fontId="10" fillId="0" borderId="13" xfId="0" applyFont="1" applyBorder="1" applyProtection="1"/>
    <xf numFmtId="0" fontId="10" fillId="0" borderId="14" xfId="0" applyFont="1" applyBorder="1" applyAlignment="1" applyProtection="1">
      <alignment horizontal="center"/>
    </xf>
    <xf numFmtId="3" fontId="10" fillId="0" borderId="15" xfId="0" applyNumberFormat="1" applyFont="1" applyBorder="1" applyAlignment="1" applyProtection="1">
      <alignment horizontal="center"/>
    </xf>
    <xf numFmtId="0" fontId="10" fillId="0" borderId="2" xfId="0" applyFont="1" applyBorder="1" applyAlignment="1" applyProtection="1">
      <alignment horizontal="center"/>
    </xf>
    <xf numFmtId="0" fontId="7" fillId="0" borderId="0" xfId="0" applyFont="1"/>
    <xf numFmtId="0" fontId="10" fillId="0" borderId="0" xfId="0" applyFont="1" applyProtection="1"/>
    <xf numFmtId="0" fontId="4" fillId="0" borderId="19" xfId="0" applyFont="1" applyBorder="1" applyProtection="1"/>
    <xf numFmtId="0" fontId="4" fillId="0" borderId="20" xfId="0" applyFont="1" applyBorder="1" applyAlignment="1" applyProtection="1">
      <alignment horizontal="centerContinuous"/>
    </xf>
    <xf numFmtId="0" fontId="4" fillId="0" borderId="21" xfId="0" applyFont="1" applyBorder="1" applyAlignment="1" applyProtection="1">
      <alignment horizontal="centerContinuous"/>
    </xf>
    <xf numFmtId="0" fontId="4" fillId="0" borderId="22" xfId="0" applyFont="1" applyBorder="1" applyAlignment="1" applyProtection="1">
      <alignment horizontal="centerContinuous"/>
    </xf>
    <xf numFmtId="0" fontId="3" fillId="0" borderId="9" xfId="0" applyFont="1" applyBorder="1" applyProtection="1"/>
    <xf numFmtId="2" fontId="7" fillId="0" borderId="23" xfId="0" applyNumberFormat="1" applyFont="1" applyBorder="1" applyAlignment="1" applyProtection="1">
      <alignment horizontal="center"/>
    </xf>
    <xf numFmtId="3" fontId="10" fillId="0" borderId="0" xfId="0" applyNumberFormat="1" applyFont="1" applyFill="1" applyBorder="1" applyAlignment="1" applyProtection="1">
      <alignment horizontal="center"/>
    </xf>
    <xf numFmtId="3" fontId="7" fillId="0" borderId="0" xfId="0" applyNumberFormat="1" applyFont="1" applyFill="1" applyBorder="1" applyProtection="1"/>
    <xf numFmtId="4" fontId="7" fillId="0" borderId="0" xfId="0" applyNumberFormat="1" applyFont="1" applyFill="1" applyBorder="1" applyProtection="1"/>
    <xf numFmtId="4" fontId="10" fillId="0" borderId="0" xfId="0" applyNumberFormat="1" applyFont="1" applyFill="1" applyBorder="1" applyAlignment="1" applyProtection="1">
      <alignment horizontal="center"/>
    </xf>
    <xf numFmtId="4" fontId="3" fillId="0" borderId="0" xfId="0" applyNumberFormat="1" applyFont="1" applyFill="1" applyBorder="1" applyAlignment="1" applyProtection="1">
      <alignment horizontal="center"/>
    </xf>
    <xf numFmtId="4" fontId="7" fillId="0" borderId="0" xfId="0" applyNumberFormat="1" applyFont="1" applyFill="1" applyBorder="1" applyAlignment="1" applyProtection="1">
      <alignment horizontal="center"/>
    </xf>
    <xf numFmtId="3" fontId="7" fillId="0" borderId="0" xfId="0" applyNumberFormat="1" applyFont="1" applyFill="1" applyBorder="1" applyAlignment="1" applyProtection="1">
      <alignment horizontal="center"/>
    </xf>
    <xf numFmtId="3" fontId="7" fillId="0" borderId="24" xfId="0" applyNumberFormat="1" applyFont="1" applyFill="1" applyBorder="1" applyProtection="1"/>
    <xf numFmtId="3" fontId="7" fillId="0" borderId="25" xfId="0" applyNumberFormat="1" applyFont="1" applyFill="1" applyBorder="1" applyProtection="1"/>
    <xf numFmtId="0" fontId="12" fillId="0" borderId="0" xfId="0" applyFont="1" applyAlignment="1" applyProtection="1"/>
    <xf numFmtId="3" fontId="7" fillId="0" borderId="28" xfId="0" applyNumberFormat="1" applyFont="1" applyFill="1" applyBorder="1" applyProtection="1"/>
    <xf numFmtId="4" fontId="0" fillId="0" borderId="0" xfId="0" applyNumberFormat="1"/>
    <xf numFmtId="3" fontId="0" fillId="0" borderId="0" xfId="0" applyNumberFormat="1"/>
    <xf numFmtId="3" fontId="10" fillId="0" borderId="0" xfId="0" applyNumberFormat="1" applyFont="1" applyAlignment="1" applyProtection="1">
      <alignment horizontal="center"/>
    </xf>
    <xf numFmtId="164" fontId="0" fillId="0" borderId="0" xfId="0" applyNumberFormat="1" applyProtection="1"/>
    <xf numFmtId="164" fontId="0" fillId="0" borderId="0" xfId="0" applyNumberFormat="1" applyAlignment="1" applyProtection="1">
      <alignment horizontal="center"/>
    </xf>
    <xf numFmtId="3" fontId="7" fillId="0" borderId="10" xfId="0" applyNumberFormat="1" applyFont="1" applyBorder="1" applyProtection="1"/>
    <xf numFmtId="3" fontId="10" fillId="2" borderId="30" xfId="0" applyNumberFormat="1" applyFont="1" applyFill="1" applyBorder="1" applyAlignment="1" applyProtection="1">
      <alignment horizontal="right"/>
    </xf>
    <xf numFmtId="4" fontId="7" fillId="0" borderId="0" xfId="0" applyNumberFormat="1" applyFont="1" applyFill="1" applyBorder="1" applyAlignment="1" applyProtection="1">
      <alignment horizontal="right"/>
    </xf>
    <xf numFmtId="4" fontId="7" fillId="0" borderId="31" xfId="0" applyNumberFormat="1" applyFont="1" applyFill="1" applyBorder="1" applyAlignment="1" applyProtection="1">
      <alignment horizontal="right"/>
    </xf>
    <xf numFmtId="4" fontId="7" fillId="0" borderId="32" xfId="0" applyNumberFormat="1" applyFont="1" applyFill="1" applyBorder="1" applyAlignment="1" applyProtection="1">
      <alignment horizontal="center"/>
    </xf>
    <xf numFmtId="3" fontId="10" fillId="0" borderId="29" xfId="0" applyNumberFormat="1" applyFont="1" applyBorder="1" applyAlignment="1" applyProtection="1">
      <alignment horizontal="left"/>
    </xf>
    <xf numFmtId="3" fontId="10" fillId="0" borderId="34" xfId="0" applyNumberFormat="1" applyFont="1" applyBorder="1" applyAlignment="1" applyProtection="1">
      <alignment horizontal="center"/>
    </xf>
    <xf numFmtId="164" fontId="7" fillId="0" borderId="35" xfId="0" applyNumberFormat="1" applyFont="1" applyBorder="1" applyAlignment="1" applyProtection="1">
      <alignment horizontal="right"/>
    </xf>
    <xf numFmtId="164" fontId="7" fillId="2" borderId="35" xfId="0" applyNumberFormat="1" applyFont="1" applyFill="1" applyBorder="1" applyAlignment="1" applyProtection="1">
      <alignment horizontal="right"/>
    </xf>
    <xf numFmtId="4" fontId="7" fillId="2" borderId="35" xfId="0" applyNumberFormat="1" applyFont="1" applyFill="1" applyBorder="1" applyAlignment="1" applyProtection="1">
      <alignment horizontal="right"/>
    </xf>
    <xf numFmtId="3" fontId="10" fillId="0" borderId="29" xfId="0" applyNumberFormat="1" applyFont="1" applyBorder="1" applyAlignment="1" applyProtection="1">
      <alignment horizontal="center"/>
    </xf>
    <xf numFmtId="164" fontId="7" fillId="0" borderId="36" xfId="0" applyNumberFormat="1" applyFont="1" applyFill="1" applyBorder="1" applyAlignment="1" applyProtection="1">
      <alignment horizontal="center"/>
    </xf>
    <xf numFmtId="164" fontId="7" fillId="0" borderId="36" xfId="0" applyNumberFormat="1" applyFont="1" applyFill="1" applyBorder="1" applyProtection="1"/>
    <xf numFmtId="164" fontId="7" fillId="0" borderId="37" xfId="0" applyNumberFormat="1" applyFont="1" applyFill="1" applyBorder="1" applyAlignment="1" applyProtection="1">
      <alignment horizontal="center"/>
    </xf>
    <xf numFmtId="164" fontId="7" fillId="0" borderId="37" xfId="0" applyNumberFormat="1" applyFont="1" applyFill="1" applyBorder="1" applyProtection="1"/>
    <xf numFmtId="164" fontId="7" fillId="0" borderId="38" xfId="0" applyNumberFormat="1" applyFont="1" applyFill="1" applyBorder="1" applyProtection="1"/>
    <xf numFmtId="169" fontId="0" fillId="0" borderId="0" xfId="0" applyNumberFormat="1"/>
    <xf numFmtId="169" fontId="0" fillId="0" borderId="0" xfId="0" applyNumberFormat="1" applyAlignment="1" applyProtection="1"/>
    <xf numFmtId="164" fontId="10" fillId="0" borderId="33" xfId="0" applyNumberFormat="1" applyFont="1" applyFill="1" applyBorder="1" applyAlignment="1" applyProtection="1">
      <alignment horizontal="center"/>
    </xf>
    <xf numFmtId="3" fontId="7" fillId="0" borderId="39" xfId="0" applyNumberFormat="1" applyFont="1" applyFill="1" applyBorder="1" applyProtection="1"/>
    <xf numFmtId="164" fontId="7" fillId="0" borderId="40" xfId="0" applyNumberFormat="1" applyFont="1" applyFill="1" applyBorder="1" applyAlignment="1" applyProtection="1">
      <alignment horizontal="center"/>
    </xf>
    <xf numFmtId="164" fontId="10" fillId="0" borderId="40" xfId="0" applyNumberFormat="1" applyFont="1" applyFill="1" applyBorder="1" applyProtection="1"/>
    <xf numFmtId="164" fontId="10" fillId="0" borderId="41" xfId="0" applyNumberFormat="1" applyFont="1" applyFill="1" applyBorder="1" applyProtection="1"/>
    <xf numFmtId="0" fontId="15" fillId="0" borderId="0" xfId="0" applyFont="1"/>
    <xf numFmtId="3" fontId="15" fillId="0" borderId="0" xfId="0" applyNumberFormat="1" applyFont="1"/>
    <xf numFmtId="0" fontId="15" fillId="0" borderId="0" xfId="2" applyFont="1"/>
    <xf numFmtId="164" fontId="15" fillId="0" borderId="0" xfId="2" applyNumberFormat="1" applyFont="1"/>
    <xf numFmtId="0" fontId="15" fillId="0" borderId="0" xfId="2" applyFont="1" applyAlignment="1" applyProtection="1"/>
    <xf numFmtId="0" fontId="15" fillId="0" borderId="0" xfId="2" applyFont="1" applyBorder="1"/>
    <xf numFmtId="3" fontId="16" fillId="0" borderId="0" xfId="2" applyNumberFormat="1" applyFont="1" applyBorder="1" applyAlignment="1" applyProtection="1">
      <alignment horizontal="center"/>
    </xf>
    <xf numFmtId="164" fontId="15" fillId="0" borderId="0" xfId="2" applyNumberFormat="1" applyFont="1" applyBorder="1" applyProtection="1">
      <protection locked="0"/>
    </xf>
    <xf numFmtId="4" fontId="15" fillId="0" borderId="0" xfId="2" applyNumberFormat="1" applyFont="1" applyAlignment="1">
      <alignment horizontal="center"/>
    </xf>
    <xf numFmtId="0" fontId="15" fillId="0" borderId="10" xfId="2" applyFont="1" applyBorder="1"/>
    <xf numFmtId="4" fontId="15" fillId="0" borderId="10" xfId="2" applyNumberFormat="1" applyFont="1" applyBorder="1" applyAlignment="1">
      <alignment horizontal="center"/>
    </xf>
    <xf numFmtId="0" fontId="16" fillId="2" borderId="10" xfId="2" applyFont="1" applyFill="1" applyBorder="1"/>
    <xf numFmtId="164" fontId="15" fillId="2" borderId="10" xfId="2" applyNumberFormat="1" applyFont="1" applyFill="1" applyBorder="1" applyProtection="1">
      <protection locked="0"/>
    </xf>
    <xf numFmtId="4" fontId="15" fillId="2" borderId="10" xfId="2" applyNumberFormat="1" applyFont="1" applyFill="1" applyBorder="1" applyAlignment="1">
      <alignment horizontal="center"/>
    </xf>
    <xf numFmtId="3" fontId="16" fillId="2" borderId="10" xfId="2" applyNumberFormat="1" applyFont="1" applyFill="1" applyBorder="1" applyAlignment="1">
      <alignment horizontal="center"/>
    </xf>
    <xf numFmtId="0" fontId="15" fillId="0" borderId="17" xfId="2" applyFont="1" applyBorder="1"/>
    <xf numFmtId="164" fontId="15" fillId="0" borderId="10" xfId="2" applyNumberFormat="1" applyFont="1" applyBorder="1" applyAlignment="1">
      <alignment horizontal="center"/>
    </xf>
    <xf numFmtId="0" fontId="17" fillId="0" borderId="0" xfId="0" applyFont="1" applyAlignment="1" applyProtection="1"/>
    <xf numFmtId="0" fontId="15" fillId="0" borderId="0" xfId="0" applyFont="1" applyProtection="1">
      <protection locked="0"/>
    </xf>
    <xf numFmtId="0" fontId="16" fillId="0" borderId="0" xfId="0" applyFont="1" applyAlignment="1" applyProtection="1"/>
    <xf numFmtId="0" fontId="15" fillId="0" borderId="0" xfId="0" applyFont="1" applyAlignment="1" applyProtection="1"/>
    <xf numFmtId="17" fontId="16" fillId="0" borderId="0" xfId="0" quotePrefix="1" applyNumberFormat="1" applyFont="1" applyAlignment="1" applyProtection="1">
      <alignment horizontal="center"/>
    </xf>
    <xf numFmtId="0" fontId="16" fillId="0" borderId="12" xfId="0" applyFont="1" applyBorder="1" applyAlignment="1" applyProtection="1">
      <alignment horizontal="center"/>
    </xf>
    <xf numFmtId="0" fontId="16" fillId="0" borderId="13" xfId="0" applyFont="1" applyBorder="1" applyProtection="1"/>
    <xf numFmtId="0" fontId="16" fillId="0" borderId="2" xfId="0" applyFont="1" applyBorder="1" applyAlignment="1" applyProtection="1">
      <alignment horizontal="center"/>
    </xf>
    <xf numFmtId="38" fontId="15" fillId="0" borderId="0" xfId="0" applyNumberFormat="1" applyFont="1" applyFill="1" applyBorder="1" applyAlignment="1" applyProtection="1">
      <alignment horizontal="right"/>
      <protection locked="0"/>
    </xf>
    <xf numFmtId="4" fontId="15" fillId="0" borderId="0" xfId="0" applyNumberFormat="1" applyFont="1" applyFill="1" applyBorder="1" applyAlignment="1" applyProtection="1">
      <alignment horizontal="center"/>
    </xf>
    <xf numFmtId="3" fontId="15" fillId="0" borderId="0" xfId="0" applyNumberFormat="1" applyFont="1" applyAlignment="1" applyProtection="1">
      <alignment horizontal="center"/>
      <protection locked="0"/>
    </xf>
    <xf numFmtId="4" fontId="7" fillId="3" borderId="27" xfId="0" applyNumberFormat="1" applyFont="1" applyFill="1" applyBorder="1" applyAlignment="1" applyProtection="1">
      <alignment horizontal="right"/>
    </xf>
    <xf numFmtId="164" fontId="7" fillId="0" borderId="44" xfId="0" applyNumberFormat="1" applyFont="1" applyBorder="1" applyAlignment="1" applyProtection="1">
      <alignment horizontal="right"/>
    </xf>
    <xf numFmtId="164" fontId="7" fillId="2" borderId="44" xfId="0" applyNumberFormat="1" applyFont="1" applyFill="1" applyBorder="1" applyAlignment="1" applyProtection="1">
      <alignment horizontal="right"/>
    </xf>
    <xf numFmtId="4" fontId="7" fillId="2" borderId="44" xfId="0" applyNumberFormat="1" applyFont="1" applyFill="1" applyBorder="1" applyAlignment="1" applyProtection="1">
      <alignment horizontal="right"/>
    </xf>
    <xf numFmtId="3" fontId="10" fillId="0" borderId="45" xfId="0" applyNumberFormat="1" applyFont="1" applyBorder="1" applyAlignment="1" applyProtection="1">
      <alignment horizontal="center"/>
    </xf>
    <xf numFmtId="3" fontId="7" fillId="0" borderId="44" xfId="0" applyNumberFormat="1" applyFont="1" applyBorder="1" applyProtection="1"/>
    <xf numFmtId="3" fontId="7" fillId="2" borderId="44" xfId="0" applyNumberFormat="1" applyFont="1" applyFill="1" applyBorder="1" applyProtection="1"/>
    <xf numFmtId="3" fontId="10" fillId="2" borderId="44" xfId="0" applyNumberFormat="1" applyFont="1" applyFill="1" applyBorder="1" applyAlignment="1" applyProtection="1">
      <alignment horizontal="center"/>
    </xf>
    <xf numFmtId="0" fontId="7" fillId="0" borderId="46" xfId="0" applyFont="1" applyBorder="1" applyProtection="1"/>
    <xf numFmtId="0" fontId="7" fillId="0" borderId="42" xfId="0" applyFont="1" applyBorder="1" applyProtection="1"/>
    <xf numFmtId="2" fontId="7" fillId="0" borderId="47" xfId="0" applyNumberFormat="1" applyFont="1" applyBorder="1" applyAlignment="1" applyProtection="1">
      <alignment horizontal="center"/>
    </xf>
    <xf numFmtId="0" fontId="0" fillId="0" borderId="48" xfId="0" applyBorder="1" applyProtection="1"/>
    <xf numFmtId="0" fontId="0" fillId="0" borderId="49" xfId="0" applyBorder="1" applyProtection="1"/>
    <xf numFmtId="4" fontId="7" fillId="0" borderId="0" xfId="0" applyNumberFormat="1" applyFont="1" applyAlignment="1" applyProtection="1">
      <alignment horizontal="center"/>
    </xf>
    <xf numFmtId="164" fontId="15" fillId="0" borderId="0" xfId="0" applyNumberFormat="1" applyFont="1"/>
    <xf numFmtId="172" fontId="15" fillId="0" borderId="0" xfId="0" applyNumberFormat="1" applyFont="1"/>
    <xf numFmtId="2" fontId="15" fillId="0" borderId="0" xfId="0" applyNumberFormat="1" applyFont="1"/>
    <xf numFmtId="164" fontId="7" fillId="0" borderId="0" xfId="0" applyNumberFormat="1" applyFont="1" applyFill="1" applyBorder="1" applyAlignment="1" applyProtection="1">
      <alignment horizontal="center"/>
    </xf>
    <xf numFmtId="0" fontId="25" fillId="0" borderId="0" xfId="2" applyFont="1" applyAlignment="1" applyProtection="1"/>
    <xf numFmtId="164" fontId="7" fillId="0" borderId="55" xfId="0" applyNumberFormat="1" applyFont="1" applyBorder="1" applyAlignment="1" applyProtection="1">
      <alignment horizontal="right"/>
    </xf>
    <xf numFmtId="3" fontId="10" fillId="0" borderId="56" xfId="0" applyNumberFormat="1" applyFont="1" applyBorder="1" applyAlignment="1" applyProtection="1">
      <alignment horizontal="center"/>
    </xf>
    <xf numFmtId="3" fontId="10" fillId="0" borderId="33" xfId="0" applyNumberFormat="1" applyFont="1" applyFill="1" applyBorder="1" applyAlignment="1" applyProtection="1">
      <alignment horizontal="center"/>
    </xf>
    <xf numFmtId="170" fontId="7" fillId="2" borderId="44" xfId="0" applyNumberFormat="1" applyFont="1" applyFill="1" applyBorder="1" applyProtection="1"/>
    <xf numFmtId="3" fontId="7" fillId="0" borderId="42" xfId="0" applyNumberFormat="1" applyFont="1" applyFill="1" applyBorder="1" applyProtection="1"/>
    <xf numFmtId="4" fontId="10" fillId="2" borderId="58" xfId="0" applyNumberFormat="1" applyFont="1" applyFill="1" applyBorder="1" applyAlignment="1" applyProtection="1">
      <alignment horizontal="right"/>
    </xf>
    <xf numFmtId="3" fontId="7" fillId="0" borderId="59" xfId="0" applyNumberFormat="1" applyFont="1" applyFill="1" applyBorder="1" applyProtection="1"/>
    <xf numFmtId="164" fontId="7" fillId="0" borderId="60" xfId="0" applyNumberFormat="1" applyFont="1" applyFill="1" applyBorder="1" applyAlignment="1" applyProtection="1">
      <alignment horizontal="center"/>
    </xf>
    <xf numFmtId="3" fontId="10" fillId="0" borderId="60" xfId="0" applyNumberFormat="1" applyFont="1" applyFill="1" applyBorder="1" applyAlignment="1" applyProtection="1">
      <alignment horizontal="center"/>
    </xf>
    <xf numFmtId="164" fontId="11" fillId="0" borderId="0" xfId="0" applyNumberFormat="1" applyFont="1" applyAlignment="1" applyProtection="1">
      <alignment horizontal="center"/>
    </xf>
    <xf numFmtId="3" fontId="7" fillId="0" borderId="0" xfId="0" applyNumberFormat="1" applyFont="1" applyFill="1" applyBorder="1" applyAlignment="1" applyProtection="1">
      <alignment horizontal="right"/>
    </xf>
    <xf numFmtId="164" fontId="13" fillId="0" borderId="0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3" fillId="0" borderId="10" xfId="0" applyFont="1" applyBorder="1" applyProtection="1"/>
    <xf numFmtId="0" fontId="4" fillId="0" borderId="62" xfId="0" applyFont="1" applyBorder="1" applyProtection="1"/>
    <xf numFmtId="0" fontId="0" fillId="0" borderId="21" xfId="0" applyBorder="1" applyProtection="1"/>
    <xf numFmtId="0" fontId="0" fillId="0" borderId="63" xfId="0" applyBorder="1" applyProtection="1"/>
    <xf numFmtId="4" fontId="4" fillId="0" borderId="8" xfId="0" applyNumberFormat="1" applyFont="1" applyBorder="1" applyAlignment="1" applyProtection="1">
      <alignment horizontal="center"/>
    </xf>
    <xf numFmtId="0" fontId="4" fillId="0" borderId="64" xfId="0" applyFont="1" applyBorder="1" applyAlignment="1" applyProtection="1">
      <alignment horizontal="centerContinuous"/>
    </xf>
    <xf numFmtId="3" fontId="0" fillId="0" borderId="0" xfId="0" applyNumberFormat="1" applyAlignment="1" applyProtection="1">
      <alignment horizontal="center"/>
    </xf>
    <xf numFmtId="0" fontId="0" fillId="4" borderId="0" xfId="0" applyFill="1"/>
    <xf numFmtId="164" fontId="7" fillId="0" borderId="65" xfId="0" applyNumberFormat="1" applyFont="1" applyBorder="1" applyAlignment="1" applyProtection="1">
      <alignment horizontal="right"/>
    </xf>
    <xf numFmtId="164" fontId="7" fillId="0" borderId="66" xfId="0" applyNumberFormat="1" applyFont="1" applyBorder="1" applyAlignment="1" applyProtection="1">
      <alignment horizontal="right"/>
    </xf>
    <xf numFmtId="164" fontId="7" fillId="2" borderId="66" xfId="0" applyNumberFormat="1" applyFont="1" applyFill="1" applyBorder="1" applyAlignment="1" applyProtection="1">
      <alignment horizontal="right"/>
    </xf>
    <xf numFmtId="4" fontId="7" fillId="2" borderId="66" xfId="0" applyNumberFormat="1" applyFont="1" applyFill="1" applyBorder="1" applyAlignment="1" applyProtection="1">
      <alignment horizontal="right"/>
    </xf>
    <xf numFmtId="3" fontId="7" fillId="2" borderId="10" xfId="0" applyNumberFormat="1" applyFont="1" applyFill="1" applyBorder="1" applyProtection="1"/>
    <xf numFmtId="0" fontId="0" fillId="0" borderId="0" xfId="0" applyAlignment="1">
      <alignment horizontal="right"/>
    </xf>
    <xf numFmtId="0" fontId="0" fillId="5" borderId="0" xfId="0" applyFill="1"/>
    <xf numFmtId="0" fontId="15" fillId="0" borderId="0" xfId="0" applyFont="1" applyFill="1"/>
    <xf numFmtId="3" fontId="15" fillId="0" borderId="0" xfId="0" applyNumberFormat="1" applyFont="1" applyFill="1"/>
    <xf numFmtId="0" fontId="10" fillId="0" borderId="68" xfId="0" applyFont="1" applyBorder="1" applyProtection="1"/>
    <xf numFmtId="0" fontId="10" fillId="0" borderId="69" xfId="0" applyFont="1" applyBorder="1" applyProtection="1"/>
    <xf numFmtId="3" fontId="10" fillId="0" borderId="2" xfId="0" applyNumberFormat="1" applyFont="1" applyBorder="1" applyAlignment="1" applyProtection="1">
      <alignment horizontal="center"/>
    </xf>
    <xf numFmtId="3" fontId="7" fillId="0" borderId="5" xfId="0" applyNumberFormat="1" applyFont="1" applyBorder="1" applyProtection="1"/>
    <xf numFmtId="3" fontId="10" fillId="0" borderId="70" xfId="0" applyNumberFormat="1" applyFont="1" applyBorder="1" applyAlignment="1" applyProtection="1">
      <alignment horizontal="center"/>
    </xf>
    <xf numFmtId="164" fontId="7" fillId="0" borderId="71" xfId="0" applyNumberFormat="1" applyFont="1" applyBorder="1" applyAlignment="1" applyProtection="1">
      <alignment horizontal="right"/>
    </xf>
    <xf numFmtId="164" fontId="7" fillId="0" borderId="72" xfId="0" applyNumberFormat="1" applyFont="1" applyBorder="1" applyAlignment="1" applyProtection="1">
      <alignment horizontal="right"/>
    </xf>
    <xf numFmtId="173" fontId="0" fillId="0" borderId="0" xfId="4" applyNumberFormat="1" applyFont="1" applyProtection="1"/>
    <xf numFmtId="173" fontId="0" fillId="0" borderId="0" xfId="0" applyNumberFormat="1" applyAlignment="1" applyProtection="1">
      <alignment horizontal="center"/>
    </xf>
    <xf numFmtId="4" fontId="7" fillId="0" borderId="73" xfId="0" applyNumberFormat="1" applyFont="1" applyFill="1" applyBorder="1" applyAlignment="1" applyProtection="1">
      <alignment horizontal="center"/>
    </xf>
    <xf numFmtId="3" fontId="8" fillId="0" borderId="10" xfId="0" applyNumberFormat="1" applyFont="1" applyBorder="1" applyProtection="1"/>
    <xf numFmtId="0" fontId="21" fillId="0" borderId="0" xfId="0" applyFont="1" applyAlignment="1" applyProtection="1"/>
    <xf numFmtId="0" fontId="15" fillId="0" borderId="0" xfId="0" applyFont="1" applyAlignment="1" applyProtection="1">
      <protection locked="0"/>
    </xf>
    <xf numFmtId="0" fontId="15" fillId="0" borderId="0" xfId="0" applyFont="1" applyAlignment="1" applyProtection="1">
      <alignment horizontal="center"/>
    </xf>
    <xf numFmtId="0" fontId="16" fillId="0" borderId="74" xfId="0" applyFont="1" applyBorder="1" applyAlignment="1" applyProtection="1">
      <alignment horizontal="center"/>
    </xf>
    <xf numFmtId="3" fontId="16" fillId="0" borderId="75" xfId="0" applyNumberFormat="1" applyFont="1" applyBorder="1" applyAlignment="1" applyProtection="1">
      <alignment horizontal="centerContinuous"/>
    </xf>
    <xf numFmtId="0" fontId="16" fillId="0" borderId="14" xfId="0" applyFont="1" applyBorder="1" applyAlignment="1" applyProtection="1">
      <alignment horizontal="center"/>
    </xf>
    <xf numFmtId="3" fontId="16" fillId="0" borderId="69" xfId="0" applyNumberFormat="1" applyFont="1" applyBorder="1" applyAlignment="1" applyProtection="1">
      <alignment horizontal="center"/>
    </xf>
    <xf numFmtId="3" fontId="16" fillId="0" borderId="0" xfId="0" applyNumberFormat="1" applyFont="1" applyFill="1" applyBorder="1" applyProtection="1">
      <protection locked="0"/>
    </xf>
    <xf numFmtId="3" fontId="16" fillId="0" borderId="0" xfId="0" applyNumberFormat="1" applyFont="1" applyFill="1" applyBorder="1" applyAlignment="1" applyProtection="1">
      <alignment horizontal="center"/>
      <protection locked="0"/>
    </xf>
    <xf numFmtId="164" fontId="15" fillId="0" borderId="0" xfId="0" applyNumberFormat="1" applyFont="1" applyAlignment="1" applyProtection="1">
      <alignment horizontal="center"/>
    </xf>
    <xf numFmtId="4" fontId="15" fillId="0" borderId="0" xfId="0" applyNumberFormat="1" applyFont="1" applyBorder="1" applyAlignment="1" applyProtection="1">
      <alignment horizontal="left"/>
    </xf>
    <xf numFmtId="4" fontId="15" fillId="0" borderId="0" xfId="0" applyNumberFormat="1" applyFont="1" applyAlignment="1" applyProtection="1">
      <alignment horizontal="left"/>
    </xf>
    <xf numFmtId="0" fontId="16" fillId="0" borderId="79" xfId="0" applyFont="1" applyBorder="1" applyAlignment="1" applyProtection="1">
      <alignment horizontal="center"/>
    </xf>
    <xf numFmtId="0" fontId="16" fillId="0" borderId="81" xfId="2" applyFont="1" applyBorder="1" applyAlignment="1" applyProtection="1">
      <alignment horizontal="center"/>
    </xf>
    <xf numFmtId="49" fontId="16" fillId="0" borderId="82" xfId="2" applyNumberFormat="1" applyFont="1" applyBorder="1" applyAlignment="1" applyProtection="1">
      <alignment horizontal="centerContinuous"/>
      <protection locked="0"/>
    </xf>
    <xf numFmtId="4" fontId="16" fillId="0" borderId="83" xfId="2" applyNumberFormat="1" applyFont="1" applyBorder="1" applyAlignment="1" applyProtection="1">
      <alignment horizontal="center"/>
    </xf>
    <xf numFmtId="0" fontId="16" fillId="0" borderId="84" xfId="2" applyFont="1" applyBorder="1" applyAlignment="1" applyProtection="1">
      <alignment horizontal="centerContinuous"/>
    </xf>
    <xf numFmtId="0" fontId="15" fillId="0" borderId="85" xfId="2" applyFont="1" applyBorder="1"/>
    <xf numFmtId="0" fontId="16" fillId="0" borderId="86" xfId="2" applyFont="1" applyBorder="1" applyProtection="1"/>
    <xf numFmtId="0" fontId="16" fillId="0" borderId="87" xfId="2" applyFont="1" applyBorder="1" applyAlignment="1" applyProtection="1">
      <alignment horizontal="center"/>
    </xf>
    <xf numFmtId="4" fontId="16" fillId="0" borderId="88" xfId="2" applyNumberFormat="1" applyFont="1" applyBorder="1" applyAlignment="1" applyProtection="1">
      <alignment horizontal="center"/>
    </xf>
    <xf numFmtId="0" fontId="16" fillId="0" borderId="88" xfId="2" applyFont="1" applyBorder="1" applyAlignment="1" applyProtection="1">
      <alignment horizontal="center"/>
    </xf>
    <xf numFmtId="3" fontId="16" fillId="0" borderId="89" xfId="2" applyNumberFormat="1" applyFont="1" applyBorder="1" applyAlignment="1" applyProtection="1">
      <alignment horizontal="center"/>
    </xf>
    <xf numFmtId="3" fontId="15" fillId="0" borderId="90" xfId="2" applyNumberFormat="1" applyFont="1" applyBorder="1" applyProtection="1">
      <protection locked="0"/>
    </xf>
    <xf numFmtId="164" fontId="15" fillId="0" borderId="91" xfId="2" applyNumberFormat="1" applyFont="1" applyBorder="1" applyProtection="1">
      <protection locked="0"/>
    </xf>
    <xf numFmtId="169" fontId="15" fillId="0" borderId="91" xfId="2" applyNumberFormat="1" applyFont="1" applyBorder="1" applyAlignment="1" applyProtection="1">
      <alignment horizontal="center"/>
      <protection locked="0"/>
    </xf>
    <xf numFmtId="4" fontId="15" fillId="0" borderId="91" xfId="2" applyNumberFormat="1" applyFont="1" applyBorder="1" applyAlignment="1" applyProtection="1">
      <alignment horizontal="center"/>
      <protection locked="0"/>
    </xf>
    <xf numFmtId="164" fontId="15" fillId="0" borderId="92" xfId="2" applyNumberFormat="1" applyFont="1" applyBorder="1" applyProtection="1">
      <protection locked="0"/>
    </xf>
    <xf numFmtId="3" fontId="15" fillId="0" borderId="90" xfId="2" applyNumberFormat="1" applyFont="1" applyFill="1" applyBorder="1" applyProtection="1">
      <protection locked="0"/>
    </xf>
    <xf numFmtId="164" fontId="15" fillId="0" borderId="90" xfId="2" applyNumberFormat="1" applyFont="1" applyBorder="1" applyProtection="1">
      <protection locked="0"/>
    </xf>
    <xf numFmtId="3" fontId="15" fillId="0" borderId="93" xfId="2" applyNumberFormat="1" applyFont="1" applyBorder="1" applyProtection="1">
      <protection locked="0"/>
    </xf>
    <xf numFmtId="4" fontId="18" fillId="7" borderId="94" xfId="2" applyNumberFormat="1" applyFont="1" applyFill="1" applyBorder="1" applyAlignment="1" applyProtection="1">
      <alignment horizontal="center"/>
      <protection locked="0"/>
    </xf>
    <xf numFmtId="164" fontId="15" fillId="0" borderId="95" xfId="2" applyNumberFormat="1" applyFont="1" applyBorder="1" applyProtection="1">
      <protection locked="0"/>
    </xf>
    <xf numFmtId="169" fontId="15" fillId="0" borderId="96" xfId="2" applyNumberFormat="1" applyFont="1" applyBorder="1" applyAlignment="1" applyProtection="1">
      <alignment horizontal="center"/>
      <protection locked="0"/>
    </xf>
    <xf numFmtId="4" fontId="15" fillId="0" borderId="96" xfId="2" applyNumberFormat="1" applyFont="1" applyBorder="1" applyAlignment="1" applyProtection="1">
      <alignment horizontal="center"/>
      <protection locked="0"/>
    </xf>
    <xf numFmtId="164" fontId="15" fillId="0" borderId="0" xfId="2" applyNumberFormat="1" applyFont="1" applyFill="1" applyBorder="1" applyProtection="1">
      <protection locked="0"/>
    </xf>
    <xf numFmtId="3" fontId="15" fillId="0" borderId="97" xfId="2" applyNumberFormat="1" applyFont="1" applyBorder="1" applyProtection="1">
      <protection locked="0"/>
    </xf>
    <xf numFmtId="164" fontId="15" fillId="0" borderId="98" xfId="2" applyNumberFormat="1" applyFont="1" applyBorder="1" applyProtection="1">
      <protection locked="0"/>
    </xf>
    <xf numFmtId="4" fontId="15" fillId="0" borderId="0" xfId="2" applyNumberFormat="1" applyFont="1" applyFill="1" applyBorder="1" applyAlignment="1" applyProtection="1">
      <alignment horizontal="center"/>
      <protection locked="0"/>
    </xf>
    <xf numFmtId="17" fontId="16" fillId="0" borderId="0" xfId="2" applyNumberFormat="1" applyFont="1" applyAlignment="1">
      <alignment horizontal="left"/>
    </xf>
    <xf numFmtId="0" fontId="31" fillId="0" borderId="0" xfId="0" applyFont="1" applyAlignment="1" applyProtection="1"/>
    <xf numFmtId="0" fontId="16" fillId="0" borderId="81" xfId="0" applyFont="1" applyBorder="1" applyAlignment="1" applyProtection="1">
      <alignment horizontal="center"/>
    </xf>
    <xf numFmtId="0" fontId="32" fillId="0" borderId="0" xfId="0" applyFont="1" applyAlignment="1" applyProtection="1"/>
    <xf numFmtId="0" fontId="33" fillId="0" borderId="0" xfId="0" applyFont="1"/>
    <xf numFmtId="0" fontId="34" fillId="0" borderId="0" xfId="0" applyFont="1" applyAlignment="1">
      <alignment horizontal="center"/>
    </xf>
    <xf numFmtId="0" fontId="16" fillId="0" borderId="86" xfId="0" applyFont="1" applyBorder="1" applyProtection="1"/>
    <xf numFmtId="0" fontId="16" fillId="0" borderId="99" xfId="0" applyFont="1" applyBorder="1" applyAlignment="1" applyProtection="1">
      <alignment horizontal="centerContinuous"/>
    </xf>
    <xf numFmtId="0" fontId="35" fillId="0" borderId="99" xfId="0" applyFont="1" applyBorder="1" applyAlignment="1" applyProtection="1">
      <alignment horizontal="center"/>
    </xf>
    <xf numFmtId="0" fontId="15" fillId="0" borderId="100" xfId="0" applyFont="1" applyBorder="1" applyAlignment="1" applyProtection="1">
      <alignment horizontal="center"/>
    </xf>
    <xf numFmtId="0" fontId="36" fillId="0" borderId="100" xfId="0" applyFont="1" applyBorder="1" applyAlignment="1" applyProtection="1">
      <alignment horizontal="center"/>
    </xf>
    <xf numFmtId="0" fontId="0" fillId="2" borderId="0" xfId="0" applyFill="1"/>
    <xf numFmtId="0" fontId="37" fillId="0" borderId="0" xfId="0" applyFont="1"/>
    <xf numFmtId="0" fontId="38" fillId="0" borderId="0" xfId="0" applyFont="1"/>
    <xf numFmtId="4" fontId="37" fillId="0" borderId="101" xfId="0" applyNumberFormat="1" applyFont="1" applyBorder="1" applyAlignment="1" applyProtection="1">
      <alignment horizontal="right"/>
    </xf>
    <xf numFmtId="0" fontId="40" fillId="2" borderId="0" xfId="0" applyFont="1" applyFill="1"/>
    <xf numFmtId="3" fontId="37" fillId="0" borderId="102" xfId="0" applyNumberFormat="1" applyFont="1" applyBorder="1" applyProtection="1">
      <protection locked="0"/>
    </xf>
    <xf numFmtId="4" fontId="39" fillId="0" borderId="103" xfId="0" applyNumberFormat="1" applyFont="1" applyBorder="1" applyAlignment="1" applyProtection="1">
      <alignment horizontal="right"/>
    </xf>
    <xf numFmtId="4" fontId="37" fillId="0" borderId="104" xfId="0" applyNumberFormat="1" applyFont="1" applyBorder="1" applyAlignment="1" applyProtection="1">
      <alignment horizontal="right"/>
    </xf>
    <xf numFmtId="4" fontId="37" fillId="0" borderId="105" xfId="0" applyNumberFormat="1" applyFont="1" applyBorder="1" applyAlignment="1" applyProtection="1">
      <alignment horizontal="right"/>
    </xf>
    <xf numFmtId="4" fontId="37" fillId="0" borderId="103" xfId="0" applyNumberFormat="1" applyFont="1" applyBorder="1" applyAlignment="1" applyProtection="1">
      <alignment horizontal="right"/>
    </xf>
    <xf numFmtId="4" fontId="37" fillId="0" borderId="103" xfId="0" applyNumberFormat="1" applyFont="1" applyBorder="1" applyAlignment="1" applyProtection="1">
      <alignment horizontal="center"/>
    </xf>
    <xf numFmtId="3" fontId="37" fillId="2" borderId="102" xfId="0" applyNumberFormat="1" applyFont="1" applyFill="1" applyBorder="1" applyProtection="1">
      <protection locked="0"/>
    </xf>
    <xf numFmtId="4" fontId="39" fillId="2" borderId="103" xfId="0" applyNumberFormat="1" applyFont="1" applyFill="1" applyBorder="1" applyAlignment="1" applyProtection="1">
      <alignment horizontal="right"/>
      <protection locked="0"/>
    </xf>
    <xf numFmtId="4" fontId="37" fillId="2" borderId="103" xfId="0" applyNumberFormat="1" applyFont="1" applyFill="1" applyBorder="1" applyAlignment="1" applyProtection="1">
      <alignment horizontal="right"/>
      <protection locked="0"/>
    </xf>
    <xf numFmtId="4" fontId="37" fillId="0" borderId="106" xfId="0" applyNumberFormat="1" applyFont="1" applyBorder="1" applyAlignment="1" applyProtection="1">
      <alignment horizontal="right"/>
    </xf>
    <xf numFmtId="4" fontId="41" fillId="0" borderId="103" xfId="0" applyNumberFormat="1" applyFont="1" applyBorder="1" applyAlignment="1" applyProtection="1">
      <alignment horizontal="right"/>
    </xf>
    <xf numFmtId="164" fontId="37" fillId="0" borderId="103" xfId="0" applyNumberFormat="1" applyFont="1" applyBorder="1" applyProtection="1"/>
    <xf numFmtId="3" fontId="42" fillId="0" borderId="102" xfId="0" applyNumberFormat="1" applyFont="1" applyBorder="1" applyProtection="1">
      <protection locked="0"/>
    </xf>
    <xf numFmtId="0" fontId="37" fillId="2" borderId="0" xfId="0" applyFont="1" applyFill="1"/>
    <xf numFmtId="3" fontId="39" fillId="2" borderId="103" xfId="0" applyNumberFormat="1" applyFont="1" applyFill="1" applyBorder="1" applyProtection="1">
      <protection locked="0"/>
    </xf>
    <xf numFmtId="164" fontId="37" fillId="0" borderId="103" xfId="0" applyNumberFormat="1" applyFont="1" applyFill="1" applyBorder="1" applyProtection="1"/>
    <xf numFmtId="3" fontId="37" fillId="2" borderId="103" xfId="0" applyNumberFormat="1" applyFont="1" applyFill="1" applyBorder="1" applyProtection="1">
      <protection locked="0"/>
    </xf>
    <xf numFmtId="38" fontId="42" fillId="2" borderId="102" xfId="0" applyNumberFormat="1" applyFont="1" applyFill="1" applyBorder="1" applyAlignment="1" applyProtection="1">
      <alignment horizontal="right"/>
      <protection locked="0"/>
    </xf>
    <xf numFmtId="38" fontId="37" fillId="2" borderId="103" xfId="0" applyNumberFormat="1" applyFont="1" applyFill="1" applyBorder="1" applyAlignment="1" applyProtection="1">
      <alignment horizontal="right"/>
      <protection locked="0"/>
    </xf>
    <xf numFmtId="3" fontId="42" fillId="0" borderId="102" xfId="0" applyNumberFormat="1" applyFont="1" applyFill="1" applyBorder="1" applyProtection="1">
      <protection locked="0"/>
    </xf>
    <xf numFmtId="4" fontId="37" fillId="0" borderId="103" xfId="0" applyNumberFormat="1" applyFont="1" applyFill="1" applyBorder="1" applyAlignment="1" applyProtection="1">
      <alignment horizontal="right"/>
    </xf>
    <xf numFmtId="3" fontId="42" fillId="0" borderId="107" xfId="0" applyNumberFormat="1" applyFont="1" applyBorder="1" applyProtection="1">
      <protection locked="0"/>
    </xf>
    <xf numFmtId="4" fontId="37" fillId="0" borderId="108" xfId="0" applyNumberFormat="1" applyFont="1" applyBorder="1" applyAlignment="1" applyProtection="1">
      <alignment horizontal="right"/>
    </xf>
    <xf numFmtId="3" fontId="23" fillId="0" borderId="109" xfId="0" applyNumberFormat="1" applyFont="1" applyFill="1" applyBorder="1" applyProtection="1">
      <protection locked="0"/>
    </xf>
    <xf numFmtId="164" fontId="43" fillId="0" borderId="110" xfId="0" applyNumberFormat="1" applyFont="1" applyFill="1" applyBorder="1" applyAlignment="1" applyProtection="1">
      <alignment horizontal="center"/>
    </xf>
    <xf numFmtId="0" fontId="40" fillId="0" borderId="0" xfId="0" applyFont="1"/>
    <xf numFmtId="164" fontId="40" fillId="0" borderId="0" xfId="0" applyNumberFormat="1" applyFont="1"/>
    <xf numFmtId="0" fontId="0" fillId="0" borderId="0" xfId="0" applyFill="1"/>
    <xf numFmtId="0" fontId="40" fillId="0" borderId="0" xfId="0" applyFont="1" applyFill="1"/>
    <xf numFmtId="176" fontId="0" fillId="0" borderId="0" xfId="0" applyNumberFormat="1" applyFill="1"/>
    <xf numFmtId="3" fontId="40" fillId="0" borderId="0" xfId="0" applyNumberFormat="1" applyFont="1"/>
    <xf numFmtId="0" fontId="44" fillId="8" borderId="0" xfId="0" applyFont="1" applyFill="1" applyAlignment="1">
      <alignment horizontal="center"/>
    </xf>
    <xf numFmtId="0" fontId="45" fillId="8" borderId="0" xfId="0" applyFont="1" applyFill="1" applyAlignment="1">
      <alignment horizontal="center"/>
    </xf>
    <xf numFmtId="0" fontId="0" fillId="9" borderId="0" xfId="0" applyFill="1"/>
    <xf numFmtId="0" fontId="0" fillId="8" borderId="0" xfId="0" applyFill="1"/>
    <xf numFmtId="164" fontId="43" fillId="0" borderId="0" xfId="0" applyNumberFormat="1" applyFont="1" applyFill="1" applyBorder="1" applyAlignment="1" applyProtection="1">
      <alignment horizontal="center"/>
    </xf>
    <xf numFmtId="0" fontId="35" fillId="0" borderId="0" xfId="0" applyFont="1" applyFill="1" applyBorder="1" applyAlignment="1" applyProtection="1">
      <alignment horizontal="center"/>
    </xf>
    <xf numFmtId="0" fontId="36" fillId="0" borderId="0" xfId="0" applyFont="1" applyFill="1" applyBorder="1" applyAlignment="1" applyProtection="1">
      <alignment horizontal="center"/>
    </xf>
    <xf numFmtId="0" fontId="37" fillId="0" borderId="0" xfId="0" applyFont="1" applyFill="1"/>
    <xf numFmtId="4" fontId="37" fillId="0" borderId="0" xfId="0" applyNumberFormat="1" applyFont="1"/>
    <xf numFmtId="164" fontId="37" fillId="0" borderId="103" xfId="0" applyNumberFormat="1" applyFont="1" applyBorder="1" applyAlignment="1" applyProtection="1">
      <alignment horizontal="right"/>
    </xf>
    <xf numFmtId="164" fontId="37" fillId="0" borderId="0" xfId="0" applyNumberFormat="1" applyFont="1"/>
    <xf numFmtId="0" fontId="29" fillId="5" borderId="0" xfId="0" applyFont="1" applyFill="1"/>
    <xf numFmtId="0" fontId="45" fillId="5" borderId="0" xfId="0" applyFont="1" applyFill="1" applyAlignment="1">
      <alignment horizontal="center"/>
    </xf>
    <xf numFmtId="0" fontId="44" fillId="0" borderId="0" xfId="0" applyFont="1" applyFill="1" applyAlignment="1">
      <alignment horizontal="center"/>
    </xf>
    <xf numFmtId="0" fontId="45" fillId="0" borderId="0" xfId="0" applyFont="1" applyFill="1" applyAlignment="1">
      <alignment horizontal="center"/>
    </xf>
    <xf numFmtId="3" fontId="40" fillId="0" borderId="0" xfId="0" applyNumberFormat="1" applyFont="1" applyFill="1"/>
    <xf numFmtId="164" fontId="46" fillId="7" borderId="0" xfId="0" applyNumberFormat="1" applyFont="1" applyFill="1"/>
    <xf numFmtId="0" fontId="0" fillId="7" borderId="0" xfId="0" applyFill="1"/>
    <xf numFmtId="0" fontId="37" fillId="7" borderId="0" xfId="0" applyFont="1" applyFill="1"/>
    <xf numFmtId="0" fontId="48" fillId="9" borderId="0" xfId="0" applyFont="1" applyFill="1"/>
    <xf numFmtId="0" fontId="48" fillId="9" borderId="0" xfId="0" applyFont="1" applyFill="1" applyAlignment="1">
      <alignment horizontal="center"/>
    </xf>
    <xf numFmtId="3" fontId="15" fillId="7" borderId="0" xfId="0" applyNumberFormat="1" applyFont="1" applyFill="1"/>
    <xf numFmtId="3" fontId="19" fillId="7" borderId="0" xfId="0" applyNumberFormat="1" applyFont="1" applyFill="1"/>
    <xf numFmtId="3" fontId="49" fillId="7" borderId="0" xfId="0" applyNumberFormat="1" applyFont="1" applyFill="1"/>
    <xf numFmtId="3" fontId="15" fillId="4" borderId="0" xfId="0" applyNumberFormat="1" applyFont="1" applyFill="1"/>
    <xf numFmtId="3" fontId="40" fillId="0" borderId="0" xfId="0" applyNumberFormat="1" applyFont="1" applyAlignment="1">
      <alignment horizontal="center"/>
    </xf>
    <xf numFmtId="4" fontId="37" fillId="4" borderId="104" xfId="0" applyNumberFormat="1" applyFont="1" applyFill="1" applyBorder="1" applyAlignment="1" applyProtection="1">
      <alignment horizontal="right"/>
    </xf>
    <xf numFmtId="0" fontId="35" fillId="0" borderId="103" xfId="0" applyFont="1" applyBorder="1" applyAlignment="1" applyProtection="1">
      <alignment horizontal="center"/>
    </xf>
    <xf numFmtId="0" fontId="51" fillId="5" borderId="0" xfId="0" applyFont="1" applyFill="1" applyAlignment="1">
      <alignment horizontal="center"/>
    </xf>
    <xf numFmtId="4" fontId="38" fillId="0" borderId="104" xfId="0" applyNumberFormat="1" applyFont="1" applyBorder="1" applyAlignment="1" applyProtection="1">
      <alignment horizontal="right"/>
    </xf>
    <xf numFmtId="169" fontId="18" fillId="0" borderId="91" xfId="2" applyNumberFormat="1" applyFont="1" applyBorder="1" applyAlignment="1" applyProtection="1">
      <alignment horizontal="center"/>
      <protection locked="0"/>
    </xf>
    <xf numFmtId="3" fontId="19" fillId="0" borderId="0" xfId="0" applyNumberFormat="1" applyFont="1" applyFill="1"/>
    <xf numFmtId="3" fontId="49" fillId="0" borderId="0" xfId="0" applyNumberFormat="1" applyFont="1" applyFill="1"/>
    <xf numFmtId="0" fontId="50" fillId="0" borderId="0" xfId="0" applyFont="1" applyFill="1" applyAlignment="1">
      <alignment horizontal="center"/>
    </xf>
    <xf numFmtId="4" fontId="37" fillId="0" borderId="0" xfId="0" applyNumberFormat="1" applyFont="1" applyFill="1" applyBorder="1" applyAlignment="1" applyProtection="1">
      <alignment horizontal="center"/>
    </xf>
    <xf numFmtId="176" fontId="40" fillId="0" borderId="0" xfId="0" applyNumberFormat="1" applyFont="1"/>
    <xf numFmtId="3" fontId="40" fillId="4" borderId="0" xfId="0" applyNumberFormat="1" applyFont="1" applyFill="1" applyAlignment="1">
      <alignment horizontal="center"/>
    </xf>
    <xf numFmtId="164" fontId="40" fillId="4" borderId="0" xfId="0" applyNumberFormat="1" applyFont="1" applyFill="1"/>
    <xf numFmtId="164" fontId="40" fillId="7" borderId="0" xfId="0" applyNumberFormat="1" applyFont="1" applyFill="1"/>
    <xf numFmtId="174" fontId="50" fillId="5" borderId="0" xfId="0" applyNumberFormat="1" applyFont="1" applyFill="1" applyAlignment="1">
      <alignment horizontal="center"/>
    </xf>
    <xf numFmtId="164" fontId="0" fillId="0" borderId="0" xfId="0" applyNumberFormat="1" applyFill="1"/>
    <xf numFmtId="4" fontId="15" fillId="7" borderId="0" xfId="0" applyNumberFormat="1" applyFont="1" applyFill="1"/>
    <xf numFmtId="164" fontId="14" fillId="7" borderId="72" xfId="0" applyNumberFormat="1" applyFont="1" applyFill="1" applyBorder="1" applyAlignment="1" applyProtection="1">
      <alignment horizontal="right"/>
    </xf>
    <xf numFmtId="164" fontId="14" fillId="7" borderId="71" xfId="0" applyNumberFormat="1" applyFont="1" applyFill="1" applyBorder="1" applyAlignment="1" applyProtection="1">
      <alignment horizontal="right"/>
    </xf>
    <xf numFmtId="3" fontId="14" fillId="7" borderId="72" xfId="0" applyNumberFormat="1" applyFont="1" applyFill="1" applyBorder="1" applyProtection="1"/>
    <xf numFmtId="3" fontId="14" fillId="7" borderId="10" xfId="0" applyNumberFormat="1" applyFont="1" applyFill="1" applyBorder="1" applyProtection="1"/>
    <xf numFmtId="3" fontId="14" fillId="7" borderId="71" xfId="0" applyNumberFormat="1" applyFont="1" applyFill="1" applyBorder="1" applyProtection="1"/>
    <xf numFmtId="3" fontId="14" fillId="7" borderId="5" xfId="0" applyNumberFormat="1" applyFont="1" applyFill="1" applyBorder="1" applyProtection="1"/>
    <xf numFmtId="3" fontId="14" fillId="0" borderId="0" xfId="0" applyNumberFormat="1" applyFont="1" applyFill="1" applyProtection="1"/>
    <xf numFmtId="3" fontId="7" fillId="2" borderId="111" xfId="0" applyNumberFormat="1" applyFont="1" applyFill="1" applyBorder="1" applyProtection="1"/>
    <xf numFmtId="4" fontId="15" fillId="0" borderId="0" xfId="0" applyNumberFormat="1" applyFont="1" applyAlignment="1">
      <alignment horizontal="center"/>
    </xf>
    <xf numFmtId="164" fontId="18" fillId="0" borderId="92" xfId="2" applyNumberFormat="1" applyFont="1" applyBorder="1" applyProtection="1">
      <protection locked="0"/>
    </xf>
    <xf numFmtId="49" fontId="16" fillId="0" borderId="112" xfId="0" applyNumberFormat="1" applyFont="1" applyBorder="1" applyAlignment="1" applyProtection="1">
      <alignment horizontal="center"/>
      <protection locked="0"/>
    </xf>
    <xf numFmtId="0" fontId="37" fillId="0" borderId="10" xfId="0" applyFont="1" applyBorder="1" applyProtection="1">
      <protection locked="0"/>
    </xf>
    <xf numFmtId="0" fontId="37" fillId="0" borderId="10" xfId="0" applyFont="1" applyBorder="1" applyProtection="1"/>
    <xf numFmtId="164" fontId="7" fillId="0" borderId="57" xfId="0" applyNumberFormat="1" applyFont="1" applyFill="1" applyBorder="1" applyAlignment="1" applyProtection="1">
      <alignment horizontal="center"/>
    </xf>
    <xf numFmtId="164" fontId="10" fillId="0" borderId="57" xfId="0" applyNumberFormat="1" applyFont="1" applyFill="1" applyBorder="1" applyAlignment="1" applyProtection="1">
      <alignment horizontal="center"/>
    </xf>
    <xf numFmtId="164" fontId="7" fillId="0" borderId="113" xfId="0" applyNumberFormat="1" applyFont="1" applyFill="1" applyBorder="1" applyAlignment="1" applyProtection="1">
      <alignment horizontal="center"/>
    </xf>
    <xf numFmtId="169" fontId="15" fillId="0" borderId="0" xfId="0" applyNumberFormat="1" applyFont="1" applyAlignment="1">
      <alignment horizontal="center"/>
    </xf>
    <xf numFmtId="164" fontId="11" fillId="0" borderId="66" xfId="0" applyNumberFormat="1" applyFont="1" applyBorder="1" applyAlignment="1" applyProtection="1">
      <alignment horizontal="right"/>
    </xf>
    <xf numFmtId="164" fontId="56" fillId="0" borderId="44" xfId="0" applyNumberFormat="1" applyFont="1" applyBorder="1" applyAlignment="1" applyProtection="1">
      <alignment horizontal="right"/>
    </xf>
    <xf numFmtId="177" fontId="15" fillId="0" borderId="0" xfId="0" applyNumberFormat="1" applyFont="1"/>
    <xf numFmtId="168" fontId="44" fillId="0" borderId="0" xfId="0" applyNumberFormat="1" applyFont="1" applyFill="1" applyAlignment="1">
      <alignment horizontal="center"/>
    </xf>
    <xf numFmtId="168" fontId="35" fillId="0" borderId="0" xfId="0" applyNumberFormat="1" applyFont="1" applyFill="1" applyBorder="1" applyAlignment="1" applyProtection="1">
      <alignment horizontal="center"/>
    </xf>
    <xf numFmtId="168" fontId="36" fillId="0" borderId="0" xfId="0" applyNumberFormat="1" applyFont="1" applyFill="1" applyBorder="1" applyAlignment="1" applyProtection="1">
      <alignment horizontal="center"/>
    </xf>
    <xf numFmtId="168" fontId="0" fillId="0" borderId="0" xfId="0" applyNumberFormat="1" applyFill="1"/>
    <xf numFmtId="17" fontId="0" fillId="0" borderId="0" xfId="0" applyNumberFormat="1"/>
    <xf numFmtId="4" fontId="37" fillId="0" borderId="116" xfId="0" applyNumberFormat="1" applyFont="1" applyBorder="1" applyAlignment="1" applyProtection="1">
      <alignment horizontal="right"/>
    </xf>
    <xf numFmtId="10" fontId="15" fillId="0" borderId="0" xfId="4" applyNumberFormat="1" applyFont="1"/>
    <xf numFmtId="174" fontId="0" fillId="0" borderId="0" xfId="0" applyNumberFormat="1"/>
    <xf numFmtId="4" fontId="35" fillId="0" borderId="99" xfId="0" applyNumberFormat="1" applyFont="1" applyBorder="1" applyAlignment="1" applyProtection="1">
      <alignment horizontal="center"/>
    </xf>
    <xf numFmtId="3" fontId="15" fillId="0" borderId="0" xfId="2" applyNumberFormat="1" applyFont="1"/>
    <xf numFmtId="169" fontId="15" fillId="0" borderId="0" xfId="2" applyNumberFormat="1" applyFont="1"/>
    <xf numFmtId="49" fontId="16" fillId="0" borderId="83" xfId="2" applyNumberFormat="1" applyFont="1" applyBorder="1" applyAlignment="1" applyProtection="1">
      <alignment horizontal="center"/>
      <protection locked="0"/>
    </xf>
    <xf numFmtId="0" fontId="30" fillId="0" borderId="0" xfId="0" applyFont="1"/>
    <xf numFmtId="4" fontId="41" fillId="0" borderId="104" xfId="0" applyNumberFormat="1" applyFont="1" applyBorder="1" applyAlignment="1" applyProtection="1">
      <alignment horizontal="right"/>
    </xf>
    <xf numFmtId="3" fontId="15" fillId="6" borderId="0" xfId="0" applyNumberFormat="1" applyFont="1" applyFill="1"/>
    <xf numFmtId="0" fontId="3" fillId="0" borderId="0" xfId="0" applyFont="1" applyBorder="1" applyProtection="1"/>
    <xf numFmtId="0" fontId="3" fillId="4" borderId="118" xfId="0" applyFont="1" applyFill="1" applyBorder="1" applyProtection="1"/>
    <xf numFmtId="0" fontId="3" fillId="4" borderId="115" xfId="0" applyFont="1" applyFill="1" applyBorder="1" applyProtection="1"/>
    <xf numFmtId="0" fontId="3" fillId="4" borderId="9" xfId="0" applyFont="1" applyFill="1" applyBorder="1" applyProtection="1"/>
    <xf numFmtId="0" fontId="3" fillId="4" borderId="10" xfId="0" applyFont="1" applyFill="1" applyBorder="1" applyProtection="1"/>
    <xf numFmtId="3" fontId="58" fillId="0" borderId="120" xfId="0" applyNumberFormat="1" applyFont="1" applyBorder="1" applyProtection="1">
      <protection locked="0"/>
    </xf>
    <xf numFmtId="3" fontId="58" fillId="0" borderId="102" xfId="0" applyNumberFormat="1" applyFont="1" applyBorder="1" applyProtection="1">
      <protection locked="0"/>
    </xf>
    <xf numFmtId="3" fontId="59" fillId="0" borderId="102" xfId="0" applyNumberFormat="1" applyFont="1" applyBorder="1" applyProtection="1">
      <protection locked="0"/>
    </xf>
    <xf numFmtId="3" fontId="59" fillId="2" borderId="102" xfId="0" applyNumberFormat="1" applyFont="1" applyFill="1" applyBorder="1" applyProtection="1">
      <protection locked="0"/>
    </xf>
    <xf numFmtId="166" fontId="19" fillId="0" borderId="0" xfId="2" applyNumberFormat="1" applyFont="1" applyAlignment="1">
      <alignment horizontal="center"/>
    </xf>
    <xf numFmtId="0" fontId="37" fillId="0" borderId="0" xfId="0" applyFont="1" applyAlignment="1" applyProtection="1"/>
    <xf numFmtId="10" fontId="7" fillId="0" borderId="0" xfId="0" applyNumberFormat="1" applyFont="1" applyAlignment="1" applyProtection="1"/>
    <xf numFmtId="173" fontId="0" fillId="0" borderId="0" xfId="0" applyNumberFormat="1" applyProtection="1"/>
    <xf numFmtId="4" fontId="41" fillId="0" borderId="101" xfId="0" applyNumberFormat="1" applyFont="1" applyBorder="1" applyAlignment="1" applyProtection="1">
      <alignment horizontal="right"/>
    </xf>
    <xf numFmtId="167" fontId="0" fillId="0" borderId="0" xfId="0" applyNumberFormat="1"/>
    <xf numFmtId="3" fontId="37" fillId="0" borderId="120" xfId="0" applyNumberFormat="1" applyFont="1" applyBorder="1" applyProtection="1">
      <protection locked="0"/>
    </xf>
    <xf numFmtId="3" fontId="16" fillId="2" borderId="109" xfId="2" applyNumberFormat="1" applyFont="1" applyFill="1" applyBorder="1" applyProtection="1">
      <protection locked="0"/>
    </xf>
    <xf numFmtId="3" fontId="0" fillId="0" borderId="0" xfId="0" applyNumberFormat="1" applyFill="1"/>
    <xf numFmtId="3" fontId="7" fillId="0" borderId="55" xfId="0" applyNumberFormat="1" applyFont="1" applyBorder="1" applyProtection="1"/>
    <xf numFmtId="3" fontId="7" fillId="0" borderId="115" xfId="0" applyNumberFormat="1" applyFont="1" applyBorder="1" applyProtection="1"/>
    <xf numFmtId="3" fontId="15" fillId="0" borderId="0" xfId="2" applyNumberFormat="1" applyFont="1" applyFill="1"/>
    <xf numFmtId="169" fontId="15" fillId="0" borderId="0" xfId="2" applyNumberFormat="1" applyFont="1" applyFill="1"/>
    <xf numFmtId="169" fontId="0" fillId="0" borderId="0" xfId="0" applyNumberFormat="1" applyFill="1"/>
    <xf numFmtId="166" fontId="15" fillId="0" borderId="0" xfId="2" applyNumberFormat="1" applyFont="1"/>
    <xf numFmtId="0" fontId="26" fillId="0" borderId="0" xfId="3"/>
    <xf numFmtId="4" fontId="26" fillId="0" borderId="0" xfId="3" applyNumberFormat="1"/>
    <xf numFmtId="4" fontId="26" fillId="4" borderId="0" xfId="3" applyNumberFormat="1" applyFill="1"/>
    <xf numFmtId="0" fontId="26" fillId="0" borderId="123" xfId="3" applyBorder="1"/>
    <xf numFmtId="43" fontId="61" fillId="0" borderId="0" xfId="1" applyNumberFormat="1" applyFont="1"/>
    <xf numFmtId="43" fontId="55" fillId="0" borderId="124" xfId="1" applyNumberFormat="1" applyFont="1" applyBorder="1" applyAlignment="1">
      <alignment horizontal="center"/>
    </xf>
    <xf numFmtId="43" fontId="55" fillId="0" borderId="125" xfId="1" applyNumberFormat="1" applyFont="1" applyBorder="1" applyAlignment="1">
      <alignment horizontal="center"/>
    </xf>
    <xf numFmtId="43" fontId="11" fillId="0" borderId="126" xfId="1" applyNumberFormat="1" applyFont="1" applyBorder="1"/>
    <xf numFmtId="43" fontId="11" fillId="0" borderId="126" xfId="1" applyNumberFormat="1" applyFont="1" applyBorder="1" applyAlignment="1">
      <alignment horizontal="left"/>
    </xf>
    <xf numFmtId="43" fontId="11" fillId="0" borderId="126" xfId="1" quotePrefix="1" applyNumberFormat="1" applyFont="1" applyBorder="1" applyAlignment="1">
      <alignment horizontal="left"/>
    </xf>
    <xf numFmtId="43" fontId="57" fillId="0" borderId="126" xfId="1" quotePrefix="1" applyNumberFormat="1" applyFont="1" applyBorder="1" applyAlignment="1">
      <alignment horizontal="left"/>
    </xf>
    <xf numFmtId="43" fontId="57" fillId="0" borderId="126" xfId="1" applyNumberFormat="1" applyFont="1" applyBorder="1"/>
    <xf numFmtId="43" fontId="14" fillId="0" borderId="126" xfId="1" quotePrefix="1" applyNumberFormat="1" applyFont="1" applyBorder="1" applyAlignment="1">
      <alignment horizontal="left"/>
    </xf>
    <xf numFmtId="43" fontId="64" fillId="0" borderId="114" xfId="1" applyNumberFormat="1" applyFont="1" applyBorder="1" applyAlignment="1">
      <alignment horizontal="left"/>
    </xf>
    <xf numFmtId="43" fontId="9" fillId="0" borderId="126" xfId="1" applyNumberFormat="1" applyFont="1" applyBorder="1"/>
    <xf numFmtId="43" fontId="9" fillId="0" borderId="0" xfId="1" applyNumberFormat="1" applyFont="1" applyBorder="1"/>
    <xf numFmtId="43" fontId="14" fillId="0" borderId="126" xfId="1" applyNumberFormat="1" applyFont="1" applyBorder="1"/>
    <xf numFmtId="43" fontId="9" fillId="0" borderId="127" xfId="1" applyNumberFormat="1" applyFont="1" applyBorder="1"/>
    <xf numFmtId="4" fontId="7" fillId="0" borderId="0" xfId="1" applyNumberFormat="1" applyFont="1"/>
    <xf numFmtId="0" fontId="26" fillId="0" borderId="0" xfId="3" applyBorder="1"/>
    <xf numFmtId="4" fontId="63" fillId="7" borderId="126" xfId="1" applyNumberFormat="1" applyFont="1" applyFill="1" applyBorder="1"/>
    <xf numFmtId="0" fontId="26" fillId="0" borderId="0" xfId="3" applyFont="1"/>
    <xf numFmtId="0" fontId="65" fillId="10" borderId="0" xfId="3" applyFont="1" applyFill="1"/>
    <xf numFmtId="0" fontId="26" fillId="4" borderId="0" xfId="3" applyFill="1"/>
    <xf numFmtId="4" fontId="26" fillId="4" borderId="123" xfId="3" applyNumberFormat="1" applyFill="1" applyBorder="1"/>
    <xf numFmtId="0" fontId="26" fillId="0" borderId="0" xfId="3" applyFont="1" applyAlignment="1">
      <alignment horizontal="center"/>
    </xf>
    <xf numFmtId="0" fontId="65" fillId="11" borderId="0" xfId="3" applyFont="1" applyFill="1"/>
    <xf numFmtId="4" fontId="26" fillId="3" borderId="0" xfId="3" applyNumberFormat="1" applyFill="1"/>
    <xf numFmtId="0" fontId="0" fillId="0" borderId="18" xfId="0" applyBorder="1"/>
    <xf numFmtId="3" fontId="37" fillId="0" borderId="18" xfId="0" applyNumberFormat="1" applyFont="1" applyFill="1" applyBorder="1" applyProtection="1">
      <protection locked="0"/>
    </xf>
    <xf numFmtId="3" fontId="37" fillId="0" borderId="17" xfId="0" applyNumberFormat="1" applyFont="1" applyFill="1" applyBorder="1" applyProtection="1">
      <protection locked="0"/>
    </xf>
    <xf numFmtId="3" fontId="37" fillId="0" borderId="10" xfId="0" applyNumberFormat="1" applyFont="1" applyFill="1" applyBorder="1" applyProtection="1">
      <protection locked="0"/>
    </xf>
    <xf numFmtId="3" fontId="37" fillId="0" borderId="128" xfId="0" applyNumberFormat="1" applyFont="1" applyFill="1" applyBorder="1" applyProtection="1">
      <protection locked="0"/>
    </xf>
    <xf numFmtId="3" fontId="37" fillId="0" borderId="115" xfId="0" applyNumberFormat="1" applyFont="1" applyFill="1" applyBorder="1" applyProtection="1">
      <protection locked="0"/>
    </xf>
    <xf numFmtId="3" fontId="37" fillId="0" borderId="129" xfId="0" applyNumberFormat="1" applyFont="1" applyFill="1" applyBorder="1" applyProtection="1">
      <protection locked="0"/>
    </xf>
    <xf numFmtId="3" fontId="45" fillId="11" borderId="130" xfId="0" applyNumberFormat="1" applyFont="1" applyFill="1" applyBorder="1" applyProtection="1">
      <protection locked="0"/>
    </xf>
    <xf numFmtId="3" fontId="66" fillId="11" borderId="67" xfId="0" applyNumberFormat="1" applyFont="1" applyFill="1" applyBorder="1" applyProtection="1">
      <protection locked="0"/>
    </xf>
    <xf numFmtId="3" fontId="66" fillId="11" borderId="78" xfId="0" applyNumberFormat="1" applyFont="1" applyFill="1" applyBorder="1" applyProtection="1">
      <protection locked="0"/>
    </xf>
    <xf numFmtId="3" fontId="45" fillId="11" borderId="54" xfId="0" applyNumberFormat="1" applyFont="1" applyFill="1" applyBorder="1" applyAlignment="1" applyProtection="1">
      <alignment horizontal="center"/>
      <protection locked="0"/>
    </xf>
    <xf numFmtId="3" fontId="37" fillId="0" borderId="5" xfId="0" applyNumberFormat="1" applyFont="1" applyBorder="1" applyProtection="1">
      <protection locked="0"/>
    </xf>
    <xf numFmtId="3" fontId="37" fillId="0" borderId="18" xfId="0" applyNumberFormat="1" applyFont="1" applyBorder="1" applyProtection="1">
      <protection locked="0"/>
    </xf>
    <xf numFmtId="3" fontId="37" fillId="0" borderId="51" xfId="0" applyNumberFormat="1" applyFont="1" applyBorder="1" applyProtection="1">
      <protection locked="0"/>
    </xf>
    <xf numFmtId="0" fontId="37" fillId="0" borderId="17" xfId="0" applyFont="1" applyBorder="1" applyProtection="1"/>
    <xf numFmtId="38" fontId="37" fillId="0" borderId="29" xfId="0" applyNumberFormat="1" applyFont="1" applyFill="1" applyBorder="1" applyAlignment="1" applyProtection="1">
      <alignment horizontal="right"/>
      <protection locked="0"/>
    </xf>
    <xf numFmtId="164" fontId="7" fillId="0" borderId="131" xfId="0" applyNumberFormat="1" applyFont="1" applyFill="1" applyBorder="1" applyAlignment="1" applyProtection="1">
      <alignment horizontal="center"/>
    </xf>
    <xf numFmtId="4" fontId="7" fillId="0" borderId="131" xfId="0" applyNumberFormat="1" applyFont="1" applyFill="1" applyBorder="1" applyAlignment="1" applyProtection="1">
      <alignment horizontal="center"/>
    </xf>
    <xf numFmtId="3" fontId="10" fillId="0" borderId="132" xfId="0" applyNumberFormat="1" applyFont="1" applyBorder="1" applyAlignment="1" applyProtection="1">
      <alignment horizontal="center"/>
    </xf>
    <xf numFmtId="3" fontId="10" fillId="0" borderId="133" xfId="0" applyNumberFormat="1" applyFont="1" applyBorder="1" applyAlignment="1" applyProtection="1">
      <alignment horizontal="center"/>
    </xf>
    <xf numFmtId="3" fontId="7" fillId="0" borderId="111" xfId="0" applyNumberFormat="1" applyFont="1" applyBorder="1" applyProtection="1"/>
    <xf numFmtId="3" fontId="7" fillId="0" borderId="134" xfId="0" applyNumberFormat="1" applyFont="1" applyBorder="1" applyProtection="1"/>
    <xf numFmtId="3" fontId="8" fillId="0" borderId="111" xfId="0" applyNumberFormat="1" applyFont="1" applyBorder="1" applyProtection="1"/>
    <xf numFmtId="3" fontId="10" fillId="2" borderId="111" xfId="0" applyNumberFormat="1" applyFont="1" applyFill="1" applyBorder="1" applyAlignment="1" applyProtection="1">
      <alignment horizontal="center"/>
    </xf>
    <xf numFmtId="164" fontId="10" fillId="0" borderId="0" xfId="0" applyNumberFormat="1" applyFont="1" applyFill="1" applyBorder="1" applyAlignment="1" applyProtection="1">
      <alignment horizontal="center"/>
    </xf>
    <xf numFmtId="4" fontId="10" fillId="0" borderId="133" xfId="0" applyNumberFormat="1" applyFont="1" applyBorder="1" applyAlignment="1" applyProtection="1">
      <alignment horizontal="center"/>
    </xf>
    <xf numFmtId="4" fontId="7" fillId="0" borderId="111" xfId="0" applyNumberFormat="1" applyFont="1" applyBorder="1" applyProtection="1"/>
    <xf numFmtId="164" fontId="7" fillId="2" borderId="111" xfId="0" applyNumberFormat="1" applyFont="1" applyFill="1" applyBorder="1" applyProtection="1"/>
    <xf numFmtId="164" fontId="10" fillId="2" borderId="133" xfId="0" applyNumberFormat="1" applyFont="1" applyFill="1" applyBorder="1" applyAlignment="1" applyProtection="1">
      <alignment horizontal="center"/>
    </xf>
    <xf numFmtId="164" fontId="7" fillId="0" borderId="10" xfId="0" applyNumberFormat="1" applyFont="1" applyBorder="1" applyAlignment="1" applyProtection="1">
      <alignment horizontal="right"/>
    </xf>
    <xf numFmtId="164" fontId="7" fillId="0" borderId="44" xfId="0" applyNumberFormat="1" applyFont="1" applyFill="1" applyBorder="1" applyAlignment="1" applyProtection="1">
      <alignment horizontal="right"/>
    </xf>
    <xf numFmtId="0" fontId="10" fillId="0" borderId="74" xfId="0" applyFont="1" applyBorder="1" applyAlignment="1" applyProtection="1">
      <alignment horizontal="center"/>
    </xf>
    <xf numFmtId="0" fontId="10" fillId="0" borderId="63" xfId="0" applyFont="1" applyBorder="1" applyProtection="1"/>
    <xf numFmtId="164" fontId="7" fillId="0" borderId="135" xfId="0" applyNumberFormat="1" applyFont="1" applyBorder="1" applyAlignment="1" applyProtection="1">
      <alignment horizontal="right"/>
    </xf>
    <xf numFmtId="164" fontId="47" fillId="0" borderId="72" xfId="0" applyNumberFormat="1" applyFont="1" applyBorder="1" applyAlignment="1" applyProtection="1">
      <alignment horizontal="right"/>
    </xf>
    <xf numFmtId="164" fontId="7" fillId="0" borderId="136" xfId="0" applyNumberFormat="1" applyFont="1" applyBorder="1" applyAlignment="1" applyProtection="1">
      <alignment horizontal="right"/>
    </xf>
    <xf numFmtId="4" fontId="7" fillId="2" borderId="72" xfId="0" applyNumberFormat="1" applyFont="1" applyFill="1" applyBorder="1" applyAlignment="1" applyProtection="1">
      <alignment horizontal="right"/>
    </xf>
    <xf numFmtId="4" fontId="7" fillId="0" borderId="10" xfId="0" applyNumberFormat="1" applyFont="1" applyBorder="1" applyAlignment="1" applyProtection="1">
      <alignment horizontal="right"/>
    </xf>
    <xf numFmtId="3" fontId="10" fillId="2" borderId="18" xfId="0" applyNumberFormat="1" applyFont="1" applyFill="1" applyBorder="1" applyAlignment="1" applyProtection="1">
      <alignment horizontal="right"/>
    </xf>
    <xf numFmtId="0" fontId="16" fillId="0" borderId="0" xfId="0" applyFont="1" applyProtection="1"/>
    <xf numFmtId="17" fontId="16" fillId="0" borderId="0" xfId="0" applyNumberFormat="1" applyFont="1" applyAlignment="1" applyProtection="1">
      <alignment horizontal="center"/>
    </xf>
    <xf numFmtId="3" fontId="16" fillId="0" borderId="0" xfId="0" applyNumberFormat="1" applyFont="1" applyProtection="1"/>
    <xf numFmtId="0" fontId="16" fillId="0" borderId="12" xfId="0" applyFont="1" applyBorder="1" applyProtection="1"/>
    <xf numFmtId="0" fontId="15" fillId="0" borderId="74" xfId="0" applyFont="1" applyBorder="1" applyProtection="1"/>
    <xf numFmtId="0" fontId="16" fillId="0" borderId="79" xfId="0" applyFont="1" applyBorder="1" applyAlignment="1" applyProtection="1">
      <alignment horizontal="centerContinuous"/>
    </xf>
    <xf numFmtId="0" fontId="16" fillId="0" borderId="74" xfId="0" applyFont="1" applyBorder="1" applyAlignment="1" applyProtection="1">
      <alignment horizontal="centerContinuous"/>
    </xf>
    <xf numFmtId="4" fontId="16" fillId="0" borderId="74" xfId="0" applyNumberFormat="1" applyFont="1" applyBorder="1" applyAlignment="1" applyProtection="1">
      <alignment horizontal="center"/>
    </xf>
    <xf numFmtId="0" fontId="16" fillId="0" borderId="29" xfId="0" applyFont="1" applyBorder="1" applyAlignment="1" applyProtection="1">
      <alignment horizontal="centerContinuous"/>
    </xf>
    <xf numFmtId="0" fontId="16" fillId="0" borderId="138" xfId="0" applyFont="1" applyBorder="1" applyAlignment="1" applyProtection="1">
      <alignment horizontal="centerContinuous"/>
    </xf>
    <xf numFmtId="0" fontId="15" fillId="0" borderId="63" xfId="0" applyFont="1" applyBorder="1" applyProtection="1"/>
    <xf numFmtId="0" fontId="16" fillId="0" borderId="139" xfId="0" applyFont="1" applyBorder="1" applyAlignment="1" applyProtection="1">
      <alignment horizontal="center"/>
    </xf>
    <xf numFmtId="0" fontId="16" fillId="0" borderId="3" xfId="0" applyFont="1" applyBorder="1" applyAlignment="1" applyProtection="1">
      <alignment horizontal="center"/>
    </xf>
    <xf numFmtId="0" fontId="15" fillId="0" borderId="140" xfId="0" applyFont="1" applyBorder="1" applyProtection="1"/>
    <xf numFmtId="0" fontId="15" fillId="0" borderId="0" xfId="0" applyFont="1" applyBorder="1" applyProtection="1"/>
    <xf numFmtId="0" fontId="15" fillId="12" borderId="140" xfId="0" applyFont="1" applyFill="1" applyBorder="1" applyProtection="1"/>
    <xf numFmtId="0" fontId="16" fillId="2" borderId="140" xfId="0" applyFont="1" applyFill="1" applyBorder="1" applyProtection="1"/>
    <xf numFmtId="0" fontId="15" fillId="2" borderId="0" xfId="0" applyFont="1" applyFill="1" applyBorder="1" applyProtection="1"/>
    <xf numFmtId="0" fontId="16" fillId="2" borderId="141" xfId="0" applyFont="1" applyFill="1" applyBorder="1" applyProtection="1"/>
    <xf numFmtId="0" fontId="15" fillId="2" borderId="42" xfId="0" applyFont="1" applyFill="1" applyBorder="1" applyProtection="1"/>
    <xf numFmtId="0" fontId="15" fillId="0" borderId="17" xfId="0" applyFont="1" applyBorder="1" applyProtection="1"/>
    <xf numFmtId="0" fontId="15" fillId="0" borderId="10" xfId="0" applyFont="1" applyBorder="1" applyProtection="1"/>
    <xf numFmtId="0" fontId="15" fillId="0" borderId="141" xfId="0" applyFont="1" applyBorder="1" applyProtection="1"/>
    <xf numFmtId="0" fontId="15" fillId="0" borderId="42" xfId="0" applyFont="1" applyBorder="1" applyProtection="1"/>
    <xf numFmtId="0" fontId="16" fillId="2" borderId="139" xfId="0" applyFont="1" applyFill="1" applyBorder="1" applyProtection="1"/>
    <xf numFmtId="0" fontId="15" fillId="2" borderId="15" xfId="0" applyFont="1" applyFill="1" applyBorder="1" applyProtection="1"/>
    <xf numFmtId="0" fontId="16" fillId="2" borderId="142" xfId="0" applyFont="1" applyFill="1" applyBorder="1" applyProtection="1"/>
    <xf numFmtId="0" fontId="15" fillId="2" borderId="29" xfId="0" applyFont="1" applyFill="1" applyBorder="1" applyProtection="1"/>
    <xf numFmtId="4" fontId="37" fillId="0" borderId="5" xfId="0" applyNumberFormat="1" applyFont="1" applyBorder="1" applyProtection="1">
      <protection locked="0"/>
    </xf>
    <xf numFmtId="164" fontId="42" fillId="0" borderId="0" xfId="0" applyNumberFormat="1" applyFont="1"/>
    <xf numFmtId="3" fontId="15" fillId="0" borderId="95" xfId="2" applyNumberFormat="1" applyFont="1" applyFill="1" applyBorder="1" applyProtection="1">
      <protection locked="0"/>
    </xf>
    <xf numFmtId="4" fontId="67" fillId="0" borderId="101" xfId="0" applyNumberFormat="1" applyFont="1" applyBorder="1" applyAlignment="1" applyProtection="1">
      <alignment horizontal="right"/>
    </xf>
    <xf numFmtId="0" fontId="34" fillId="7" borderId="0" xfId="0" applyFont="1" applyFill="1" applyAlignment="1">
      <alignment horizontal="center"/>
    </xf>
    <xf numFmtId="4" fontId="60" fillId="0" borderId="0" xfId="0" applyNumberFormat="1" applyFont="1"/>
    <xf numFmtId="164" fontId="68" fillId="0" borderId="110" xfId="0" applyNumberFormat="1" applyFont="1" applyFill="1" applyBorder="1" applyAlignment="1" applyProtection="1">
      <alignment horizontal="center"/>
    </xf>
    <xf numFmtId="4" fontId="37" fillId="0" borderId="5" xfId="0" applyNumberFormat="1" applyFont="1" applyBorder="1" applyAlignment="1" applyProtection="1">
      <alignment horizontal="right"/>
      <protection locked="0"/>
    </xf>
    <xf numFmtId="0" fontId="42" fillId="0" borderId="0" xfId="0" applyFont="1"/>
    <xf numFmtId="0" fontId="60" fillId="0" borderId="0" xfId="0" applyFont="1"/>
    <xf numFmtId="3" fontId="45" fillId="11" borderId="145" xfId="0" applyNumberFormat="1" applyFont="1" applyFill="1" applyBorder="1" applyAlignment="1" applyProtection="1">
      <alignment horizontal="center"/>
      <protection locked="0"/>
    </xf>
    <xf numFmtId="3" fontId="45" fillId="11" borderId="130" xfId="0" applyNumberFormat="1" applyFont="1" applyFill="1" applyBorder="1" applyAlignment="1" applyProtection="1">
      <alignment horizontal="center"/>
      <protection locked="0"/>
    </xf>
    <xf numFmtId="3" fontId="45" fillId="11" borderId="78" xfId="0" applyNumberFormat="1" applyFont="1" applyFill="1" applyBorder="1" applyAlignment="1" applyProtection="1">
      <alignment horizontal="center"/>
      <protection locked="0"/>
    </xf>
    <xf numFmtId="0" fontId="42" fillId="0" borderId="17" xfId="0" applyFont="1" applyBorder="1"/>
    <xf numFmtId="164" fontId="71" fillId="0" borderId="117" xfId="2" applyNumberFormat="1" applyFont="1" applyBorder="1" applyProtection="1">
      <protection locked="0"/>
    </xf>
    <xf numFmtId="164" fontId="71" fillId="0" borderId="91" xfId="2" applyNumberFormat="1" applyFont="1" applyBorder="1" applyProtection="1">
      <protection locked="0"/>
    </xf>
    <xf numFmtId="4" fontId="58" fillId="0" borderId="101" xfId="0" applyNumberFormat="1" applyFont="1" applyBorder="1" applyAlignment="1" applyProtection="1">
      <alignment horizontal="right"/>
    </xf>
    <xf numFmtId="4" fontId="37" fillId="0" borderId="101" xfId="0" applyNumberFormat="1" applyFont="1" applyFill="1" applyBorder="1" applyAlignment="1" applyProtection="1">
      <alignment horizontal="right"/>
    </xf>
    <xf numFmtId="0" fontId="42" fillId="0" borderId="0" xfId="0" applyFont="1" applyFill="1" applyBorder="1"/>
    <xf numFmtId="0" fontId="15" fillId="12" borderId="0" xfId="0" applyFont="1" applyFill="1" applyBorder="1" applyProtection="1"/>
    <xf numFmtId="4" fontId="18" fillId="3" borderId="0" xfId="3" applyNumberFormat="1" applyFont="1" applyFill="1"/>
    <xf numFmtId="0" fontId="75" fillId="0" borderId="17" xfId="0" applyFont="1" applyBorder="1"/>
    <xf numFmtId="0" fontId="76" fillId="0" borderId="18" xfId="0" applyFont="1" applyBorder="1"/>
    <xf numFmtId="164" fontId="37" fillId="0" borderId="5" xfId="0" applyNumberFormat="1" applyFont="1" applyBorder="1" applyAlignment="1" applyProtection="1">
      <alignment horizontal="right"/>
    </xf>
    <xf numFmtId="4" fontId="78" fillId="3" borderId="0" xfId="3" applyNumberFormat="1" applyFont="1" applyFill="1"/>
    <xf numFmtId="4" fontId="78" fillId="4" borderId="0" xfId="3" applyNumberFormat="1" applyFont="1" applyFill="1"/>
    <xf numFmtId="0" fontId="79" fillId="0" borderId="0" xfId="0" applyFont="1"/>
    <xf numFmtId="3" fontId="79" fillId="0" borderId="90" xfId="2" applyNumberFormat="1" applyFont="1" applyBorder="1" applyProtection="1">
      <protection locked="0"/>
    </xf>
    <xf numFmtId="164" fontId="79" fillId="0" borderId="91" xfId="2" applyNumberFormat="1" applyFont="1" applyBorder="1" applyProtection="1">
      <protection locked="0"/>
    </xf>
    <xf numFmtId="3" fontId="15" fillId="0" borderId="95" xfId="2" applyNumberFormat="1" applyFont="1" applyBorder="1" applyProtection="1">
      <protection locked="0"/>
    </xf>
    <xf numFmtId="169" fontId="18" fillId="0" borderId="91" xfId="2" applyNumberFormat="1" applyFont="1" applyFill="1" applyBorder="1" applyAlignment="1" applyProtection="1">
      <alignment horizontal="center"/>
      <protection locked="0"/>
    </xf>
    <xf numFmtId="4" fontId="18" fillId="4" borderId="0" xfId="3" applyNumberFormat="1" applyFont="1" applyFill="1"/>
    <xf numFmtId="43" fontId="64" fillId="0" borderId="51" xfId="1" applyNumberFormat="1" applyFont="1" applyBorder="1" applyAlignment="1">
      <alignment horizontal="left"/>
    </xf>
    <xf numFmtId="43" fontId="62" fillId="0" borderId="147" xfId="1" applyNumberFormat="1" applyFont="1" applyBorder="1"/>
    <xf numFmtId="43" fontId="55" fillId="0" borderId="148" xfId="1" applyNumberFormat="1" applyFont="1" applyBorder="1" applyAlignment="1">
      <alignment horizontal="centerContinuous"/>
    </xf>
    <xf numFmtId="43" fontId="62" fillId="0" borderId="149" xfId="1" applyNumberFormat="1" applyFont="1" applyBorder="1" applyAlignment="1">
      <alignment horizontal="centerContinuous"/>
    </xf>
    <xf numFmtId="4" fontId="80" fillId="4" borderId="0" xfId="3" applyNumberFormat="1" applyFont="1" applyFill="1"/>
    <xf numFmtId="0" fontId="81" fillId="0" borderId="0" xfId="0" applyFont="1" applyFill="1" applyBorder="1"/>
    <xf numFmtId="4" fontId="15" fillId="0" borderId="0" xfId="0" applyNumberFormat="1" applyFont="1"/>
    <xf numFmtId="43" fontId="57" fillId="0" borderId="126" xfId="1" applyNumberFormat="1" applyFont="1" applyBorder="1" applyAlignment="1">
      <alignment horizontal="left"/>
    </xf>
    <xf numFmtId="4" fontId="26" fillId="0" borderId="0" xfId="3" applyNumberFormat="1" applyFill="1"/>
    <xf numFmtId="3" fontId="37" fillId="0" borderId="102" xfId="0" applyNumberFormat="1" applyFont="1" applyFill="1" applyBorder="1" applyProtection="1">
      <protection locked="0"/>
    </xf>
    <xf numFmtId="3" fontId="59" fillId="13" borderId="102" xfId="0" applyNumberFormat="1" applyFont="1" applyFill="1" applyBorder="1" applyProtection="1">
      <protection locked="0"/>
    </xf>
    <xf numFmtId="3" fontId="37" fillId="13" borderId="103" xfId="0" applyNumberFormat="1" applyFont="1" applyFill="1" applyBorder="1" applyProtection="1">
      <protection locked="0"/>
    </xf>
    <xf numFmtId="3" fontId="39" fillId="13" borderId="103" xfId="0" applyNumberFormat="1" applyFont="1" applyFill="1" applyBorder="1" applyProtection="1">
      <protection locked="0"/>
    </xf>
    <xf numFmtId="164" fontId="37" fillId="0" borderId="0" xfId="0" applyNumberFormat="1" applyFont="1" applyFill="1" applyBorder="1" applyAlignment="1" applyProtection="1">
      <alignment horizontal="right"/>
    </xf>
    <xf numFmtId="4" fontId="41" fillId="0" borderId="101" xfId="0" applyNumberFormat="1" applyFont="1" applyFill="1" applyBorder="1" applyAlignment="1" applyProtection="1">
      <alignment horizontal="right"/>
    </xf>
    <xf numFmtId="4" fontId="26" fillId="4" borderId="0" xfId="3" applyNumberFormat="1" applyFill="1" applyBorder="1"/>
    <xf numFmtId="0" fontId="26" fillId="0" borderId="123" xfId="3" applyFont="1" applyBorder="1"/>
    <xf numFmtId="0" fontId="84" fillId="0" borderId="0" xfId="0" applyFont="1" applyAlignment="1">
      <alignment horizontal="center"/>
    </xf>
    <xf numFmtId="4" fontId="7" fillId="0" borderId="150" xfId="0" applyNumberFormat="1" applyFont="1" applyFill="1" applyBorder="1" applyAlignment="1" applyProtection="1">
      <alignment horizontal="right"/>
    </xf>
    <xf numFmtId="164" fontId="7" fillId="0" borderId="57" xfId="0" applyNumberFormat="1" applyFont="1" applyFill="1" applyBorder="1" applyAlignment="1" applyProtection="1">
      <alignment horizontal="right"/>
    </xf>
    <xf numFmtId="164" fontId="7" fillId="0" borderId="113" xfId="0" applyNumberFormat="1" applyFont="1" applyFill="1" applyBorder="1" applyAlignment="1" applyProtection="1">
      <alignment horizontal="right"/>
    </xf>
    <xf numFmtId="3" fontId="7" fillId="0" borderId="57" xfId="0" applyNumberFormat="1" applyFont="1" applyFill="1" applyBorder="1" applyProtection="1"/>
    <xf numFmtId="3" fontId="7" fillId="0" borderId="151" xfId="0" applyNumberFormat="1" applyFont="1" applyBorder="1" applyProtection="1"/>
    <xf numFmtId="0" fontId="26" fillId="0" borderId="126" xfId="3" applyFont="1" applyBorder="1"/>
    <xf numFmtId="169" fontId="74" fillId="0" borderId="0" xfId="0" applyNumberFormat="1" applyFont="1" applyFill="1" applyBorder="1" applyAlignment="1" applyProtection="1">
      <alignment horizontal="right"/>
    </xf>
    <xf numFmtId="169" fontId="15" fillId="0" borderId="0" xfId="0" applyNumberFormat="1" applyFont="1"/>
    <xf numFmtId="3" fontId="16" fillId="0" borderId="0" xfId="2" applyNumberFormat="1" applyFont="1"/>
    <xf numFmtId="3" fontId="7" fillId="0" borderId="10" xfId="0" applyNumberFormat="1" applyFont="1" applyFill="1" applyBorder="1" applyProtection="1"/>
    <xf numFmtId="3" fontId="7" fillId="0" borderId="111" xfId="0" applyNumberFormat="1" applyFont="1" applyFill="1" applyBorder="1" applyProtection="1"/>
    <xf numFmtId="0" fontId="0" fillId="0" borderId="152" xfId="0" applyBorder="1"/>
    <xf numFmtId="164" fontId="0" fillId="0" borderId="152" xfId="0" applyNumberFormat="1" applyBorder="1"/>
    <xf numFmtId="0" fontId="15" fillId="0" borderId="152" xfId="2" applyFont="1" applyBorder="1"/>
    <xf numFmtId="0" fontId="84" fillId="0" borderId="0" xfId="0" applyFont="1"/>
    <xf numFmtId="178" fontId="40" fillId="0" borderId="0" xfId="0" applyNumberFormat="1" applyFont="1" applyFill="1"/>
    <xf numFmtId="3" fontId="84" fillId="0" borderId="0" xfId="0" applyNumberFormat="1" applyFont="1"/>
    <xf numFmtId="4" fontId="37" fillId="2" borderId="0" xfId="0" applyNumberFormat="1" applyFont="1" applyFill="1"/>
    <xf numFmtId="4" fontId="37" fillId="0" borderId="0" xfId="0" applyNumberFormat="1" applyFont="1" applyFill="1"/>
    <xf numFmtId="164" fontId="40" fillId="2" borderId="0" xfId="0" applyNumberFormat="1" applyFont="1" applyFill="1"/>
    <xf numFmtId="3" fontId="0" fillId="7" borderId="0" xfId="0" applyNumberFormat="1" applyFill="1"/>
    <xf numFmtId="4" fontId="80" fillId="3" borderId="0" xfId="3" applyNumberFormat="1" applyFont="1" applyFill="1"/>
    <xf numFmtId="164" fontId="15" fillId="7" borderId="0" xfId="0" applyNumberFormat="1" applyFont="1" applyFill="1" applyAlignment="1">
      <alignment horizontal="center"/>
    </xf>
    <xf numFmtId="0" fontId="37" fillId="0" borderId="0" xfId="0" applyFont="1" applyProtection="1">
      <protection locked="0"/>
    </xf>
    <xf numFmtId="0" fontId="37" fillId="0" borderId="0" xfId="0" applyFont="1" applyProtection="1"/>
    <xf numFmtId="164" fontId="37" fillId="0" borderId="0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Alignment="1">
      <alignment horizontal="center"/>
    </xf>
    <xf numFmtId="0" fontId="37" fillId="0" borderId="0" xfId="0" applyFont="1" applyAlignment="1" applyProtection="1">
      <alignment horizontal="center"/>
    </xf>
    <xf numFmtId="4" fontId="37" fillId="0" borderId="0" xfId="0" applyNumberFormat="1" applyFont="1" applyAlignment="1" applyProtection="1">
      <alignment horizontal="left"/>
    </xf>
    <xf numFmtId="0" fontId="46" fillId="0" borderId="1" xfId="0" applyFont="1" applyBorder="1" applyProtection="1"/>
    <xf numFmtId="0" fontId="46" fillId="0" borderId="1" xfId="0" applyFont="1" applyBorder="1" applyAlignment="1" applyProtection="1">
      <alignment horizontal="center"/>
    </xf>
    <xf numFmtId="0" fontId="46" fillId="0" borderId="1" xfId="0" applyFont="1" applyFill="1" applyBorder="1" applyAlignment="1" applyProtection="1">
      <alignment horizontal="center"/>
    </xf>
    <xf numFmtId="0" fontId="58" fillId="2" borderId="1" xfId="0" applyFont="1" applyFill="1" applyBorder="1" applyProtection="1"/>
    <xf numFmtId="3" fontId="58" fillId="2" borderId="1" xfId="0" applyNumberFormat="1" applyFont="1" applyFill="1" applyBorder="1" applyAlignment="1" applyProtection="1">
      <alignment horizontal="center"/>
    </xf>
    <xf numFmtId="4" fontId="37" fillId="2" borderId="1" xfId="0" applyNumberFormat="1" applyFont="1" applyFill="1" applyBorder="1" applyAlignment="1" applyProtection="1">
      <alignment horizontal="center"/>
      <protection locked="0"/>
    </xf>
    <xf numFmtId="4" fontId="37" fillId="2" borderId="1" xfId="0" applyNumberFormat="1" applyFont="1" applyFill="1" applyBorder="1" applyProtection="1"/>
    <xf numFmtId="3" fontId="37" fillId="0" borderId="1" xfId="0" applyNumberFormat="1" applyFont="1" applyBorder="1" applyAlignment="1" applyProtection="1">
      <alignment horizontal="center"/>
    </xf>
    <xf numFmtId="4" fontId="90" fillId="0" borderId="103" xfId="0" applyNumberFormat="1" applyFont="1" applyBorder="1" applyAlignment="1" applyProtection="1">
      <alignment horizontal="right"/>
    </xf>
    <xf numFmtId="0" fontId="0" fillId="0" borderId="0" xfId="0" applyFill="1" applyProtection="1">
      <protection locked="0"/>
    </xf>
    <xf numFmtId="167" fontId="73" fillId="0" borderId="0" xfId="0" applyNumberFormat="1" applyFont="1" applyFill="1" applyBorder="1" applyAlignment="1" applyProtection="1">
      <alignment horizontal="center"/>
    </xf>
    <xf numFmtId="3" fontId="37" fillId="0" borderId="16" xfId="0" applyNumberFormat="1" applyFont="1" applyBorder="1" applyProtection="1">
      <protection locked="0"/>
    </xf>
    <xf numFmtId="164" fontId="37" fillId="0" borderId="4" xfId="0" applyNumberFormat="1" applyFont="1" applyFill="1" applyBorder="1" applyProtection="1"/>
    <xf numFmtId="3" fontId="37" fillId="0" borderId="76" xfId="0" applyNumberFormat="1" applyFont="1" applyBorder="1" applyProtection="1">
      <protection locked="0"/>
    </xf>
    <xf numFmtId="4" fontId="77" fillId="0" borderId="77" xfId="0" applyNumberFormat="1" applyFont="1" applyBorder="1" applyAlignment="1" applyProtection="1">
      <alignment horizontal="center"/>
    </xf>
    <xf numFmtId="169" fontId="37" fillId="0" borderId="77" xfId="0" applyNumberFormat="1" applyFont="1" applyBorder="1" applyAlignment="1" applyProtection="1">
      <alignment horizontal="center"/>
    </xf>
    <xf numFmtId="169" fontId="41" fillId="0" borderId="77" xfId="0" applyNumberFormat="1" applyFont="1" applyBorder="1" applyAlignment="1" applyProtection="1">
      <alignment horizontal="center"/>
    </xf>
    <xf numFmtId="3" fontId="37" fillId="0" borderId="76" xfId="0" applyNumberFormat="1" applyFont="1" applyFill="1" applyBorder="1" applyProtection="1">
      <protection locked="0"/>
    </xf>
    <xf numFmtId="3" fontId="46" fillId="0" borderId="52" xfId="0" applyNumberFormat="1" applyFont="1" applyFill="1" applyBorder="1" applyProtection="1">
      <protection locked="0"/>
    </xf>
    <xf numFmtId="3" fontId="46" fillId="6" borderId="53" xfId="0" applyNumberFormat="1" applyFont="1" applyFill="1" applyBorder="1" applyAlignment="1" applyProtection="1">
      <alignment horizontal="center"/>
      <protection locked="0"/>
    </xf>
    <xf numFmtId="4" fontId="37" fillId="0" borderId="53" xfId="0" applyNumberFormat="1" applyFont="1" applyFill="1" applyBorder="1" applyAlignment="1" applyProtection="1">
      <alignment horizontal="center"/>
    </xf>
    <xf numFmtId="4" fontId="37" fillId="0" borderId="78" xfId="0" applyNumberFormat="1" applyFont="1" applyFill="1" applyBorder="1" applyAlignment="1" applyProtection="1">
      <alignment horizontal="center"/>
    </xf>
    <xf numFmtId="43" fontId="55" fillId="0" borderId="155" xfId="1" applyNumberFormat="1" applyFont="1" applyBorder="1" applyAlignment="1">
      <alignment horizontal="center"/>
    </xf>
    <xf numFmtId="43" fontId="9" fillId="0" borderId="140" xfId="1" applyNumberFormat="1" applyFont="1" applyBorder="1"/>
    <xf numFmtId="43" fontId="14" fillId="0" borderId="156" xfId="1" applyNumberFormat="1" applyFont="1" applyBorder="1"/>
    <xf numFmtId="4" fontId="85" fillId="0" borderId="18" xfId="0" applyNumberFormat="1" applyFont="1" applyBorder="1" applyProtection="1">
      <protection locked="0"/>
    </xf>
    <xf numFmtId="4" fontId="85" fillId="0" borderId="80" xfId="0" applyNumberFormat="1" applyFont="1" applyBorder="1" applyProtection="1">
      <protection locked="0"/>
    </xf>
    <xf numFmtId="164" fontId="90" fillId="0" borderId="4" xfId="0" applyNumberFormat="1" applyFont="1" applyFill="1" applyBorder="1" applyProtection="1"/>
    <xf numFmtId="3" fontId="90" fillId="0" borderId="76" xfId="0" applyNumberFormat="1" applyFont="1" applyBorder="1" applyProtection="1">
      <protection locked="0"/>
    </xf>
    <xf numFmtId="164" fontId="71" fillId="0" borderId="94" xfId="2" applyNumberFormat="1" applyFont="1" applyBorder="1" applyProtection="1">
      <protection locked="0"/>
    </xf>
    <xf numFmtId="164" fontId="40" fillId="7" borderId="5" xfId="0" applyNumberFormat="1" applyFont="1" applyFill="1" applyBorder="1"/>
    <xf numFmtId="4" fontId="8" fillId="0" borderId="10" xfId="0" applyNumberFormat="1" applyFont="1" applyBorder="1" applyAlignment="1" applyProtection="1">
      <alignment horizontal="right"/>
    </xf>
    <xf numFmtId="3" fontId="15" fillId="0" borderId="0" xfId="0" applyNumberFormat="1" applyFont="1" applyProtection="1">
      <protection locked="0"/>
    </xf>
    <xf numFmtId="2" fontId="0" fillId="0" borderId="0" xfId="0" applyNumberFormat="1"/>
    <xf numFmtId="0" fontId="29" fillId="0" borderId="0" xfId="0" applyFont="1" applyFill="1" applyAlignment="1">
      <alignment horizontal="center"/>
    </xf>
    <xf numFmtId="49" fontId="16" fillId="0" borderId="154" xfId="0" applyNumberFormat="1" applyFont="1" applyBorder="1" applyAlignment="1" applyProtection="1">
      <alignment horizontal="center"/>
      <protection locked="0"/>
    </xf>
    <xf numFmtId="0" fontId="16" fillId="0" borderId="6" xfId="0" applyFont="1" applyBorder="1" applyAlignment="1" applyProtection="1">
      <alignment horizontal="center"/>
    </xf>
    <xf numFmtId="4" fontId="85" fillId="0" borderId="16" xfId="0" applyNumberFormat="1" applyFont="1" applyBorder="1" applyProtection="1">
      <protection locked="0"/>
    </xf>
    <xf numFmtId="4" fontId="85" fillId="0" borderId="76" xfId="0" applyNumberFormat="1" applyFont="1" applyBorder="1" applyProtection="1">
      <protection locked="0"/>
    </xf>
    <xf numFmtId="3" fontId="46" fillId="6" borderId="52" xfId="0" applyNumberFormat="1" applyFont="1" applyFill="1" applyBorder="1" applyAlignment="1" applyProtection="1">
      <alignment horizontal="center"/>
      <protection locked="0"/>
    </xf>
    <xf numFmtId="4" fontId="16" fillId="0" borderId="0" xfId="0" applyNumberFormat="1" applyFont="1" applyAlignment="1">
      <alignment horizontal="left"/>
    </xf>
    <xf numFmtId="0" fontId="10" fillId="0" borderId="15" xfId="0" applyFont="1" applyBorder="1" applyAlignment="1" applyProtection="1">
      <alignment horizontal="center"/>
    </xf>
    <xf numFmtId="4" fontId="7" fillId="2" borderId="10" xfId="0" applyNumberFormat="1" applyFont="1" applyFill="1" applyBorder="1" applyAlignment="1" applyProtection="1">
      <alignment horizontal="right"/>
    </xf>
    <xf numFmtId="4" fontId="7" fillId="0" borderId="44" xfId="0" applyNumberFormat="1" applyFont="1" applyBorder="1" applyAlignment="1" applyProtection="1">
      <alignment horizontal="right"/>
    </xf>
    <xf numFmtId="4" fontId="8" fillId="0" borderId="44" xfId="0" applyNumberFormat="1" applyFont="1" applyBorder="1" applyAlignment="1" applyProtection="1">
      <alignment horizontal="right"/>
    </xf>
    <xf numFmtId="3" fontId="7" fillId="0" borderId="121" xfId="0" applyNumberFormat="1" applyFont="1" applyFill="1" applyBorder="1" applyProtection="1"/>
    <xf numFmtId="164" fontId="7" fillId="0" borderId="61" xfId="0" applyNumberFormat="1" applyFont="1" applyFill="1" applyBorder="1" applyAlignment="1" applyProtection="1">
      <alignment horizontal="center"/>
    </xf>
    <xf numFmtId="164" fontId="7" fillId="0" borderId="61" xfId="0" applyNumberFormat="1" applyFont="1" applyFill="1" applyBorder="1" applyProtection="1"/>
    <xf numFmtId="164" fontId="7" fillId="0" borderId="158" xfId="0" applyNumberFormat="1" applyFont="1" applyFill="1" applyBorder="1" applyProtection="1"/>
    <xf numFmtId="3" fontId="37" fillId="2" borderId="1" xfId="0" applyNumberFormat="1" applyFont="1" applyFill="1" applyBorder="1" applyAlignment="1" applyProtection="1">
      <alignment horizontal="center"/>
      <protection locked="0"/>
    </xf>
    <xf numFmtId="164" fontId="15" fillId="0" borderId="90" xfId="2" applyNumberFormat="1" applyFont="1" applyFill="1" applyBorder="1" applyProtection="1">
      <protection locked="0"/>
    </xf>
    <xf numFmtId="164" fontId="71" fillId="0" borderId="96" xfId="2" applyNumberFormat="1" applyFont="1" applyBorder="1" applyProtection="1">
      <protection locked="0"/>
    </xf>
    <xf numFmtId="164" fontId="15" fillId="0" borderId="159" xfId="2" applyNumberFormat="1" applyFont="1" applyBorder="1" applyProtection="1">
      <protection locked="0"/>
    </xf>
    <xf numFmtId="3" fontId="15" fillId="0" borderId="160" xfId="2" applyNumberFormat="1" applyFont="1" applyBorder="1" applyProtection="1">
      <protection locked="0"/>
    </xf>
    <xf numFmtId="169" fontId="15" fillId="0" borderId="161" xfId="2" applyNumberFormat="1" applyFont="1" applyBorder="1" applyAlignment="1" applyProtection="1">
      <alignment horizontal="center"/>
      <protection locked="0"/>
    </xf>
    <xf numFmtId="4" fontId="15" fillId="0" borderId="161" xfId="2" applyNumberFormat="1" applyFont="1" applyBorder="1" applyAlignment="1" applyProtection="1">
      <alignment horizontal="center"/>
      <protection locked="0"/>
    </xf>
    <xf numFmtId="164" fontId="15" fillId="0" borderId="162" xfId="2" applyNumberFormat="1" applyFont="1" applyBorder="1" applyProtection="1">
      <protection locked="0"/>
    </xf>
    <xf numFmtId="164" fontId="15" fillId="0" borderId="95" xfId="2" applyNumberFormat="1" applyFont="1" applyFill="1" applyBorder="1" applyProtection="1">
      <protection locked="0"/>
    </xf>
    <xf numFmtId="4" fontId="73" fillId="0" borderId="18" xfId="0" applyNumberFormat="1" applyFont="1" applyBorder="1" applyProtection="1">
      <protection locked="0"/>
    </xf>
    <xf numFmtId="3" fontId="91" fillId="0" borderId="0" xfId="0" applyNumberFormat="1" applyFont="1" applyAlignment="1">
      <alignment horizontal="center"/>
    </xf>
    <xf numFmtId="175" fontId="0" fillId="0" borderId="0" xfId="0" applyNumberFormat="1"/>
    <xf numFmtId="175" fontId="15" fillId="0" borderId="0" xfId="0" applyNumberFormat="1" applyFont="1" applyProtection="1">
      <protection locked="0"/>
    </xf>
    <xf numFmtId="4" fontId="73" fillId="0" borderId="16" xfId="0" applyNumberFormat="1" applyFont="1" applyBorder="1" applyProtection="1">
      <protection locked="0"/>
    </xf>
    <xf numFmtId="164" fontId="7" fillId="0" borderId="163" xfId="0" applyNumberFormat="1" applyFont="1" applyFill="1" applyBorder="1" applyAlignment="1" applyProtection="1">
      <alignment horizontal="center"/>
    </xf>
    <xf numFmtId="164" fontId="37" fillId="0" borderId="0" xfId="0" applyNumberFormat="1" applyFont="1" applyFill="1" applyBorder="1" applyAlignment="1" applyProtection="1">
      <alignment horizontal="center"/>
    </xf>
    <xf numFmtId="0" fontId="84" fillId="0" borderId="0" xfId="0" applyFont="1" applyAlignment="1">
      <alignment horizontal="right"/>
    </xf>
    <xf numFmtId="3" fontId="0" fillId="0" borderId="0" xfId="0" applyNumberFormat="1" applyAlignment="1" applyProtection="1">
      <alignment horizontal="right"/>
    </xf>
    <xf numFmtId="0" fontId="83" fillId="0" borderId="165" xfId="0" applyFont="1" applyBorder="1" applyAlignment="1" applyProtection="1">
      <alignment horizontal="center"/>
    </xf>
    <xf numFmtId="0" fontId="31" fillId="0" borderId="0" xfId="0" applyFont="1" applyAlignment="1" applyProtection="1">
      <alignment horizontal="center"/>
    </xf>
    <xf numFmtId="0" fontId="16" fillId="0" borderId="0" xfId="0" applyFont="1" applyAlignment="1" applyProtection="1">
      <alignment horizontal="center"/>
    </xf>
    <xf numFmtId="0" fontId="83" fillId="0" borderId="166" xfId="0" applyFont="1" applyBorder="1" applyAlignment="1" applyProtection="1">
      <alignment horizontal="center"/>
    </xf>
    <xf numFmtId="3" fontId="92" fillId="0" borderId="167" xfId="0" applyNumberFormat="1" applyFont="1" applyBorder="1" applyAlignment="1" applyProtection="1">
      <alignment horizontal="center"/>
      <protection locked="0"/>
    </xf>
    <xf numFmtId="3" fontId="92" fillId="0" borderId="168" xfId="0" applyNumberFormat="1" applyFont="1" applyBorder="1" applyAlignment="1" applyProtection="1">
      <alignment horizontal="center"/>
      <protection locked="0"/>
    </xf>
    <xf numFmtId="3" fontId="93" fillId="0" borderId="167" xfId="0" applyNumberFormat="1" applyFont="1" applyBorder="1" applyAlignment="1" applyProtection="1">
      <alignment horizontal="center"/>
      <protection locked="0"/>
    </xf>
    <xf numFmtId="3" fontId="92" fillId="2" borderId="167" xfId="0" applyNumberFormat="1" applyFont="1" applyFill="1" applyBorder="1" applyAlignment="1" applyProtection="1">
      <alignment horizontal="center"/>
      <protection locked="0"/>
    </xf>
    <xf numFmtId="3" fontId="93" fillId="2" borderId="167" xfId="0" applyNumberFormat="1" applyFont="1" applyFill="1" applyBorder="1" applyAlignment="1" applyProtection="1">
      <alignment horizontal="center"/>
      <protection locked="0"/>
    </xf>
    <xf numFmtId="3" fontId="93" fillId="13" borderId="167" xfId="0" applyNumberFormat="1" applyFont="1" applyFill="1" applyBorder="1" applyAlignment="1" applyProtection="1">
      <alignment horizontal="center"/>
      <protection locked="0"/>
    </xf>
    <xf numFmtId="3" fontId="92" fillId="0" borderId="167" xfId="0" applyNumberFormat="1" applyFont="1" applyFill="1" applyBorder="1" applyAlignment="1" applyProtection="1">
      <alignment horizontal="center"/>
      <protection locked="0"/>
    </xf>
    <xf numFmtId="38" fontId="93" fillId="2" borderId="167" xfId="0" applyNumberFormat="1" applyFont="1" applyFill="1" applyBorder="1" applyAlignment="1" applyProtection="1">
      <alignment horizontal="center"/>
      <protection locked="0"/>
    </xf>
    <xf numFmtId="3" fontId="93" fillId="0" borderId="167" xfId="0" applyNumberFormat="1" applyFont="1" applyFill="1" applyBorder="1" applyAlignment="1" applyProtection="1">
      <alignment horizontal="center"/>
      <protection locked="0"/>
    </xf>
    <xf numFmtId="3" fontId="94" fillId="0" borderId="169" xfId="0" applyNumberFormat="1" applyFont="1" applyFill="1" applyBorder="1" applyAlignment="1" applyProtection="1">
      <alignment horizontal="center"/>
      <protection locked="0"/>
    </xf>
    <xf numFmtId="0" fontId="40" fillId="0" borderId="0" xfId="0" applyFont="1" applyAlignment="1">
      <alignment horizontal="center"/>
    </xf>
    <xf numFmtId="3" fontId="37" fillId="0" borderId="18" xfId="0" applyNumberFormat="1" applyFont="1" applyFill="1" applyBorder="1" applyAlignment="1" applyProtection="1">
      <alignment horizontal="center"/>
      <protection locked="0"/>
    </xf>
    <xf numFmtId="4" fontId="26" fillId="4" borderId="0" xfId="3" applyNumberFormat="1" applyFont="1" applyFill="1"/>
    <xf numFmtId="0" fontId="91" fillId="0" borderId="0" xfId="0" applyFont="1" applyAlignment="1" applyProtection="1">
      <alignment horizontal="center"/>
    </xf>
    <xf numFmtId="4" fontId="84" fillId="0" borderId="0" xfId="0" applyNumberFormat="1" applyFont="1"/>
    <xf numFmtId="0" fontId="1" fillId="0" borderId="0" xfId="0" applyFont="1"/>
    <xf numFmtId="0" fontId="15" fillId="0" borderId="0" xfId="3" applyFont="1"/>
    <xf numFmtId="10" fontId="96" fillId="14" borderId="0" xfId="0" applyNumberFormat="1" applyFont="1" applyFill="1" applyAlignment="1">
      <alignment horizontal="center"/>
    </xf>
    <xf numFmtId="0" fontId="97" fillId="0" borderId="0" xfId="0" applyFont="1"/>
    <xf numFmtId="0" fontId="22" fillId="0" borderId="0" xfId="0" applyFont="1" applyAlignment="1">
      <alignment horizontal="right"/>
    </xf>
    <xf numFmtId="175" fontId="37" fillId="0" borderId="5" xfId="4" applyNumberFormat="1" applyFont="1" applyBorder="1" applyAlignment="1" applyProtection="1">
      <alignment horizontal="center"/>
    </xf>
    <xf numFmtId="164" fontId="37" fillId="0" borderId="5" xfId="0" applyNumberFormat="1" applyFont="1" applyBorder="1" applyAlignment="1" applyProtection="1">
      <alignment horizontal="right"/>
      <protection locked="0"/>
    </xf>
    <xf numFmtId="4" fontId="0" fillId="4" borderId="0" xfId="0" applyNumberFormat="1" applyFill="1"/>
    <xf numFmtId="4" fontId="95" fillId="0" borderId="0" xfId="3" applyNumberFormat="1" applyFont="1" applyBorder="1"/>
    <xf numFmtId="43" fontId="7" fillId="0" borderId="0" xfId="1" applyNumberFormat="1" applyFont="1" applyBorder="1" applyAlignment="1">
      <alignment horizontal="left"/>
    </xf>
    <xf numFmtId="4" fontId="78" fillId="0" borderId="0" xfId="3" applyNumberFormat="1" applyFont="1" applyFill="1"/>
    <xf numFmtId="164" fontId="74" fillId="0" borderId="91" xfId="2" applyNumberFormat="1" applyFont="1" applyFill="1" applyBorder="1" applyProtection="1">
      <protection locked="0"/>
    </xf>
    <xf numFmtId="4" fontId="8" fillId="0" borderId="126" xfId="1" applyNumberFormat="1" applyFont="1" applyBorder="1"/>
    <xf numFmtId="43" fontId="8" fillId="0" borderId="114" xfId="1" applyNumberFormat="1" applyFont="1" applyBorder="1" applyAlignment="1">
      <alignment horizontal="left"/>
    </xf>
    <xf numFmtId="3" fontId="1" fillId="0" borderId="0" xfId="0" applyNumberFormat="1" applyFont="1"/>
    <xf numFmtId="3" fontId="15" fillId="0" borderId="42" xfId="2" applyNumberFormat="1" applyFont="1" applyBorder="1"/>
    <xf numFmtId="4" fontId="15" fillId="0" borderId="94" xfId="2" applyNumberFormat="1" applyFont="1" applyFill="1" applyBorder="1" applyAlignment="1" applyProtection="1">
      <alignment horizontal="center"/>
      <protection locked="0"/>
    </xf>
    <xf numFmtId="0" fontId="82" fillId="0" borderId="0" xfId="0" applyFont="1" applyAlignment="1">
      <alignment horizontal="right"/>
    </xf>
    <xf numFmtId="43" fontId="9" fillId="0" borderId="171" xfId="1" applyNumberFormat="1" applyFont="1" applyBorder="1"/>
    <xf numFmtId="43" fontId="9" fillId="0" borderId="173" xfId="1" applyNumberFormat="1" applyFont="1" applyBorder="1"/>
    <xf numFmtId="169" fontId="18" fillId="0" borderId="94" xfId="2" applyNumberFormat="1" applyFont="1" applyFill="1" applyBorder="1" applyAlignment="1" applyProtection="1">
      <alignment horizontal="center"/>
      <protection locked="0"/>
    </xf>
    <xf numFmtId="49" fontId="16" fillId="0" borderId="74" xfId="0" applyNumberFormat="1" applyFont="1" applyBorder="1" applyAlignment="1" applyProtection="1">
      <alignment horizontal="center"/>
      <protection locked="0"/>
    </xf>
    <xf numFmtId="4" fontId="85" fillId="0" borderId="10" xfId="0" applyNumberFormat="1" applyFont="1" applyBorder="1" applyProtection="1">
      <protection locked="0"/>
    </xf>
    <xf numFmtId="4" fontId="73" fillId="0" borderId="10" xfId="0" applyNumberFormat="1" applyFont="1" applyBorder="1" applyProtection="1">
      <protection locked="0"/>
    </xf>
    <xf numFmtId="4" fontId="85" fillId="0" borderId="42" xfId="0" applyNumberFormat="1" applyFont="1" applyBorder="1" applyProtection="1">
      <protection locked="0"/>
    </xf>
    <xf numFmtId="3" fontId="46" fillId="6" borderId="78" xfId="0" applyNumberFormat="1" applyFont="1" applyFill="1" applyBorder="1" applyAlignment="1" applyProtection="1">
      <alignment horizontal="center"/>
      <protection locked="0"/>
    </xf>
    <xf numFmtId="164" fontId="15" fillId="0" borderId="174" xfId="2" applyNumberFormat="1" applyFont="1" applyBorder="1" applyProtection="1">
      <protection locked="0"/>
    </xf>
    <xf numFmtId="4" fontId="37" fillId="7" borderId="101" xfId="0" applyNumberFormat="1" applyFont="1" applyFill="1" applyBorder="1" applyAlignment="1" applyProtection="1">
      <alignment horizontal="right"/>
    </xf>
    <xf numFmtId="43" fontId="8" fillId="0" borderId="126" xfId="1" applyNumberFormat="1" applyFont="1" applyBorder="1"/>
    <xf numFmtId="3" fontId="42" fillId="0" borderId="107" xfId="0" applyNumberFormat="1" applyFont="1" applyFill="1" applyBorder="1" applyProtection="1">
      <protection locked="0"/>
    </xf>
    <xf numFmtId="4" fontId="39" fillId="0" borderId="103" xfId="0" applyNumberFormat="1" applyFont="1" applyFill="1" applyBorder="1" applyAlignment="1" applyProtection="1">
      <alignment horizontal="right"/>
    </xf>
    <xf numFmtId="164" fontId="87" fillId="0" borderId="0" xfId="0" applyNumberFormat="1" applyFont="1"/>
    <xf numFmtId="3" fontId="97" fillId="0" borderId="0" xfId="0" applyNumberFormat="1" applyFont="1"/>
    <xf numFmtId="169" fontId="15" fillId="0" borderId="91" xfId="2" applyNumberFormat="1" applyFont="1" applyFill="1" applyBorder="1" applyAlignment="1" applyProtection="1">
      <alignment horizontal="center"/>
      <protection locked="0"/>
    </xf>
    <xf numFmtId="4" fontId="77" fillId="7" borderId="5" xfId="0" applyNumberFormat="1" applyFont="1" applyFill="1" applyBorder="1" applyAlignment="1" applyProtection="1">
      <alignment horizontal="center"/>
    </xf>
    <xf numFmtId="0" fontId="26" fillId="7" borderId="0" xfId="3" applyFont="1" applyFill="1"/>
    <xf numFmtId="0" fontId="80" fillId="7" borderId="0" xfId="3" applyFont="1" applyFill="1"/>
    <xf numFmtId="3" fontId="37" fillId="7" borderId="102" xfId="0" applyNumberFormat="1" applyFont="1" applyFill="1" applyBorder="1" applyProtection="1">
      <protection locked="0"/>
    </xf>
    <xf numFmtId="4" fontId="15" fillId="3" borderId="0" xfId="3" applyNumberFormat="1" applyFont="1" applyFill="1"/>
    <xf numFmtId="4" fontId="26" fillId="3" borderId="0" xfId="3" applyNumberFormat="1" applyFont="1" applyFill="1"/>
    <xf numFmtId="164" fontId="71" fillId="0" borderId="91" xfId="2" applyNumberFormat="1" applyFont="1" applyFill="1" applyBorder="1" applyProtection="1">
      <protection locked="0"/>
    </xf>
    <xf numFmtId="164" fontId="18" fillId="0" borderId="91" xfId="2" applyNumberFormat="1" applyFont="1" applyFill="1" applyBorder="1" applyProtection="1">
      <protection locked="0"/>
    </xf>
    <xf numFmtId="43" fontId="26" fillId="0" borderId="0" xfId="3" applyNumberFormat="1"/>
    <xf numFmtId="4" fontId="102" fillId="0" borderId="104" xfId="0" applyNumberFormat="1" applyFont="1" applyBorder="1" applyAlignment="1" applyProtection="1">
      <alignment horizontal="right"/>
    </xf>
    <xf numFmtId="164" fontId="40" fillId="17" borderId="0" xfId="0" applyNumberFormat="1" applyFont="1" applyFill="1"/>
    <xf numFmtId="0" fontId="103" fillId="0" borderId="0" xfId="3" applyFont="1"/>
    <xf numFmtId="4" fontId="103" fillId="4" borderId="0" xfId="3" applyNumberFormat="1" applyFont="1" applyFill="1"/>
    <xf numFmtId="4" fontId="103" fillId="3" borderId="0" xfId="3" applyNumberFormat="1" applyFont="1" applyFill="1"/>
    <xf numFmtId="3" fontId="40" fillId="0" borderId="102" xfId="0" applyNumberFormat="1" applyFont="1" applyBorder="1" applyProtection="1">
      <protection locked="0"/>
    </xf>
    <xf numFmtId="0" fontId="104" fillId="0" borderId="0" xfId="3" applyFont="1"/>
    <xf numFmtId="3" fontId="98" fillId="0" borderId="0" xfId="0" applyNumberFormat="1" applyFont="1"/>
    <xf numFmtId="3" fontId="40" fillId="0" borderId="93" xfId="0" applyNumberFormat="1" applyFont="1" applyFill="1" applyBorder="1" applyProtection="1">
      <protection locked="0"/>
    </xf>
    <xf numFmtId="43" fontId="105" fillId="0" borderId="126" xfId="1" applyNumberFormat="1" applyFont="1" applyBorder="1"/>
    <xf numFmtId="3" fontId="106" fillId="0" borderId="102" xfId="0" applyNumberFormat="1" applyFont="1" applyFill="1" applyBorder="1" applyProtection="1">
      <protection locked="0"/>
    </xf>
    <xf numFmtId="164" fontId="7" fillId="0" borderId="72" xfId="0" applyNumberFormat="1" applyFont="1" applyFill="1" applyBorder="1" applyAlignment="1" applyProtection="1">
      <alignment horizontal="right"/>
    </xf>
    <xf numFmtId="3" fontId="7" fillId="0" borderId="44" xfId="0" applyNumberFormat="1" applyFont="1" applyFill="1" applyBorder="1" applyProtection="1"/>
    <xf numFmtId="4" fontId="7" fillId="0" borderId="111" xfId="0" applyNumberFormat="1" applyFont="1" applyFill="1" applyBorder="1" applyProtection="1"/>
    <xf numFmtId="3" fontId="40" fillId="0" borderId="102" xfId="0" applyNumberFormat="1" applyFont="1" applyFill="1" applyBorder="1" applyProtection="1">
      <protection locked="0"/>
    </xf>
    <xf numFmtId="166" fontId="19" fillId="0" borderId="42" xfId="2" applyNumberFormat="1" applyFont="1" applyBorder="1"/>
    <xf numFmtId="3" fontId="52" fillId="0" borderId="42" xfId="0" applyNumberFormat="1" applyFont="1" applyBorder="1"/>
    <xf numFmtId="3" fontId="0" fillId="0" borderId="42" xfId="0" applyNumberFormat="1" applyBorder="1"/>
    <xf numFmtId="164" fontId="15" fillId="0" borderId="96" xfId="2" applyNumberFormat="1" applyFont="1" applyFill="1" applyBorder="1" applyProtection="1">
      <protection locked="0"/>
    </xf>
    <xf numFmtId="169" fontId="15" fillId="0" borderId="96" xfId="2" applyNumberFormat="1" applyFont="1" applyFill="1" applyBorder="1" applyAlignment="1" applyProtection="1">
      <alignment horizontal="center"/>
      <protection locked="0"/>
    </xf>
    <xf numFmtId="164" fontId="19" fillId="0" borderId="159" xfId="2" applyNumberFormat="1" applyFont="1" applyBorder="1" applyProtection="1">
      <protection locked="0"/>
    </xf>
    <xf numFmtId="3" fontId="15" fillId="19" borderId="95" xfId="2" applyNumberFormat="1" applyFont="1" applyFill="1" applyBorder="1" applyProtection="1">
      <protection locked="0"/>
    </xf>
    <xf numFmtId="164" fontId="71" fillId="19" borderId="96" xfId="2" applyNumberFormat="1" applyFont="1" applyFill="1" applyBorder="1" applyProtection="1">
      <protection locked="0"/>
    </xf>
    <xf numFmtId="169" fontId="15" fillId="19" borderId="91" xfId="2" applyNumberFormat="1" applyFont="1" applyFill="1" applyBorder="1" applyAlignment="1" applyProtection="1">
      <alignment horizontal="center"/>
      <protection locked="0"/>
    </xf>
    <xf numFmtId="4" fontId="15" fillId="19" borderId="96" xfId="2" applyNumberFormat="1" applyFont="1" applyFill="1" applyBorder="1" applyAlignment="1" applyProtection="1">
      <alignment horizontal="center"/>
      <protection locked="0"/>
    </xf>
    <xf numFmtId="164" fontId="15" fillId="19" borderId="159" xfId="2" applyNumberFormat="1" applyFont="1" applyFill="1" applyBorder="1" applyProtection="1">
      <protection locked="0"/>
    </xf>
    <xf numFmtId="3" fontId="16" fillId="0" borderId="0" xfId="2" applyNumberFormat="1" applyFont="1" applyFill="1" applyBorder="1" applyProtection="1">
      <protection locked="0"/>
    </xf>
    <xf numFmtId="164" fontId="16" fillId="0" borderId="0" xfId="2" applyNumberFormat="1" applyFont="1" applyFill="1" applyBorder="1" applyProtection="1">
      <protection locked="0"/>
    </xf>
    <xf numFmtId="3" fontId="19" fillId="19" borderId="95" xfId="2" applyNumberFormat="1" applyFont="1" applyFill="1" applyBorder="1" applyProtection="1">
      <protection locked="0"/>
    </xf>
    <xf numFmtId="164" fontId="15" fillId="19" borderId="96" xfId="2" applyNumberFormat="1" applyFont="1" applyFill="1" applyBorder="1" applyProtection="1">
      <protection locked="0"/>
    </xf>
    <xf numFmtId="169" fontId="15" fillId="19" borderId="96" xfId="2" applyNumberFormat="1" applyFont="1" applyFill="1" applyBorder="1" applyAlignment="1" applyProtection="1">
      <alignment horizontal="center"/>
      <protection locked="0"/>
    </xf>
    <xf numFmtId="164" fontId="19" fillId="19" borderId="159" xfId="2" applyNumberFormat="1" applyFont="1" applyFill="1" applyBorder="1" applyProtection="1">
      <protection locked="0"/>
    </xf>
    <xf numFmtId="3" fontId="104" fillId="0" borderId="90" xfId="2" applyNumberFormat="1" applyFont="1" applyFill="1" applyBorder="1" applyProtection="1">
      <protection locked="0"/>
    </xf>
    <xf numFmtId="0" fontId="15" fillId="19" borderId="0" xfId="2" applyFont="1" applyFill="1"/>
    <xf numFmtId="164" fontId="16" fillId="2" borderId="176" xfId="2" applyNumberFormat="1" applyFont="1" applyFill="1" applyBorder="1" applyProtection="1">
      <protection locked="0"/>
    </xf>
    <xf numFmtId="164" fontId="16" fillId="2" borderId="143" xfId="2" applyNumberFormat="1" applyFont="1" applyFill="1" applyBorder="1" applyProtection="1">
      <protection locked="0"/>
    </xf>
    <xf numFmtId="164" fontId="15" fillId="2" borderId="143" xfId="2" applyNumberFormat="1" applyFont="1" applyFill="1" applyBorder="1" applyProtection="1">
      <protection locked="0"/>
    </xf>
    <xf numFmtId="4" fontId="15" fillId="2" borderId="143" xfId="2" applyNumberFormat="1" applyFont="1" applyFill="1" applyBorder="1" applyAlignment="1" applyProtection="1">
      <alignment horizontal="center"/>
      <protection locked="0"/>
    </xf>
    <xf numFmtId="3" fontId="15" fillId="0" borderId="122" xfId="2" applyNumberFormat="1" applyFont="1" applyFill="1" applyBorder="1" applyProtection="1">
      <protection locked="0"/>
    </xf>
    <xf numFmtId="164" fontId="37" fillId="0" borderId="5" xfId="0" applyNumberFormat="1" applyFont="1" applyFill="1" applyBorder="1" applyProtection="1">
      <protection locked="0"/>
    </xf>
    <xf numFmtId="0" fontId="60" fillId="0" borderId="0" xfId="0" applyFont="1" applyAlignment="1">
      <alignment horizontal="center"/>
    </xf>
    <xf numFmtId="0" fontId="26" fillId="0" borderId="0" xfId="3" applyFill="1"/>
    <xf numFmtId="4" fontId="104" fillId="4" borderId="0" xfId="3" applyNumberFormat="1" applyFont="1" applyFill="1"/>
    <xf numFmtId="4" fontId="41" fillId="0" borderId="105" xfId="0" applyNumberFormat="1" applyFont="1" applyBorder="1" applyAlignment="1" applyProtection="1">
      <alignment horizontal="right"/>
    </xf>
    <xf numFmtId="0" fontId="16" fillId="0" borderId="77" xfId="0" applyFont="1" applyBorder="1" applyAlignment="1" applyProtection="1">
      <alignment horizontal="center"/>
    </xf>
    <xf numFmtId="0" fontId="16" fillId="0" borderId="51" xfId="0" applyFont="1" applyBorder="1" applyProtection="1"/>
    <xf numFmtId="0" fontId="35" fillId="20" borderId="99" xfId="0" applyFont="1" applyFill="1" applyBorder="1" applyAlignment="1" applyProtection="1">
      <alignment horizontal="center"/>
    </xf>
    <xf numFmtId="0" fontId="36" fillId="20" borderId="100" xfId="0" applyFont="1" applyFill="1" applyBorder="1" applyAlignment="1" applyProtection="1">
      <alignment horizontal="center"/>
    </xf>
    <xf numFmtId="4" fontId="37" fillId="20" borderId="103" xfId="0" applyNumberFormat="1" applyFont="1" applyFill="1" applyBorder="1" applyAlignment="1" applyProtection="1">
      <alignment horizontal="right"/>
    </xf>
    <xf numFmtId="164" fontId="43" fillId="20" borderId="110" xfId="0" applyNumberFormat="1" applyFont="1" applyFill="1" applyBorder="1" applyAlignment="1" applyProtection="1">
      <alignment horizontal="center"/>
    </xf>
    <xf numFmtId="0" fontId="53" fillId="0" borderId="0" xfId="0" applyFont="1" applyAlignment="1">
      <alignment horizontal="right"/>
    </xf>
    <xf numFmtId="175" fontId="45" fillId="5" borderId="0" xfId="4" applyNumberFormat="1" applyFont="1" applyFill="1" applyAlignment="1">
      <alignment horizontal="center"/>
    </xf>
    <xf numFmtId="0" fontId="44" fillId="21" borderId="0" xfId="0" applyFont="1" applyFill="1" applyAlignment="1">
      <alignment horizontal="center"/>
    </xf>
    <xf numFmtId="0" fontId="45" fillId="21" borderId="0" xfId="0" applyFont="1" applyFill="1" applyAlignment="1">
      <alignment horizontal="center"/>
    </xf>
    <xf numFmtId="10" fontId="96" fillId="21" borderId="0" xfId="0" applyNumberFormat="1" applyFont="1" applyFill="1" applyAlignment="1">
      <alignment horizontal="center"/>
    </xf>
    <xf numFmtId="0" fontId="35" fillId="0" borderId="0" xfId="0" applyFont="1" applyBorder="1" applyAlignment="1" applyProtection="1">
      <alignment horizontal="center"/>
    </xf>
    <xf numFmtId="0" fontId="36" fillId="0" borderId="0" xfId="0" applyFont="1" applyBorder="1" applyAlignment="1" applyProtection="1">
      <alignment horizontal="center"/>
    </xf>
    <xf numFmtId="4" fontId="37" fillId="0" borderId="0" xfId="0" applyNumberFormat="1" applyFont="1" applyBorder="1" applyAlignment="1" applyProtection="1">
      <alignment horizontal="right"/>
    </xf>
    <xf numFmtId="0" fontId="35" fillId="0" borderId="178" xfId="0" applyFont="1" applyBorder="1" applyAlignment="1" applyProtection="1">
      <alignment horizontal="center"/>
    </xf>
    <xf numFmtId="0" fontId="36" fillId="0" borderId="179" xfId="0" applyFont="1" applyBorder="1" applyAlignment="1" applyProtection="1">
      <alignment horizontal="center"/>
    </xf>
    <xf numFmtId="4" fontId="37" fillId="0" borderId="180" xfId="0" applyNumberFormat="1" applyFont="1" applyBorder="1" applyAlignment="1" applyProtection="1">
      <alignment horizontal="right"/>
    </xf>
    <xf numFmtId="4" fontId="37" fillId="0" borderId="180" xfId="0" applyNumberFormat="1" applyFont="1" applyFill="1" applyBorder="1" applyAlignment="1" applyProtection="1">
      <alignment horizontal="right"/>
    </xf>
    <xf numFmtId="164" fontId="43" fillId="0" borderId="177" xfId="0" applyNumberFormat="1" applyFont="1" applyFill="1" applyBorder="1" applyAlignment="1" applyProtection="1">
      <alignment horizontal="center"/>
    </xf>
    <xf numFmtId="0" fontId="35" fillId="0" borderId="182" xfId="0" applyFont="1" applyBorder="1" applyAlignment="1" applyProtection="1">
      <alignment horizontal="center"/>
    </xf>
    <xf numFmtId="0" fontId="36" fillId="0" borderId="183" xfId="0" applyFont="1" applyBorder="1" applyAlignment="1" applyProtection="1">
      <alignment horizontal="center"/>
    </xf>
    <xf numFmtId="4" fontId="37" fillId="0" borderId="184" xfId="0" applyNumberFormat="1" applyFont="1" applyBorder="1" applyAlignment="1" applyProtection="1">
      <alignment horizontal="right"/>
    </xf>
    <xf numFmtId="164" fontId="43" fillId="0" borderId="181" xfId="0" applyNumberFormat="1" applyFont="1" applyFill="1" applyBorder="1" applyAlignment="1" applyProtection="1">
      <alignment horizontal="center"/>
    </xf>
    <xf numFmtId="167" fontId="37" fillId="0" borderId="0" xfId="0" applyNumberFormat="1" applyFont="1" applyBorder="1" applyAlignment="1" applyProtection="1">
      <alignment horizontal="center"/>
    </xf>
    <xf numFmtId="4" fontId="63" fillId="0" borderId="126" xfId="1" applyNumberFormat="1" applyFont="1" applyFill="1" applyBorder="1"/>
    <xf numFmtId="4" fontId="37" fillId="20" borderId="101" xfId="0" applyNumberFormat="1" applyFont="1" applyFill="1" applyBorder="1" applyAlignment="1" applyProtection="1">
      <alignment horizontal="right"/>
    </xf>
    <xf numFmtId="4" fontId="37" fillId="0" borderId="185" xfId="0" applyNumberFormat="1" applyFont="1" applyFill="1" applyBorder="1" applyAlignment="1" applyProtection="1">
      <alignment horizontal="right"/>
    </xf>
    <xf numFmtId="166" fontId="15" fillId="0" borderId="144" xfId="2" applyNumberFormat="1" applyFont="1" applyBorder="1" applyAlignment="1">
      <alignment horizontal="center"/>
    </xf>
    <xf numFmtId="164" fontId="111" fillId="0" borderId="91" xfId="2" applyNumberFormat="1" applyFont="1" applyBorder="1" applyProtection="1">
      <protection locked="0"/>
    </xf>
    <xf numFmtId="164" fontId="111" fillId="0" borderId="175" xfId="2" applyNumberFormat="1" applyFont="1" applyBorder="1" applyProtection="1">
      <protection locked="0"/>
    </xf>
    <xf numFmtId="164" fontId="111" fillId="0" borderId="161" xfId="2" applyNumberFormat="1" applyFont="1" applyFill="1" applyBorder="1" applyProtection="1">
      <protection locked="0"/>
    </xf>
    <xf numFmtId="164" fontId="111" fillId="0" borderId="91" xfId="2" applyNumberFormat="1" applyFont="1" applyFill="1" applyBorder="1" applyProtection="1">
      <protection locked="0"/>
    </xf>
    <xf numFmtId="164" fontId="15" fillId="0" borderId="0" xfId="2" applyNumberFormat="1" applyFont="1" applyBorder="1" applyAlignment="1">
      <alignment horizontal="center"/>
    </xf>
    <xf numFmtId="3" fontId="15" fillId="15" borderId="90" xfId="2" applyNumberFormat="1" applyFont="1" applyFill="1" applyBorder="1" applyProtection="1">
      <protection locked="0"/>
    </xf>
    <xf numFmtId="0" fontId="104" fillId="0" borderId="0" xfId="0" applyFont="1"/>
    <xf numFmtId="164" fontId="37" fillId="0" borderId="1" xfId="0" applyNumberFormat="1" applyFont="1" applyBorder="1" applyAlignment="1" applyProtection="1">
      <alignment horizontal="center"/>
    </xf>
    <xf numFmtId="164" fontId="112" fillId="0" borderId="0" xfId="0" applyNumberFormat="1" applyFont="1"/>
    <xf numFmtId="0" fontId="40" fillId="0" borderId="17" xfId="0" applyFont="1" applyBorder="1"/>
    <xf numFmtId="3" fontId="7" fillId="15" borderId="44" xfId="0" applyNumberFormat="1" applyFont="1" applyFill="1" applyBorder="1" applyProtection="1"/>
    <xf numFmtId="4" fontId="37" fillId="15" borderId="103" xfId="0" applyNumberFormat="1" applyFont="1" applyFill="1" applyBorder="1" applyAlignment="1" applyProtection="1">
      <alignment horizontal="right"/>
    </xf>
    <xf numFmtId="3" fontId="37" fillId="22" borderId="5" xfId="0" applyNumberFormat="1" applyFont="1" applyFill="1" applyBorder="1" applyProtection="1">
      <protection locked="0"/>
    </xf>
    <xf numFmtId="0" fontId="10" fillId="0" borderId="0" xfId="0" applyFont="1" applyAlignment="1">
      <alignment horizontal="center"/>
    </xf>
    <xf numFmtId="0" fontId="10" fillId="0" borderId="29" xfId="0" applyFont="1" applyBorder="1" applyAlignment="1" applyProtection="1">
      <alignment horizontal="center"/>
    </xf>
    <xf numFmtId="179" fontId="40" fillId="0" borderId="0" xfId="1" applyNumberFormat="1" applyFont="1" applyAlignment="1">
      <alignment horizontal="center"/>
    </xf>
    <xf numFmtId="164" fontId="7" fillId="0" borderId="126" xfId="1" applyNumberFormat="1" applyFont="1" applyFill="1" applyBorder="1" applyProtection="1">
      <protection locked="0"/>
    </xf>
    <xf numFmtId="164" fontId="26" fillId="0" borderId="0" xfId="3" applyNumberFormat="1" applyProtection="1">
      <protection locked="0"/>
    </xf>
    <xf numFmtId="164" fontId="26" fillId="0" borderId="0" xfId="3" applyNumberFormat="1" applyFont="1" applyProtection="1">
      <protection locked="0"/>
    </xf>
    <xf numFmtId="164" fontId="26" fillId="0" borderId="170" xfId="3" applyNumberFormat="1" applyFont="1" applyBorder="1" applyProtection="1">
      <protection locked="0"/>
    </xf>
    <xf numFmtId="164" fontId="26" fillId="0" borderId="126" xfId="3" applyNumberFormat="1" applyFont="1" applyBorder="1" applyProtection="1">
      <protection locked="0"/>
    </xf>
    <xf numFmtId="164" fontId="26" fillId="0" borderId="172" xfId="3" applyNumberFormat="1" applyFont="1" applyBorder="1" applyProtection="1">
      <protection locked="0"/>
    </xf>
    <xf numFmtId="4" fontId="7" fillId="0" borderId="147" xfId="1" applyNumberFormat="1" applyFont="1" applyFill="1" applyBorder="1" applyProtection="1">
      <protection locked="0"/>
    </xf>
    <xf numFmtId="4" fontId="7" fillId="0" borderId="126" xfId="1" applyNumberFormat="1" applyFont="1" applyFill="1" applyBorder="1" applyProtection="1">
      <protection locked="0"/>
    </xf>
    <xf numFmtId="4" fontId="15" fillId="3" borderId="156" xfId="3" applyNumberFormat="1" applyFont="1" applyFill="1" applyBorder="1" applyProtection="1">
      <protection locked="0"/>
    </xf>
    <xf numFmtId="4" fontId="104" fillId="3" borderId="156" xfId="3" applyNumberFormat="1" applyFont="1" applyFill="1" applyBorder="1" applyProtection="1">
      <protection locked="0"/>
    </xf>
    <xf numFmtId="4" fontId="37" fillId="0" borderId="5" xfId="0" quotePrefix="1" applyNumberFormat="1" applyFont="1" applyBorder="1" applyAlignment="1" applyProtection="1">
      <alignment horizontal="right"/>
      <protection locked="0"/>
    </xf>
    <xf numFmtId="0" fontId="108" fillId="0" borderId="5" xfId="0" applyFont="1" applyBorder="1" applyAlignment="1" applyProtection="1">
      <alignment horizontal="center"/>
      <protection locked="0"/>
    </xf>
    <xf numFmtId="4" fontId="70" fillId="0" borderId="5" xfId="0" applyNumberFormat="1" applyFont="1" applyFill="1" applyBorder="1" applyAlignment="1" applyProtection="1">
      <alignment horizontal="right"/>
      <protection locked="0"/>
    </xf>
    <xf numFmtId="2" fontId="37" fillId="0" borderId="5" xfId="0" applyNumberFormat="1" applyFont="1" applyBorder="1" applyAlignment="1" applyProtection="1">
      <alignment horizontal="right"/>
      <protection locked="0"/>
    </xf>
    <xf numFmtId="10" fontId="37" fillId="0" borderId="5" xfId="4" applyNumberFormat="1" applyFont="1" applyBorder="1" applyAlignment="1" applyProtection="1">
      <alignment horizontal="right"/>
      <protection locked="0"/>
    </xf>
    <xf numFmtId="4" fontId="72" fillId="0" borderId="0" xfId="0" applyNumberFormat="1" applyFont="1" applyProtection="1">
      <protection locked="0"/>
    </xf>
    <xf numFmtId="0" fontId="60" fillId="0" borderId="0" xfId="0" applyFont="1" applyAlignment="1" applyProtection="1">
      <alignment horizontal="center"/>
      <protection locked="0"/>
    </xf>
    <xf numFmtId="3" fontId="99" fillId="0" borderId="0" xfId="0" applyNumberFormat="1" applyFont="1" applyProtection="1">
      <protection locked="0"/>
    </xf>
    <xf numFmtId="3" fontId="37" fillId="0" borderId="5" xfId="0" applyNumberFormat="1" applyFont="1" applyBorder="1" applyAlignment="1" applyProtection="1">
      <alignment horizontal="right"/>
      <protection locked="0"/>
    </xf>
    <xf numFmtId="164" fontId="85" fillId="0" borderId="5" xfId="0" applyNumberFormat="1" applyFont="1" applyBorder="1" applyAlignment="1" applyProtection="1">
      <alignment horizontal="right"/>
      <protection locked="0"/>
    </xf>
    <xf numFmtId="4" fontId="77" fillId="0" borderId="5" xfId="0" applyNumberFormat="1" applyFont="1" applyBorder="1" applyAlignment="1" applyProtection="1">
      <alignment horizontal="right"/>
      <protection locked="0"/>
    </xf>
    <xf numFmtId="0" fontId="69" fillId="2" borderId="0" xfId="0" applyFont="1" applyFill="1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69" fillId="0" borderId="0" xfId="0" applyFont="1" applyFill="1" applyAlignment="1" applyProtection="1">
      <alignment horizontal="center"/>
      <protection locked="0"/>
    </xf>
    <xf numFmtId="0" fontId="0" fillId="6" borderId="0" xfId="0" applyFill="1" applyProtection="1">
      <protection locked="0"/>
    </xf>
    <xf numFmtId="4" fontId="24" fillId="0" borderId="0" xfId="0" applyNumberFormat="1" applyFont="1" applyAlignment="1" applyProtection="1">
      <alignment horizontal="center"/>
    </xf>
    <xf numFmtId="0" fontId="3" fillId="0" borderId="0" xfId="0" applyFont="1" applyProtection="1"/>
    <xf numFmtId="3" fontId="7" fillId="0" borderId="16" xfId="0" applyNumberFormat="1" applyFont="1" applyBorder="1" applyProtection="1"/>
    <xf numFmtId="3" fontId="7" fillId="0" borderId="17" xfId="0" applyNumberFormat="1" applyFont="1" applyBorder="1" applyProtection="1"/>
    <xf numFmtId="4" fontId="7" fillId="0" borderId="5" xfId="0" applyNumberFormat="1" applyFont="1" applyBorder="1" applyProtection="1"/>
    <xf numFmtId="3" fontId="8" fillId="0" borderId="16" xfId="0" applyNumberFormat="1" applyFont="1" applyBorder="1" applyProtection="1"/>
    <xf numFmtId="3" fontId="7" fillId="6" borderId="17" xfId="0" applyNumberFormat="1" applyFont="1" applyFill="1" applyBorder="1" applyProtection="1"/>
    <xf numFmtId="3" fontId="7" fillId="0" borderId="76" xfId="0" applyNumberFormat="1" applyFont="1" applyFill="1" applyBorder="1" applyProtection="1"/>
    <xf numFmtId="3" fontId="7" fillId="0" borderId="50" xfId="0" applyNumberFormat="1" applyFont="1" applyBorder="1" applyProtection="1"/>
    <xf numFmtId="3" fontId="7" fillId="0" borderId="128" xfId="0" applyNumberFormat="1" applyFont="1" applyBorder="1" applyProtection="1"/>
    <xf numFmtId="3" fontId="7" fillId="2" borderId="16" xfId="0" applyNumberFormat="1" applyFont="1" applyFill="1" applyBorder="1" applyProtection="1"/>
    <xf numFmtId="4" fontId="8" fillId="0" borderId="17" xfId="0" applyNumberFormat="1" applyFont="1" applyBorder="1" applyProtection="1"/>
    <xf numFmtId="3" fontId="1" fillId="0" borderId="16" xfId="0" applyNumberFormat="1" applyFont="1" applyBorder="1" applyProtection="1"/>
    <xf numFmtId="3" fontId="3" fillId="0" borderId="0" xfId="0" applyNumberFormat="1" applyFont="1" applyProtection="1"/>
    <xf numFmtId="0" fontId="89" fillId="0" borderId="0" xfId="0" applyFont="1" applyFill="1" applyProtection="1"/>
    <xf numFmtId="3" fontId="7" fillId="0" borderId="16" xfId="0" applyNumberFormat="1" applyFont="1" applyFill="1" applyBorder="1" applyProtection="1"/>
    <xf numFmtId="3" fontId="101" fillId="0" borderId="17" xfId="0" applyNumberFormat="1" applyFont="1" applyFill="1" applyBorder="1" applyProtection="1"/>
    <xf numFmtId="0" fontId="0" fillId="0" borderId="0" xfId="0" applyFill="1" applyProtection="1"/>
    <xf numFmtId="0" fontId="3" fillId="0" borderId="0" xfId="0" applyFont="1" applyFill="1" applyProtection="1"/>
    <xf numFmtId="0" fontId="89" fillId="0" borderId="0" xfId="0" applyFont="1" applyProtection="1"/>
    <xf numFmtId="3" fontId="11" fillId="0" borderId="17" xfId="0" applyNumberFormat="1" applyFont="1" applyBorder="1" applyProtection="1"/>
    <xf numFmtId="3" fontId="1" fillId="0" borderId="16" xfId="0" applyNumberFormat="1" applyFont="1" applyFill="1" applyBorder="1" applyProtection="1"/>
    <xf numFmtId="3" fontId="8" fillId="0" borderId="17" xfId="0" applyNumberFormat="1" applyFont="1" applyFill="1" applyBorder="1" applyProtection="1"/>
    <xf numFmtId="3" fontId="8" fillId="0" borderId="17" xfId="0" applyNumberFormat="1" applyFont="1" applyBorder="1" applyProtection="1"/>
    <xf numFmtId="3" fontId="11" fillId="0" borderId="17" xfId="0" applyNumberFormat="1" applyFont="1" applyFill="1" applyBorder="1" applyProtection="1"/>
    <xf numFmtId="0" fontId="3" fillId="2" borderId="44" xfId="0" applyFont="1" applyFill="1" applyBorder="1" applyProtection="1"/>
    <xf numFmtId="0" fontId="3" fillId="2" borderId="10" xfId="0" applyFont="1" applyFill="1" applyBorder="1" applyProtection="1"/>
    <xf numFmtId="0" fontId="89" fillId="20" borderId="0" xfId="0" applyFont="1" applyFill="1" applyProtection="1"/>
    <xf numFmtId="3" fontId="7" fillId="20" borderId="16" xfId="0" applyNumberFormat="1" applyFont="1" applyFill="1" applyBorder="1" applyProtection="1"/>
    <xf numFmtId="4" fontId="7" fillId="0" borderId="10" xfId="0" applyNumberFormat="1" applyFont="1" applyBorder="1" applyProtection="1"/>
    <xf numFmtId="4" fontId="7" fillId="0" borderId="44" xfId="0" applyNumberFormat="1" applyFont="1" applyBorder="1" applyProtection="1"/>
    <xf numFmtId="4" fontId="3" fillId="0" borderId="44" xfId="0" applyNumberFormat="1" applyFont="1" applyBorder="1" applyProtection="1"/>
    <xf numFmtId="3" fontId="7" fillId="0" borderId="17" xfId="0" applyNumberFormat="1" applyFont="1" applyFill="1" applyBorder="1" applyProtection="1"/>
    <xf numFmtId="3" fontId="54" fillId="0" borderId="10" xfId="0" applyNumberFormat="1" applyFont="1" applyBorder="1" applyProtection="1"/>
    <xf numFmtId="4" fontId="8" fillId="0" borderId="44" xfId="0" applyNumberFormat="1" applyFont="1" applyBorder="1" applyProtection="1"/>
    <xf numFmtId="3" fontId="47" fillId="0" borderId="10" xfId="0" applyNumberFormat="1" applyFont="1" applyBorder="1" applyProtection="1"/>
    <xf numFmtId="4" fontId="3" fillId="0" borderId="0" xfId="0" applyNumberFormat="1" applyFont="1" applyBorder="1" applyProtection="1"/>
    <xf numFmtId="3" fontId="10" fillId="2" borderId="16" xfId="0" applyNumberFormat="1" applyFont="1" applyFill="1" applyBorder="1" applyProtection="1"/>
    <xf numFmtId="3" fontId="10" fillId="0" borderId="0" xfId="0" applyNumberFormat="1" applyFont="1" applyFill="1" applyBorder="1" applyProtection="1"/>
    <xf numFmtId="38" fontId="7" fillId="0" borderId="42" xfId="0" applyNumberFormat="1" applyFont="1" applyFill="1" applyBorder="1" applyAlignment="1" applyProtection="1">
      <alignment horizontal="right"/>
    </xf>
    <xf numFmtId="3" fontId="107" fillId="0" borderId="57" xfId="0" applyNumberFormat="1" applyFont="1" applyFill="1" applyBorder="1" applyAlignment="1" applyProtection="1">
      <alignment horizontal="center"/>
    </xf>
    <xf numFmtId="38" fontId="7" fillId="0" borderId="0" xfId="0" applyNumberFormat="1" applyFont="1" applyFill="1" applyBorder="1" applyAlignment="1" applyProtection="1">
      <alignment horizontal="right"/>
    </xf>
    <xf numFmtId="3" fontId="28" fillId="0" borderId="32" xfId="0" applyNumberFormat="1" applyFont="1" applyFill="1" applyBorder="1" applyAlignment="1" applyProtection="1">
      <alignment horizontal="center"/>
    </xf>
    <xf numFmtId="0" fontId="3" fillId="0" borderId="26" xfId="0" applyFont="1" applyBorder="1" applyAlignment="1" applyProtection="1">
      <alignment horizontal="right"/>
    </xf>
    <xf numFmtId="3" fontId="7" fillId="0" borderId="36" xfId="0" applyNumberFormat="1" applyFont="1" applyFill="1" applyBorder="1" applyAlignment="1" applyProtection="1">
      <alignment horizontal="center"/>
    </xf>
    <xf numFmtId="0" fontId="3" fillId="0" borderId="157" xfId="0" applyFont="1" applyBorder="1" applyAlignment="1" applyProtection="1">
      <alignment horizontal="right"/>
    </xf>
    <xf numFmtId="3" fontId="7" fillId="0" borderId="61" xfId="0" applyNumberFormat="1" applyFont="1" applyFill="1" applyBorder="1" applyAlignment="1" applyProtection="1">
      <alignment horizontal="center"/>
    </xf>
    <xf numFmtId="3" fontId="7" fillId="0" borderId="37" xfId="0" applyNumberFormat="1" applyFont="1" applyFill="1" applyBorder="1" applyAlignment="1" applyProtection="1">
      <alignment horizontal="center"/>
    </xf>
    <xf numFmtId="3" fontId="7" fillId="0" borderId="40" xfId="0" applyNumberFormat="1" applyFont="1" applyFill="1" applyBorder="1" applyAlignment="1" applyProtection="1">
      <alignment horizontal="center"/>
    </xf>
    <xf numFmtId="165" fontId="3" fillId="0" borderId="0" xfId="0" applyNumberFormat="1" applyFont="1" applyFill="1" applyBorder="1" applyAlignment="1" applyProtection="1">
      <alignment horizontal="right"/>
    </xf>
    <xf numFmtId="164" fontId="3" fillId="0" borderId="0" xfId="0" applyNumberFormat="1" applyFont="1" applyProtection="1"/>
    <xf numFmtId="3" fontId="7" fillId="0" borderId="60" xfId="0" applyNumberFormat="1" applyFont="1" applyFill="1" applyBorder="1" applyAlignment="1" applyProtection="1">
      <alignment horizontal="center"/>
    </xf>
    <xf numFmtId="38" fontId="3" fillId="0" borderId="0" xfId="0" applyNumberFormat="1" applyFont="1" applyFill="1" applyBorder="1" applyAlignment="1" applyProtection="1">
      <alignment horizontal="right"/>
    </xf>
    <xf numFmtId="10" fontId="3" fillId="0" borderId="0" xfId="4" applyNumberFormat="1" applyFont="1" applyFill="1" applyBorder="1" applyAlignment="1" applyProtection="1">
      <alignment horizontal="right"/>
    </xf>
    <xf numFmtId="3" fontId="3" fillId="0" borderId="0" xfId="0" applyNumberFormat="1" applyFont="1" applyFill="1" applyBorder="1" applyAlignment="1" applyProtection="1">
      <alignment horizontal="right"/>
    </xf>
    <xf numFmtId="3" fontId="3" fillId="0" borderId="0" xfId="0" applyNumberFormat="1" applyFont="1" applyFill="1" applyBorder="1" applyAlignment="1" applyProtection="1">
      <alignment horizontal="center"/>
    </xf>
    <xf numFmtId="3" fontId="7" fillId="0" borderId="7" xfId="0" applyNumberFormat="1" applyFont="1" applyFill="1" applyBorder="1" applyProtection="1"/>
    <xf numFmtId="38" fontId="7" fillId="0" borderId="8" xfId="0" applyNumberFormat="1" applyFont="1" applyFill="1" applyBorder="1" applyAlignment="1" applyProtection="1">
      <alignment horizontal="right"/>
    </xf>
    <xf numFmtId="0" fontId="7" fillId="0" borderId="8" xfId="0" applyFont="1" applyBorder="1" applyProtection="1"/>
    <xf numFmtId="49" fontId="10" fillId="0" borderId="6" xfId="0" applyNumberFormat="1" applyFont="1" applyBorder="1" applyAlignment="1" applyProtection="1">
      <alignment horizontal="center"/>
    </xf>
    <xf numFmtId="3" fontId="7" fillId="0" borderId="4" xfId="0" applyNumberFormat="1" applyFont="1" applyBorder="1" applyProtection="1"/>
    <xf numFmtId="3" fontId="7" fillId="0" borderId="5" xfId="0" applyNumberFormat="1" applyFont="1" applyFill="1" applyBorder="1" applyProtection="1"/>
    <xf numFmtId="3" fontId="14" fillId="7" borderId="16" xfId="0" applyNumberFormat="1" applyFont="1" applyFill="1" applyBorder="1" applyProtection="1"/>
    <xf numFmtId="3" fontId="7" fillId="7" borderId="4" xfId="0" applyNumberFormat="1" applyFont="1" applyFill="1" applyBorder="1" applyProtection="1"/>
    <xf numFmtId="3" fontId="7" fillId="7" borderId="5" xfId="0" applyNumberFormat="1" applyFont="1" applyFill="1" applyBorder="1" applyAlignment="1" applyProtection="1">
      <alignment horizontal="right"/>
    </xf>
    <xf numFmtId="4" fontId="14" fillId="7" borderId="5" xfId="0" applyNumberFormat="1" applyFont="1" applyFill="1" applyBorder="1" applyProtection="1"/>
    <xf numFmtId="4" fontId="14" fillId="7" borderId="10" xfId="0" applyNumberFormat="1" applyFont="1" applyFill="1" applyBorder="1" applyProtection="1"/>
    <xf numFmtId="0" fontId="14" fillId="0" borderId="0" xfId="0" applyFont="1" applyFill="1" applyProtection="1"/>
    <xf numFmtId="164" fontId="57" fillId="7" borderId="5" xfId="0" applyNumberFormat="1" applyFont="1" applyFill="1" applyBorder="1" applyAlignment="1" applyProtection="1">
      <alignment horizontal="right"/>
    </xf>
    <xf numFmtId="4" fontId="55" fillId="7" borderId="5" xfId="0" applyNumberFormat="1" applyFont="1" applyFill="1" applyBorder="1" applyProtection="1"/>
    <xf numFmtId="4" fontId="55" fillId="7" borderId="10" xfId="0" applyNumberFormat="1" applyFont="1" applyFill="1" applyBorder="1" applyProtection="1"/>
    <xf numFmtId="173" fontId="8" fillId="7" borderId="5" xfId="4" applyNumberFormat="1" applyFont="1" applyFill="1" applyBorder="1" applyAlignment="1" applyProtection="1">
      <alignment horizontal="right"/>
    </xf>
    <xf numFmtId="164" fontId="10" fillId="0" borderId="0" xfId="0" applyNumberFormat="1" applyFont="1" applyFill="1" applyProtection="1"/>
    <xf numFmtId="0" fontId="8" fillId="0" borderId="0" xfId="0" applyFont="1" applyProtection="1"/>
    <xf numFmtId="3" fontId="3" fillId="4" borderId="51" xfId="0" applyNumberFormat="1" applyFont="1" applyFill="1" applyBorder="1" applyProtection="1"/>
    <xf numFmtId="3" fontId="3" fillId="4" borderId="51" xfId="0" applyNumberFormat="1" applyFont="1" applyFill="1" applyBorder="1" applyAlignment="1" applyProtection="1">
      <alignment horizontal="right"/>
    </xf>
    <xf numFmtId="4" fontId="3" fillId="4" borderId="119" xfId="0" applyNumberFormat="1" applyFont="1" applyFill="1" applyBorder="1" applyProtection="1"/>
    <xf numFmtId="3" fontId="3" fillId="0" borderId="5" xfId="0" applyNumberFormat="1" applyFont="1" applyBorder="1" applyProtection="1"/>
    <xf numFmtId="3" fontId="3" fillId="0" borderId="5" xfId="0" applyNumberFormat="1" applyFont="1" applyBorder="1" applyAlignment="1" applyProtection="1">
      <alignment horizontal="right"/>
    </xf>
    <xf numFmtId="4" fontId="3" fillId="0" borderId="4" xfId="0" applyNumberFormat="1" applyFont="1" applyBorder="1" applyProtection="1"/>
    <xf numFmtId="3" fontId="27" fillId="0" borderId="5" xfId="0" applyNumberFormat="1" applyFont="1" applyBorder="1" applyProtection="1"/>
    <xf numFmtId="10" fontId="0" fillId="0" borderId="0" xfId="4" applyNumberFormat="1" applyFont="1" applyAlignment="1" applyProtection="1">
      <alignment horizontal="center"/>
    </xf>
    <xf numFmtId="3" fontId="3" fillId="4" borderId="5" xfId="0" applyNumberFormat="1" applyFont="1" applyFill="1" applyBorder="1" applyProtection="1"/>
    <xf numFmtId="3" fontId="3" fillId="4" borderId="5" xfId="0" applyNumberFormat="1" applyFont="1" applyFill="1" applyBorder="1" applyAlignment="1" applyProtection="1">
      <alignment horizontal="right"/>
    </xf>
    <xf numFmtId="4" fontId="3" fillId="4" borderId="4" xfId="0" applyNumberFormat="1" applyFont="1" applyFill="1" applyBorder="1" applyProtection="1"/>
    <xf numFmtId="3" fontId="27" fillId="0" borderId="18" xfId="0" applyNumberFormat="1" applyFont="1" applyBorder="1" applyProtection="1"/>
    <xf numFmtId="3" fontId="3" fillId="0" borderId="4" xfId="0" applyNumberFormat="1" applyFont="1" applyBorder="1" applyProtection="1"/>
    <xf numFmtId="3" fontId="3" fillId="0" borderId="18" xfId="0" applyNumberFormat="1" applyFont="1" applyBorder="1" applyProtection="1"/>
    <xf numFmtId="3" fontId="3" fillId="4" borderId="18" xfId="0" applyNumberFormat="1" applyFont="1" applyFill="1" applyBorder="1" applyProtection="1"/>
    <xf numFmtId="3" fontId="3" fillId="0" borderId="0" xfId="0" applyNumberFormat="1" applyFont="1" applyBorder="1" applyProtection="1"/>
    <xf numFmtId="3" fontId="3" fillId="0" borderId="0" xfId="0" applyNumberFormat="1" applyFont="1" applyBorder="1" applyAlignment="1" applyProtection="1">
      <alignment horizontal="center"/>
    </xf>
    <xf numFmtId="0" fontId="5" fillId="0" borderId="0" xfId="0" applyFont="1" applyBorder="1" applyProtection="1"/>
    <xf numFmtId="0" fontId="15" fillId="0" borderId="13" xfId="0" applyFont="1" applyBorder="1" applyProtection="1"/>
    <xf numFmtId="3" fontId="15" fillId="0" borderId="5" xfId="0" applyNumberFormat="1" applyFont="1" applyBorder="1" applyProtection="1"/>
    <xf numFmtId="3" fontId="15" fillId="0" borderId="5" xfId="0" applyNumberFormat="1" applyFont="1" applyBorder="1" applyAlignment="1" applyProtection="1">
      <alignment horizontal="right"/>
    </xf>
    <xf numFmtId="4" fontId="15" fillId="0" borderId="17" xfId="0" applyNumberFormat="1" applyFont="1" applyBorder="1" applyProtection="1"/>
    <xf numFmtId="3" fontId="15" fillId="2" borderId="5" xfId="0" applyNumberFormat="1" applyFont="1" applyFill="1" applyBorder="1" applyProtection="1"/>
    <xf numFmtId="164" fontId="15" fillId="2" borderId="5" xfId="0" applyNumberFormat="1" applyFont="1" applyFill="1" applyBorder="1" applyProtection="1"/>
    <xf numFmtId="3" fontId="15" fillId="2" borderId="5" xfId="0" applyNumberFormat="1" applyFont="1" applyFill="1" applyBorder="1" applyAlignment="1" applyProtection="1">
      <alignment horizontal="right"/>
    </xf>
    <xf numFmtId="4" fontId="15" fillId="2" borderId="17" xfId="0" applyNumberFormat="1" applyFont="1" applyFill="1" applyBorder="1" applyProtection="1"/>
    <xf numFmtId="4" fontId="15" fillId="2" borderId="5" xfId="0" applyNumberFormat="1" applyFont="1" applyFill="1" applyBorder="1" applyProtection="1"/>
    <xf numFmtId="3" fontId="15" fillId="0" borderId="17" xfId="0" applyNumberFormat="1" applyFont="1" applyBorder="1" applyProtection="1"/>
    <xf numFmtId="3" fontId="15" fillId="2" borderId="17" xfId="0" applyNumberFormat="1" applyFont="1" applyFill="1" applyBorder="1" applyProtection="1"/>
    <xf numFmtId="3" fontId="15" fillId="2" borderId="2" xfId="0" applyNumberFormat="1" applyFont="1" applyFill="1" applyBorder="1" applyProtection="1"/>
    <xf numFmtId="164" fontId="15" fillId="2" borderId="2" xfId="0" applyNumberFormat="1" applyFont="1" applyFill="1" applyBorder="1" applyProtection="1"/>
    <xf numFmtId="3" fontId="15" fillId="2" borderId="2" xfId="0" applyNumberFormat="1" applyFont="1" applyFill="1" applyBorder="1" applyAlignment="1" applyProtection="1">
      <alignment horizontal="right"/>
    </xf>
    <xf numFmtId="3" fontId="15" fillId="2" borderId="139" xfId="0" applyNumberFormat="1" applyFont="1" applyFill="1" applyBorder="1" applyProtection="1"/>
    <xf numFmtId="3" fontId="16" fillId="2" borderId="137" xfId="0" applyNumberFormat="1" applyFont="1" applyFill="1" applyBorder="1" applyProtection="1"/>
    <xf numFmtId="164" fontId="16" fillId="2" borderId="29" xfId="0" applyNumberFormat="1" applyFont="1" applyFill="1" applyBorder="1" applyProtection="1"/>
    <xf numFmtId="3" fontId="16" fillId="2" borderId="137" xfId="0" applyNumberFormat="1" applyFont="1" applyFill="1" applyBorder="1" applyAlignment="1" applyProtection="1">
      <alignment horizontal="right"/>
    </xf>
    <xf numFmtId="3" fontId="16" fillId="2" borderId="29" xfId="0" applyNumberFormat="1" applyFont="1" applyFill="1" applyBorder="1" applyProtection="1"/>
    <xf numFmtId="169" fontId="0" fillId="0" borderId="0" xfId="0" applyNumberFormat="1" applyAlignment="1" applyProtection="1">
      <alignment horizontal="center"/>
    </xf>
    <xf numFmtId="3" fontId="15" fillId="23" borderId="90" xfId="2" applyNumberFormat="1" applyFont="1" applyFill="1" applyBorder="1" applyProtection="1">
      <protection locked="0"/>
    </xf>
    <xf numFmtId="164" fontId="15" fillId="23" borderId="90" xfId="2" applyNumberFormat="1" applyFont="1" applyFill="1" applyBorder="1" applyProtection="1">
      <protection locked="0"/>
    </xf>
    <xf numFmtId="3" fontId="59" fillId="23" borderId="102" xfId="0" applyNumberFormat="1" applyFont="1" applyFill="1" applyBorder="1" applyProtection="1">
      <protection locked="0"/>
    </xf>
    <xf numFmtId="3" fontId="1" fillId="23" borderId="16" xfId="0" applyNumberFormat="1" applyFont="1" applyFill="1" applyBorder="1" applyProtection="1"/>
    <xf numFmtId="166" fontId="8" fillId="0" borderId="0" xfId="0" applyNumberFormat="1" applyFont="1"/>
    <xf numFmtId="3" fontId="93" fillId="0" borderId="186" xfId="0" applyNumberFormat="1" applyFont="1" applyFill="1" applyBorder="1" applyAlignment="1" applyProtection="1">
      <alignment horizontal="center"/>
      <protection locked="0"/>
    </xf>
    <xf numFmtId="3" fontId="93" fillId="0" borderId="187" xfId="0" applyNumberFormat="1" applyFont="1" applyFill="1" applyBorder="1" applyAlignment="1" applyProtection="1">
      <alignment horizontal="center"/>
      <protection locked="0"/>
    </xf>
    <xf numFmtId="0" fontId="108" fillId="0" borderId="0" xfId="0" applyFont="1" applyFill="1" applyBorder="1"/>
    <xf numFmtId="3" fontId="40" fillId="0" borderId="0" xfId="0" applyNumberFormat="1" applyFont="1" applyAlignment="1" applyProtection="1">
      <alignment horizontal="center"/>
      <protection locked="0"/>
    </xf>
    <xf numFmtId="4" fontId="113" fillId="3" borderId="156" xfId="3" applyNumberFormat="1" applyFont="1" applyFill="1" applyBorder="1" applyProtection="1">
      <protection locked="0"/>
    </xf>
    <xf numFmtId="3" fontId="100" fillId="0" borderId="102" xfId="0" applyNumberFormat="1" applyFont="1" applyFill="1" applyBorder="1" applyProtection="1">
      <protection locked="0"/>
    </xf>
    <xf numFmtId="3" fontId="1" fillId="0" borderId="44" xfId="0" applyNumberFormat="1" applyFont="1" applyBorder="1" applyProtection="1"/>
    <xf numFmtId="38" fontId="3" fillId="24" borderId="0" xfId="0" applyNumberFormat="1" applyFont="1" applyFill="1" applyBorder="1" applyAlignment="1" applyProtection="1">
      <alignment horizontal="right"/>
    </xf>
    <xf numFmtId="3" fontId="3" fillId="24" borderId="0" xfId="0" applyNumberFormat="1" applyFont="1" applyFill="1" applyBorder="1" applyAlignment="1" applyProtection="1">
      <alignment horizontal="center"/>
    </xf>
    <xf numFmtId="4" fontId="3" fillId="24" borderId="0" xfId="0" applyNumberFormat="1" applyFont="1" applyFill="1" applyBorder="1" applyAlignment="1" applyProtection="1">
      <alignment horizontal="center"/>
    </xf>
    <xf numFmtId="3" fontId="0" fillId="24" borderId="0" xfId="0" applyNumberFormat="1" applyFill="1" applyAlignment="1" applyProtection="1">
      <alignment horizontal="center"/>
    </xf>
    <xf numFmtId="0" fontId="0" fillId="24" borderId="0" xfId="0" applyFill="1" applyProtection="1"/>
    <xf numFmtId="3" fontId="0" fillId="24" borderId="0" xfId="0" applyNumberFormat="1" applyFill="1" applyAlignment="1" applyProtection="1">
      <alignment horizontal="right"/>
    </xf>
    <xf numFmtId="3" fontId="0" fillId="24" borderId="0" xfId="0" applyNumberFormat="1" applyFill="1" applyProtection="1"/>
    <xf numFmtId="164" fontId="104" fillId="0" borderId="90" xfId="2" applyNumberFormat="1" applyFont="1" applyBorder="1" applyProtection="1">
      <protection locked="0"/>
    </xf>
    <xf numFmtId="164" fontId="104" fillId="0" borderId="92" xfId="2" applyNumberFormat="1" applyFont="1" applyBorder="1" applyProtection="1">
      <protection locked="0"/>
    </xf>
    <xf numFmtId="169" fontId="15" fillId="0" borderId="175" xfId="2" applyNumberFormat="1" applyFont="1" applyFill="1" applyBorder="1" applyAlignment="1" applyProtection="1">
      <alignment horizontal="center"/>
      <protection locked="0"/>
    </xf>
    <xf numFmtId="4" fontId="15" fillId="0" borderId="175" xfId="2" applyNumberFormat="1" applyFont="1" applyBorder="1" applyAlignment="1" applyProtection="1">
      <alignment horizontal="center"/>
      <protection locked="0"/>
    </xf>
    <xf numFmtId="3" fontId="104" fillId="0" borderId="122" xfId="2" applyNumberFormat="1" applyFont="1" applyFill="1" applyBorder="1" applyProtection="1">
      <protection locked="0"/>
    </xf>
    <xf numFmtId="4" fontId="39" fillId="0" borderId="101" xfId="0" applyNumberFormat="1" applyFont="1" applyBorder="1" applyAlignment="1" applyProtection="1">
      <alignment horizontal="right"/>
    </xf>
    <xf numFmtId="4" fontId="39" fillId="0" borderId="108" xfId="0" applyNumberFormat="1" applyFont="1" applyBorder="1" applyAlignment="1" applyProtection="1">
      <alignment horizontal="right"/>
    </xf>
    <xf numFmtId="3" fontId="7" fillId="0" borderId="141" xfId="0" applyNumberFormat="1" applyFont="1" applyFill="1" applyBorder="1" applyProtection="1"/>
    <xf numFmtId="3" fontId="7" fillId="25" borderId="17" xfId="0" applyNumberFormat="1" applyFont="1" applyFill="1" applyBorder="1" applyProtection="1"/>
    <xf numFmtId="3" fontId="7" fillId="25" borderId="42" xfId="0" applyNumberFormat="1" applyFont="1" applyFill="1" applyBorder="1" applyProtection="1"/>
    <xf numFmtId="3" fontId="37" fillId="0" borderId="103" xfId="0" applyNumberFormat="1" applyFont="1" applyBorder="1" applyAlignment="1" applyProtection="1">
      <alignment horizontal="right"/>
    </xf>
    <xf numFmtId="3" fontId="37" fillId="0" borderId="103" xfId="0" applyNumberFormat="1" applyFont="1" applyBorder="1" applyAlignment="1" applyProtection="1">
      <alignment horizontal="center"/>
    </xf>
    <xf numFmtId="0" fontId="35" fillId="0" borderId="164" xfId="0" applyFont="1" applyBorder="1" applyAlignment="1" applyProtection="1">
      <alignment horizontal="center"/>
    </xf>
    <xf numFmtId="0" fontId="46" fillId="0" borderId="100" xfId="0" applyFont="1" applyBorder="1" applyAlignment="1" applyProtection="1">
      <alignment horizontal="center"/>
    </xf>
    <xf numFmtId="4" fontId="7" fillId="0" borderId="134" xfId="0" applyNumberFormat="1" applyFont="1" applyBorder="1" applyProtection="1"/>
    <xf numFmtId="3" fontId="7" fillId="0" borderId="133" xfId="0" applyNumberFormat="1" applyFont="1" applyBorder="1" applyProtection="1"/>
    <xf numFmtId="4" fontId="7" fillId="0" borderId="133" xfId="0" applyNumberFormat="1" applyFont="1" applyBorder="1" applyProtection="1"/>
    <xf numFmtId="3" fontId="114" fillId="0" borderId="5" xfId="0" applyNumberFormat="1" applyFont="1" applyBorder="1" applyAlignment="1" applyProtection="1">
      <alignment horizontal="right"/>
      <protection locked="0"/>
    </xf>
    <xf numFmtId="164" fontId="40" fillId="21" borderId="0" xfId="0" applyNumberFormat="1" applyFont="1" applyFill="1"/>
    <xf numFmtId="4" fontId="102" fillId="0" borderId="103" xfId="0" applyNumberFormat="1" applyFont="1" applyBorder="1" applyAlignment="1" applyProtection="1">
      <alignment horizontal="right"/>
    </xf>
    <xf numFmtId="0" fontId="1" fillId="0" borderId="0" xfId="0" applyFont="1" applyAlignment="1">
      <alignment horizontal="left" vertical="top" wrapText="1"/>
    </xf>
    <xf numFmtId="43" fontId="9" fillId="0" borderId="0" xfId="1" applyNumberFormat="1" applyFont="1" applyFill="1" applyBorder="1" applyAlignment="1">
      <alignment horizontal="left"/>
    </xf>
    <xf numFmtId="0" fontId="15" fillId="15" borderId="0" xfId="3" applyFont="1" applyFill="1"/>
    <xf numFmtId="0" fontId="15" fillId="0" borderId="0" xfId="3" applyFont="1" applyFill="1"/>
    <xf numFmtId="0" fontId="26" fillId="15" borderId="0" xfId="3" applyFill="1"/>
    <xf numFmtId="164" fontId="104" fillId="0" borderId="91" xfId="2" applyNumberFormat="1" applyFont="1" applyFill="1" applyBorder="1" applyProtection="1">
      <protection locked="0"/>
    </xf>
    <xf numFmtId="3" fontId="7" fillId="0" borderId="57" xfId="0" applyNumberFormat="1" applyFont="1" applyFill="1" applyBorder="1" applyAlignment="1" applyProtection="1">
      <alignment horizontal="right"/>
    </xf>
    <xf numFmtId="3" fontId="1" fillId="15" borderId="76" xfId="0" applyNumberFormat="1" applyFont="1" applyFill="1" applyBorder="1" applyProtection="1"/>
    <xf numFmtId="3" fontId="7" fillId="15" borderId="141" xfId="0" applyNumberFormat="1" applyFont="1" applyFill="1" applyBorder="1" applyProtection="1"/>
    <xf numFmtId="4" fontId="7" fillId="0" borderId="151" xfId="0" applyNumberFormat="1" applyFont="1" applyBorder="1" applyProtection="1"/>
    <xf numFmtId="3" fontId="1" fillId="15" borderId="188" xfId="0" applyNumberFormat="1" applyFont="1" applyFill="1" applyBorder="1" applyProtection="1"/>
    <xf numFmtId="3" fontId="7" fillId="15" borderId="27" xfId="0" applyNumberFormat="1" applyFont="1" applyFill="1" applyBorder="1" applyProtection="1"/>
    <xf numFmtId="164" fontId="104" fillId="0" borderId="91" xfId="2" applyNumberFormat="1" applyFont="1" applyBorder="1" applyProtection="1">
      <protection locked="0"/>
    </xf>
    <xf numFmtId="164" fontId="104" fillId="0" borderId="117" xfId="2" applyNumberFormat="1" applyFont="1" applyBorder="1" applyProtection="1">
      <protection locked="0"/>
    </xf>
    <xf numFmtId="3" fontId="115" fillId="27" borderId="0" xfId="0" applyNumberFormat="1" applyFont="1" applyFill="1"/>
    <xf numFmtId="3" fontId="113" fillId="0" borderId="0" xfId="0" applyNumberFormat="1" applyFont="1" applyProtection="1">
      <protection locked="0"/>
    </xf>
    <xf numFmtId="3" fontId="115" fillId="0" borderId="0" xfId="0" applyNumberFormat="1" applyFont="1"/>
    <xf numFmtId="3" fontId="15" fillId="0" borderId="0" xfId="2" applyNumberFormat="1" applyFont="1" applyBorder="1"/>
    <xf numFmtId="166" fontId="19" fillId="0" borderId="0" xfId="2" applyNumberFormat="1" applyFont="1" applyBorder="1"/>
    <xf numFmtId="3" fontId="52" fillId="0" borderId="0" xfId="0" applyNumberFormat="1" applyFont="1" applyBorder="1"/>
    <xf numFmtId="3" fontId="0" fillId="0" borderId="0" xfId="0" applyNumberFormat="1" applyBorder="1"/>
    <xf numFmtId="164" fontId="15" fillId="0" borderId="152" xfId="2" applyNumberFormat="1" applyFont="1" applyBorder="1"/>
    <xf numFmtId="0" fontId="10" fillId="0" borderId="29" xfId="0" applyFont="1" applyBorder="1" applyAlignment="1" applyProtection="1">
      <alignment horizontal="center"/>
    </xf>
    <xf numFmtId="4" fontId="1" fillId="0" borderId="27" xfId="0" applyNumberFormat="1" applyFont="1" applyFill="1" applyBorder="1" applyAlignment="1" applyProtection="1">
      <alignment horizontal="right"/>
    </xf>
    <xf numFmtId="3" fontId="10" fillId="0" borderId="190" xfId="0" applyNumberFormat="1" applyFont="1" applyBorder="1" applyAlignment="1" applyProtection="1">
      <alignment horizontal="left"/>
    </xf>
    <xf numFmtId="3" fontId="109" fillId="0" borderId="10" xfId="0" applyNumberFormat="1" applyFont="1" applyBorder="1" applyProtection="1"/>
    <xf numFmtId="170" fontId="7" fillId="2" borderId="10" xfId="0" applyNumberFormat="1" applyFont="1" applyFill="1" applyBorder="1" applyProtection="1"/>
    <xf numFmtId="169" fontId="7" fillId="0" borderId="10" xfId="0" applyNumberFormat="1" applyFont="1" applyFill="1" applyBorder="1" applyAlignment="1" applyProtection="1">
      <alignment horizontal="center"/>
    </xf>
    <xf numFmtId="4" fontId="110" fillId="0" borderId="10" xfId="0" applyNumberFormat="1" applyFont="1" applyBorder="1" applyProtection="1"/>
    <xf numFmtId="3" fontId="10" fillId="2" borderId="66" xfId="0" applyNumberFormat="1" applyFont="1" applyFill="1" applyBorder="1" applyAlignment="1" applyProtection="1">
      <alignment horizontal="center"/>
    </xf>
    <xf numFmtId="3" fontId="10" fillId="0" borderId="191" xfId="0" applyNumberFormat="1" applyFont="1" applyBorder="1" applyAlignment="1" applyProtection="1">
      <alignment horizontal="center"/>
    </xf>
    <xf numFmtId="3" fontId="10" fillId="0" borderId="192" xfId="0" applyNumberFormat="1" applyFont="1" applyBorder="1" applyAlignment="1" applyProtection="1">
      <alignment horizontal="center"/>
    </xf>
    <xf numFmtId="3" fontId="7" fillId="0" borderId="193" xfId="0" applyNumberFormat="1" applyFont="1" applyBorder="1" applyProtection="1"/>
    <xf numFmtId="3" fontId="7" fillId="0" borderId="194" xfId="0" applyNumberFormat="1" applyFont="1" applyBorder="1" applyProtection="1"/>
    <xf numFmtId="3" fontId="7" fillId="0" borderId="195" xfId="0" applyNumberFormat="1" applyFont="1" applyBorder="1" applyProtection="1"/>
    <xf numFmtId="3" fontId="7" fillId="2" borderId="193" xfId="0" applyNumberFormat="1" applyFont="1" applyFill="1" applyBorder="1" applyProtection="1"/>
    <xf numFmtId="3" fontId="8" fillId="0" borderId="193" xfId="0" applyNumberFormat="1" applyFont="1" applyBorder="1" applyProtection="1"/>
    <xf numFmtId="3" fontId="7" fillId="0" borderId="193" xfId="0" applyNumberFormat="1" applyFont="1" applyFill="1" applyBorder="1" applyProtection="1"/>
    <xf numFmtId="0" fontId="3" fillId="2" borderId="193" xfId="0" applyFont="1" applyFill="1" applyBorder="1" applyProtection="1"/>
    <xf numFmtId="3" fontId="10" fillId="2" borderId="193" xfId="0" applyNumberFormat="1" applyFont="1" applyFill="1" applyBorder="1" applyAlignment="1" applyProtection="1">
      <alignment horizontal="center"/>
    </xf>
    <xf numFmtId="0" fontId="10" fillId="0" borderId="196" xfId="0" applyFont="1" applyBorder="1" applyAlignment="1" applyProtection="1">
      <alignment horizontal="centerContinuous"/>
    </xf>
    <xf numFmtId="0" fontId="10" fillId="0" borderId="197" xfId="0" applyFont="1" applyBorder="1" applyAlignment="1" applyProtection="1">
      <alignment horizontal="center"/>
    </xf>
    <xf numFmtId="4" fontId="7" fillId="0" borderId="11" xfId="0" applyNumberFormat="1" applyFont="1" applyBorder="1" applyProtection="1"/>
    <xf numFmtId="4" fontId="8" fillId="0" borderId="11" xfId="0" applyNumberFormat="1" applyFont="1" applyBorder="1" applyProtection="1"/>
    <xf numFmtId="4" fontId="7" fillId="0" borderId="47" xfId="0" applyNumberFormat="1" applyFont="1" applyFill="1" applyBorder="1" applyProtection="1"/>
    <xf numFmtId="4" fontId="7" fillId="0" borderId="198" xfId="0" applyNumberFormat="1" applyFont="1" applyBorder="1" applyProtection="1"/>
    <xf numFmtId="4" fontId="7" fillId="2" borderId="11" xfId="0" applyNumberFormat="1" applyFont="1" applyFill="1" applyBorder="1" applyProtection="1"/>
    <xf numFmtId="164" fontId="7" fillId="0" borderId="11" xfId="0" applyNumberFormat="1" applyFont="1" applyBorder="1" applyAlignment="1" applyProtection="1">
      <alignment horizontal="right"/>
    </xf>
    <xf numFmtId="4" fontId="7" fillId="0" borderId="11" xfId="0" applyNumberFormat="1" applyFont="1" applyFill="1" applyBorder="1" applyProtection="1"/>
    <xf numFmtId="4" fontId="10" fillId="2" borderId="11" xfId="0" applyNumberFormat="1" applyFont="1" applyFill="1" applyBorder="1" applyProtection="1"/>
    <xf numFmtId="3" fontId="10" fillId="2" borderId="11" xfId="0" applyNumberFormat="1" applyFont="1" applyFill="1" applyBorder="1" applyAlignment="1" applyProtection="1">
      <alignment horizontal="center"/>
    </xf>
    <xf numFmtId="3" fontId="10" fillId="0" borderId="32" xfId="0" applyNumberFormat="1" applyFont="1" applyFill="1" applyBorder="1" applyAlignment="1" applyProtection="1">
      <alignment horizontal="center"/>
    </xf>
    <xf numFmtId="4" fontId="40" fillId="0" borderId="0" xfId="0" applyNumberFormat="1" applyFont="1" applyAlignment="1">
      <alignment horizontal="center"/>
    </xf>
    <xf numFmtId="0" fontId="104" fillId="0" borderId="0" xfId="0" applyFont="1" applyProtection="1">
      <protection locked="0"/>
    </xf>
    <xf numFmtId="164" fontId="26" fillId="15" borderId="0" xfId="3" applyNumberFormat="1" applyFont="1" applyFill="1" applyProtection="1">
      <protection locked="0"/>
    </xf>
    <xf numFmtId="3" fontId="102" fillId="0" borderId="5" xfId="0" applyNumberFormat="1" applyFont="1" applyBorder="1" applyAlignment="1" applyProtection="1">
      <alignment horizontal="right"/>
      <protection locked="0"/>
    </xf>
    <xf numFmtId="3" fontId="15" fillId="15" borderId="0" xfId="0" applyNumberFormat="1" applyFont="1" applyFill="1"/>
    <xf numFmtId="164" fontId="40" fillId="28" borderId="0" xfId="0" applyNumberFormat="1" applyFont="1" applyFill="1"/>
    <xf numFmtId="0" fontId="16" fillId="0" borderId="0" xfId="0" applyFont="1" applyAlignment="1">
      <alignment horizontal="center"/>
    </xf>
    <xf numFmtId="0" fontId="116" fillId="0" borderId="17" xfId="0" applyFont="1" applyBorder="1"/>
    <xf numFmtId="0" fontId="40" fillId="0" borderId="18" xfId="0" applyFont="1" applyBorder="1" applyAlignment="1">
      <alignment horizontal="center"/>
    </xf>
    <xf numFmtId="3" fontId="117" fillId="0" borderId="5" xfId="0" applyNumberFormat="1" applyFont="1" applyBorder="1" applyAlignment="1" applyProtection="1">
      <alignment horizontal="right"/>
      <protection locked="0"/>
    </xf>
    <xf numFmtId="3" fontId="118" fillId="0" borderId="5" xfId="0" applyNumberFormat="1" applyFont="1" applyBorder="1" applyAlignment="1" applyProtection="1">
      <alignment horizontal="right"/>
      <protection locked="0"/>
    </xf>
    <xf numFmtId="3" fontId="109" fillId="15" borderId="16" xfId="0" applyNumberFormat="1" applyFont="1" applyFill="1" applyBorder="1" applyProtection="1"/>
    <xf numFmtId="0" fontId="15" fillId="17" borderId="0" xfId="3" applyFont="1" applyFill="1"/>
    <xf numFmtId="0" fontId="26" fillId="17" borderId="0" xfId="3" applyFill="1"/>
    <xf numFmtId="3" fontId="104" fillId="0" borderId="95" xfId="2" applyNumberFormat="1" applyFont="1" applyFill="1" applyBorder="1" applyProtection="1">
      <protection locked="0"/>
    </xf>
    <xf numFmtId="3" fontId="58" fillId="17" borderId="102" xfId="0" applyNumberFormat="1" applyFont="1" applyFill="1" applyBorder="1" applyProtection="1">
      <protection locked="0"/>
    </xf>
    <xf numFmtId="3" fontId="37" fillId="17" borderId="102" xfId="0" applyNumberFormat="1" applyFont="1" applyFill="1" applyBorder="1" applyProtection="1">
      <protection locked="0"/>
    </xf>
    <xf numFmtId="0" fontId="3" fillId="18" borderId="9" xfId="0" applyFont="1" applyFill="1" applyBorder="1" applyProtection="1"/>
    <xf numFmtId="0" fontId="3" fillId="18" borderId="10" xfId="0" applyFont="1" applyFill="1" applyBorder="1" applyProtection="1"/>
    <xf numFmtId="3" fontId="3" fillId="18" borderId="5" xfId="0" applyNumberFormat="1" applyFont="1" applyFill="1" applyBorder="1" applyProtection="1"/>
    <xf numFmtId="3" fontId="3" fillId="18" borderId="5" xfId="0" applyNumberFormat="1" applyFont="1" applyFill="1" applyBorder="1" applyAlignment="1" applyProtection="1">
      <alignment horizontal="right"/>
    </xf>
    <xf numFmtId="4" fontId="3" fillId="18" borderId="4" xfId="0" applyNumberFormat="1" applyFont="1" applyFill="1" applyBorder="1" applyProtection="1"/>
    <xf numFmtId="0" fontId="119" fillId="0" borderId="140" xfId="0" applyFont="1" applyBorder="1" applyProtection="1"/>
    <xf numFmtId="0" fontId="119" fillId="12" borderId="140" xfId="0" applyFont="1" applyFill="1" applyBorder="1" applyProtection="1"/>
    <xf numFmtId="3" fontId="109" fillId="0" borderId="0" xfId="0" applyNumberFormat="1" applyFont="1"/>
    <xf numFmtId="3" fontId="104" fillId="0" borderId="0" xfId="0" applyNumberFormat="1" applyFont="1" applyProtection="1">
      <protection locked="0"/>
    </xf>
    <xf numFmtId="4" fontId="109" fillId="0" borderId="44" xfId="0" applyNumberFormat="1" applyFont="1" applyBorder="1" applyProtection="1"/>
    <xf numFmtId="166" fontId="120" fillId="0" borderId="144" xfId="2" applyNumberFormat="1" applyFont="1" applyBorder="1" applyAlignment="1">
      <alignment horizontal="center"/>
    </xf>
    <xf numFmtId="169" fontId="120" fillId="0" borderId="91" xfId="2" applyNumberFormat="1" applyFont="1" applyBorder="1" applyAlignment="1" applyProtection="1">
      <alignment horizontal="center"/>
      <protection locked="0"/>
    </xf>
    <xf numFmtId="164" fontId="120" fillId="0" borderId="94" xfId="2" applyNumberFormat="1" applyFont="1" applyBorder="1" applyProtection="1">
      <protection locked="0"/>
    </xf>
    <xf numFmtId="164" fontId="120" fillId="0" borderId="91" xfId="2" applyNumberFormat="1" applyFont="1" applyBorder="1" applyProtection="1">
      <protection locked="0"/>
    </xf>
    <xf numFmtId="180" fontId="26" fillId="0" borderId="0" xfId="3" applyNumberFormat="1"/>
    <xf numFmtId="164" fontId="40" fillId="22" borderId="0" xfId="0" applyNumberFormat="1" applyFont="1" applyFill="1"/>
    <xf numFmtId="4" fontId="85" fillId="18" borderId="18" xfId="0" applyNumberFormat="1" applyFont="1" applyFill="1" applyBorder="1" applyProtection="1">
      <protection locked="0"/>
    </xf>
    <xf numFmtId="4" fontId="85" fillId="18" borderId="16" xfId="0" applyNumberFormat="1" applyFont="1" applyFill="1" applyBorder="1" applyProtection="1">
      <protection locked="0"/>
    </xf>
    <xf numFmtId="164" fontId="105" fillId="0" borderId="44" xfId="0" applyNumberFormat="1" applyFont="1" applyBorder="1" applyAlignment="1" applyProtection="1">
      <alignment horizontal="right"/>
    </xf>
    <xf numFmtId="167" fontId="15" fillId="0" borderId="0" xfId="0" applyNumberFormat="1" applyFont="1"/>
    <xf numFmtId="164" fontId="121" fillId="0" borderId="66" xfId="0" applyNumberFormat="1" applyFont="1" applyBorder="1" applyAlignment="1" applyProtection="1">
      <alignment horizontal="right"/>
    </xf>
    <xf numFmtId="173" fontId="0" fillId="0" borderId="0" xfId="4" applyNumberFormat="1" applyFont="1"/>
    <xf numFmtId="164" fontId="0" fillId="15" borderId="0" xfId="0" applyNumberFormat="1" applyFill="1"/>
    <xf numFmtId="169" fontId="37" fillId="0" borderId="77" xfId="0" applyNumberFormat="1" applyFont="1" applyFill="1" applyBorder="1" applyAlignment="1" applyProtection="1">
      <alignment horizontal="center"/>
    </xf>
    <xf numFmtId="164" fontId="123" fillId="0" borderId="91" xfId="2" applyNumberFormat="1" applyFont="1" applyBorder="1" applyProtection="1">
      <protection locked="0"/>
    </xf>
    <xf numFmtId="0" fontId="26" fillId="26" borderId="0" xfId="3" applyFill="1"/>
    <xf numFmtId="0" fontId="15" fillId="0" borderId="0" xfId="3" applyFont="1" applyAlignment="1">
      <alignment horizontal="right"/>
    </xf>
    <xf numFmtId="164" fontId="104" fillId="15" borderId="91" xfId="2" applyNumberFormat="1" applyFont="1" applyFill="1" applyBorder="1" applyProtection="1">
      <protection locked="0"/>
    </xf>
    <xf numFmtId="4" fontId="7" fillId="0" borderId="72" xfId="0" applyNumberFormat="1" applyFont="1" applyFill="1" applyBorder="1" applyAlignment="1" applyProtection="1">
      <alignment horizontal="right"/>
    </xf>
    <xf numFmtId="164" fontId="7" fillId="0" borderId="66" xfId="0" applyNumberFormat="1" applyFont="1" applyFill="1" applyBorder="1" applyAlignment="1" applyProtection="1">
      <alignment horizontal="right"/>
    </xf>
    <xf numFmtId="3" fontId="122" fillId="0" borderId="76" xfId="0" applyNumberFormat="1" applyFont="1" applyFill="1" applyBorder="1" applyProtection="1">
      <protection locked="0"/>
    </xf>
    <xf numFmtId="169" fontId="102" fillId="0" borderId="77" xfId="0" applyNumberFormat="1" applyFont="1" applyFill="1" applyBorder="1" applyAlignment="1" applyProtection="1">
      <alignment horizontal="center"/>
    </xf>
    <xf numFmtId="4" fontId="37" fillId="0" borderId="18" xfId="0" applyNumberFormat="1" applyFont="1" applyFill="1" applyBorder="1" applyProtection="1">
      <protection locked="0"/>
    </xf>
    <xf numFmtId="4" fontId="37" fillId="0" borderId="77" xfId="0" applyNumberFormat="1" applyFont="1" applyFill="1" applyBorder="1" applyAlignment="1" applyProtection="1">
      <alignment horizontal="center"/>
    </xf>
    <xf numFmtId="4" fontId="37" fillId="0" borderId="80" xfId="0" applyNumberFormat="1" applyFont="1" applyFill="1" applyBorder="1" applyProtection="1">
      <protection locked="0"/>
    </xf>
    <xf numFmtId="3" fontId="102" fillId="0" borderId="76" xfId="0" applyNumberFormat="1" applyFont="1" applyBorder="1" applyProtection="1">
      <protection locked="0"/>
    </xf>
    <xf numFmtId="3" fontId="102" fillId="0" borderId="76" xfId="0" applyNumberFormat="1" applyFont="1" applyFill="1" applyBorder="1" applyProtection="1">
      <protection locked="0"/>
    </xf>
    <xf numFmtId="4" fontId="37" fillId="0" borderId="80" xfId="0" applyNumberFormat="1" applyFont="1" applyBorder="1" applyProtection="1">
      <protection locked="0"/>
    </xf>
    <xf numFmtId="3" fontId="15" fillId="0" borderId="115" xfId="2" applyNumberFormat="1" applyFont="1" applyBorder="1"/>
    <xf numFmtId="0" fontId="34" fillId="15" borderId="0" xfId="0" applyFont="1" applyFill="1" applyAlignment="1">
      <alignment horizontal="center"/>
    </xf>
    <xf numFmtId="164" fontId="109" fillId="0" borderId="44" xfId="0" applyNumberFormat="1" applyFont="1" applyBorder="1" applyAlignment="1" applyProtection="1">
      <alignment horizontal="right"/>
    </xf>
    <xf numFmtId="0" fontId="1" fillId="0" borderId="0" xfId="0" applyFont="1" applyAlignment="1">
      <alignment horizontal="left" vertical="top" wrapText="1"/>
    </xf>
    <xf numFmtId="169" fontId="104" fillId="0" borderId="91" xfId="2" applyNumberFormat="1" applyFont="1" applyBorder="1" applyAlignment="1" applyProtection="1">
      <alignment horizontal="center"/>
      <protection locked="0"/>
    </xf>
    <xf numFmtId="169" fontId="15" fillId="0" borderId="94" xfId="2" applyNumberFormat="1" applyFont="1" applyFill="1" applyBorder="1" applyAlignment="1" applyProtection="1">
      <alignment horizontal="center"/>
      <protection locked="0"/>
    </xf>
    <xf numFmtId="10" fontId="3" fillId="0" borderId="0" xfId="4" applyNumberFormat="1" applyFont="1" applyProtection="1">
      <protection locked="0"/>
    </xf>
    <xf numFmtId="164" fontId="124" fillId="0" borderId="91" xfId="2" applyNumberFormat="1" applyFont="1" applyBorder="1" applyProtection="1">
      <protection locked="0"/>
    </xf>
    <xf numFmtId="0" fontId="109" fillId="0" borderId="0" xfId="0" applyFont="1"/>
    <xf numFmtId="4" fontId="125" fillId="0" borderId="11" xfId="0" applyNumberFormat="1" applyFont="1" applyBorder="1" applyProtection="1"/>
    <xf numFmtId="164" fontId="109" fillId="0" borderId="66" xfId="0" applyNumberFormat="1" applyFont="1" applyBorder="1" applyAlignment="1" applyProtection="1">
      <alignment horizontal="right"/>
    </xf>
    <xf numFmtId="4" fontId="124" fillId="4" borderId="0" xfId="3" applyNumberFormat="1" applyFont="1" applyFill="1"/>
    <xf numFmtId="0" fontId="126" fillId="0" borderId="0" xfId="0" applyFont="1"/>
    <xf numFmtId="4" fontId="37" fillId="0" borderId="167" xfId="0" applyNumberFormat="1" applyFont="1" applyBorder="1" applyAlignment="1" applyProtection="1">
      <alignment horizontal="right"/>
    </xf>
    <xf numFmtId="0" fontId="26" fillId="21" borderId="0" xfId="3" applyFill="1"/>
    <xf numFmtId="0" fontId="15" fillId="16" borderId="0" xfId="2" applyFont="1" applyFill="1"/>
    <xf numFmtId="0" fontId="10" fillId="0" borderId="29" xfId="0" applyFont="1" applyBorder="1" applyAlignment="1" applyProtection="1">
      <alignment horizontal="center"/>
    </xf>
    <xf numFmtId="4" fontId="37" fillId="0" borderId="18" xfId="0" applyNumberFormat="1" applyFont="1" applyBorder="1" applyProtection="1">
      <protection locked="0"/>
    </xf>
    <xf numFmtId="4" fontId="37" fillId="0" borderId="77" xfId="0" applyNumberFormat="1" applyFont="1" applyBorder="1" applyAlignment="1" applyProtection="1">
      <alignment horizontal="center"/>
    </xf>
    <xf numFmtId="0" fontId="10" fillId="0" borderId="200" xfId="0" applyFont="1" applyBorder="1" applyAlignment="1" applyProtection="1">
      <alignment horizontal="centerContinuous"/>
    </xf>
    <xf numFmtId="0" fontId="10" fillId="0" borderId="199" xfId="0" applyFont="1" applyBorder="1" applyAlignment="1" applyProtection="1">
      <alignment horizontal="center"/>
    </xf>
    <xf numFmtId="164" fontId="1" fillId="0" borderId="11" xfId="0" applyNumberFormat="1" applyFont="1" applyBorder="1" applyAlignment="1" applyProtection="1">
      <alignment horizontal="right"/>
    </xf>
    <xf numFmtId="4" fontId="1" fillId="0" borderId="11" xfId="0" applyNumberFormat="1" applyFont="1" applyBorder="1" applyAlignment="1" applyProtection="1">
      <alignment horizontal="right"/>
    </xf>
    <xf numFmtId="4" fontId="1" fillId="0" borderId="47" xfId="0" applyNumberFormat="1" applyFont="1" applyFill="1" applyBorder="1" applyAlignment="1" applyProtection="1">
      <alignment horizontal="right"/>
    </xf>
    <xf numFmtId="4" fontId="1" fillId="0" borderId="11" xfId="0" applyNumberFormat="1" applyFont="1" applyFill="1" applyBorder="1" applyAlignment="1" applyProtection="1">
      <alignment horizontal="right"/>
    </xf>
    <xf numFmtId="4" fontId="1" fillId="0" borderId="198" xfId="0" applyNumberFormat="1" applyFont="1" applyBorder="1" applyAlignment="1" applyProtection="1">
      <alignment horizontal="right"/>
    </xf>
    <xf numFmtId="4" fontId="1" fillId="2" borderId="11" xfId="0" applyNumberFormat="1" applyFont="1" applyFill="1" applyBorder="1" applyAlignment="1" applyProtection="1">
      <alignment horizontal="right"/>
    </xf>
    <xf numFmtId="4" fontId="10" fillId="2" borderId="11" xfId="0" applyNumberFormat="1" applyFont="1" applyFill="1" applyBorder="1" applyAlignment="1" applyProtection="1">
      <alignment horizontal="right"/>
    </xf>
    <xf numFmtId="4" fontId="113" fillId="3" borderId="126" xfId="3" applyNumberFormat="1" applyFont="1" applyFill="1" applyBorder="1" applyProtection="1">
      <protection locked="0"/>
    </xf>
    <xf numFmtId="4" fontId="3" fillId="0" borderId="0" xfId="0" applyNumberFormat="1" applyFont="1" applyProtection="1"/>
    <xf numFmtId="164" fontId="71" fillId="15" borderId="91" xfId="2" applyNumberFormat="1" applyFont="1" applyFill="1" applyBorder="1" applyProtection="1">
      <protection locked="0"/>
    </xf>
    <xf numFmtId="164" fontId="15" fillId="0" borderId="91" xfId="2" applyNumberFormat="1" applyFont="1" applyFill="1" applyBorder="1" applyProtection="1">
      <protection locked="0"/>
    </xf>
    <xf numFmtId="164" fontId="15" fillId="0" borderId="175" xfId="2" applyNumberFormat="1" applyFont="1" applyBorder="1" applyProtection="1">
      <protection locked="0"/>
    </xf>
    <xf numFmtId="4" fontId="1" fillId="0" borderId="0" xfId="0" applyNumberFormat="1" applyFont="1" applyFill="1" applyBorder="1" applyAlignment="1" applyProtection="1">
      <alignment horizontal="center"/>
    </xf>
    <xf numFmtId="164" fontId="7" fillId="0" borderId="32" xfId="0" applyNumberFormat="1" applyFont="1" applyFill="1" applyBorder="1" applyAlignment="1" applyProtection="1">
      <alignment horizontal="center"/>
    </xf>
    <xf numFmtId="4" fontId="1" fillId="0" borderId="11" xfId="0" applyNumberFormat="1" applyFont="1" applyBorder="1" applyProtection="1"/>
    <xf numFmtId="164" fontId="7" fillId="0" borderId="201" xfId="0" applyNumberFormat="1" applyFont="1" applyBorder="1" applyAlignment="1" applyProtection="1">
      <alignment horizontal="right"/>
    </xf>
    <xf numFmtId="164" fontId="7" fillId="0" borderId="202" xfId="0" applyNumberFormat="1" applyFont="1" applyBorder="1" applyAlignment="1" applyProtection="1">
      <alignment horizontal="right"/>
    </xf>
    <xf numFmtId="3" fontId="10" fillId="0" borderId="57" xfId="0" applyNumberFormat="1" applyFont="1" applyFill="1" applyBorder="1" applyAlignment="1" applyProtection="1">
      <alignment horizontal="right"/>
    </xf>
    <xf numFmtId="164" fontId="109" fillId="0" borderId="11" xfId="0" applyNumberFormat="1" applyFont="1" applyBorder="1" applyAlignment="1" applyProtection="1">
      <alignment horizontal="right"/>
    </xf>
    <xf numFmtId="0" fontId="104" fillId="0" borderId="0" xfId="3" applyFont="1" applyAlignment="1">
      <alignment horizontal="right"/>
    </xf>
    <xf numFmtId="4" fontId="102" fillId="0" borderId="101" xfId="0" applyNumberFormat="1" applyFont="1" applyBorder="1" applyAlignment="1" applyProtection="1">
      <alignment horizontal="right"/>
    </xf>
    <xf numFmtId="3" fontId="127" fillId="0" borderId="90" xfId="2" applyNumberFormat="1" applyFont="1" applyFill="1" applyBorder="1" applyProtection="1">
      <protection locked="0"/>
    </xf>
    <xf numFmtId="3" fontId="128" fillId="0" borderId="90" xfId="2" applyNumberFormat="1" applyFont="1" applyFill="1" applyBorder="1" applyProtection="1">
      <protection locked="0"/>
    </xf>
    <xf numFmtId="167" fontId="37" fillId="2" borderId="1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Alignment="1">
      <alignment horizontal="left" vertical="top" wrapText="1"/>
    </xf>
    <xf numFmtId="3" fontId="104" fillId="15" borderId="90" xfId="2" applyNumberFormat="1" applyFont="1" applyFill="1" applyBorder="1" applyProtection="1">
      <protection locked="0"/>
    </xf>
    <xf numFmtId="164" fontId="18" fillId="15" borderId="91" xfId="2" applyNumberFormat="1" applyFont="1" applyFill="1" applyBorder="1" applyProtection="1">
      <protection locked="0"/>
    </xf>
    <xf numFmtId="3" fontId="109" fillId="0" borderId="16" xfId="0" applyNumberFormat="1" applyFont="1" applyFill="1" applyBorder="1" applyProtection="1"/>
    <xf numFmtId="3" fontId="37" fillId="15" borderId="102" xfId="0" applyNumberFormat="1" applyFont="1" applyFill="1" applyBorder="1" applyProtection="1">
      <protection locked="0"/>
    </xf>
    <xf numFmtId="0" fontId="104" fillId="17" borderId="0" xfId="3" applyFont="1" applyFill="1"/>
    <xf numFmtId="0" fontId="15" fillId="24" borderId="0" xfId="3" applyFont="1" applyFill="1"/>
    <xf numFmtId="4" fontId="0" fillId="18" borderId="0" xfId="0" applyNumberFormat="1" applyFill="1"/>
    <xf numFmtId="4" fontId="7" fillId="0" borderId="156" xfId="1" applyNumberFormat="1" applyFont="1" applyFill="1" applyBorder="1" applyProtection="1">
      <protection locked="0"/>
    </xf>
    <xf numFmtId="4" fontId="26" fillId="0" borderId="156" xfId="3" applyNumberFormat="1" applyFont="1" applyFill="1" applyBorder="1" applyProtection="1">
      <protection locked="0"/>
    </xf>
    <xf numFmtId="4" fontId="26" fillId="0" borderId="0" xfId="3" applyNumberFormat="1" applyFont="1" applyFill="1" applyBorder="1" applyProtection="1">
      <protection locked="0"/>
    </xf>
    <xf numFmtId="4" fontId="15" fillId="0" borderId="156" xfId="3" applyNumberFormat="1" applyFont="1" applyFill="1" applyBorder="1" applyProtection="1">
      <protection locked="0"/>
    </xf>
    <xf numFmtId="4" fontId="102" fillId="15" borderId="103" xfId="0" applyNumberFormat="1" applyFont="1" applyFill="1" applyBorder="1" applyAlignment="1" applyProtection="1">
      <alignment horizontal="right"/>
    </xf>
    <xf numFmtId="3" fontId="129" fillId="27" borderId="0" xfId="0" applyNumberFormat="1" applyFont="1" applyFill="1"/>
    <xf numFmtId="0" fontId="40" fillId="0" borderId="0" xfId="0" applyFont="1" applyAlignment="1">
      <alignment horizontal="right"/>
    </xf>
    <xf numFmtId="0" fontId="104" fillId="0" borderId="0" xfId="3" applyFont="1" applyFill="1"/>
    <xf numFmtId="3" fontId="102" fillId="0" borderId="5" xfId="0" applyNumberFormat="1" applyFont="1" applyBorder="1" applyProtection="1">
      <protection locked="0"/>
    </xf>
    <xf numFmtId="164" fontId="15" fillId="16" borderId="91" xfId="2" applyNumberFormat="1" applyFont="1" applyFill="1" applyBorder="1" applyProtection="1">
      <protection locked="0"/>
    </xf>
    <xf numFmtId="164" fontId="104" fillId="16" borderId="91" xfId="2" applyNumberFormat="1" applyFont="1" applyFill="1" applyBorder="1" applyProtection="1">
      <protection locked="0"/>
    </xf>
    <xf numFmtId="3" fontId="1" fillId="15" borderId="16" xfId="0" applyNumberFormat="1" applyFont="1" applyFill="1" applyBorder="1" applyProtection="1"/>
    <xf numFmtId="4" fontId="102" fillId="15" borderId="108" xfId="0" applyNumberFormat="1" applyFont="1" applyFill="1" applyBorder="1" applyAlignment="1" applyProtection="1">
      <alignment horizontal="right"/>
    </xf>
    <xf numFmtId="0" fontId="1" fillId="0" borderId="0" xfId="0" applyFont="1" applyAlignment="1">
      <alignment horizontal="left" vertical="top" wrapText="1"/>
    </xf>
    <xf numFmtId="164" fontId="123" fillId="0" borderId="92" xfId="2" applyNumberFormat="1" applyFont="1" applyBorder="1" applyProtection="1">
      <protection locked="0"/>
    </xf>
    <xf numFmtId="43" fontId="130" fillId="15" borderId="126" xfId="1" applyNumberFormat="1" applyFont="1" applyFill="1" applyBorder="1"/>
    <xf numFmtId="3" fontId="40" fillId="15" borderId="102" xfId="0" applyNumberFormat="1" applyFont="1" applyFill="1" applyBorder="1" applyProtection="1">
      <protection locked="0"/>
    </xf>
    <xf numFmtId="4" fontId="131" fillId="0" borderId="103" xfId="0" applyNumberFormat="1" applyFont="1" applyBorder="1" applyAlignment="1" applyProtection="1">
      <alignment horizontal="right"/>
    </xf>
    <xf numFmtId="4" fontId="37" fillId="15" borderId="101" xfId="0" applyNumberFormat="1" applyFont="1" applyFill="1" applyBorder="1" applyAlignment="1" applyProtection="1">
      <alignment horizontal="right"/>
    </xf>
    <xf numFmtId="43" fontId="9" fillId="22" borderId="126" xfId="1" applyNumberFormat="1" applyFont="1" applyFill="1" applyBorder="1"/>
    <xf numFmtId="164" fontId="26" fillId="22" borderId="0" xfId="3" applyNumberFormat="1" applyFont="1" applyFill="1" applyProtection="1">
      <protection locked="0"/>
    </xf>
    <xf numFmtId="43" fontId="64" fillId="26" borderId="140" xfId="1" applyNumberFormat="1" applyFont="1" applyFill="1" applyBorder="1" applyAlignment="1">
      <alignment horizontal="left"/>
    </xf>
    <xf numFmtId="164" fontId="26" fillId="26" borderId="126" xfId="3" applyNumberFormat="1" applyFont="1" applyFill="1" applyBorder="1" applyProtection="1">
      <protection locked="0"/>
    </xf>
    <xf numFmtId="0" fontId="15" fillId="23" borderId="0" xfId="3" applyFont="1" applyFill="1"/>
    <xf numFmtId="4" fontId="113" fillId="3" borderId="0" xfId="3" applyNumberFormat="1" applyFont="1" applyFill="1" applyBorder="1" applyProtection="1">
      <protection locked="0"/>
    </xf>
    <xf numFmtId="4" fontId="63" fillId="7" borderId="0" xfId="1" applyNumberFormat="1" applyFont="1" applyFill="1" applyBorder="1"/>
    <xf numFmtId="4" fontId="104" fillId="3" borderId="0" xfId="3" applyNumberFormat="1" applyFont="1" applyFill="1"/>
    <xf numFmtId="164" fontId="104" fillId="15" borderId="90" xfId="2" applyNumberFormat="1" applyFont="1" applyFill="1" applyBorder="1" applyProtection="1">
      <protection locked="0"/>
    </xf>
    <xf numFmtId="169" fontId="15" fillId="15" borderId="91" xfId="2" applyNumberFormat="1" applyFont="1" applyFill="1" applyBorder="1" applyAlignment="1" applyProtection="1">
      <alignment horizontal="center"/>
      <protection locked="0"/>
    </xf>
    <xf numFmtId="4" fontId="15" fillId="15" borderId="91" xfId="2" applyNumberFormat="1" applyFont="1" applyFill="1" applyBorder="1" applyAlignment="1" applyProtection="1">
      <alignment horizontal="center"/>
      <protection locked="0"/>
    </xf>
    <xf numFmtId="164" fontId="15" fillId="15" borderId="92" xfId="2" applyNumberFormat="1" applyFont="1" applyFill="1" applyBorder="1" applyProtection="1">
      <protection locked="0"/>
    </xf>
    <xf numFmtId="3" fontId="59" fillId="15" borderId="102" xfId="0" applyNumberFormat="1" applyFont="1" applyFill="1" applyBorder="1" applyProtection="1">
      <protection locked="0"/>
    </xf>
    <xf numFmtId="3" fontId="1" fillId="29" borderId="16" xfId="0" applyNumberFormat="1" applyFont="1" applyFill="1" applyBorder="1" applyProtection="1"/>
    <xf numFmtId="4" fontId="37" fillId="0" borderId="5" xfId="0" applyNumberFormat="1" applyFont="1" applyFill="1" applyBorder="1" applyAlignment="1" applyProtection="1">
      <alignment horizontal="right"/>
      <protection locked="0"/>
    </xf>
    <xf numFmtId="4" fontId="104" fillId="15" borderId="156" xfId="3" applyNumberFormat="1" applyFont="1" applyFill="1" applyBorder="1" applyProtection="1">
      <protection locked="0"/>
    </xf>
    <xf numFmtId="3" fontId="15" fillId="15" borderId="0" xfId="2" applyNumberFormat="1" applyFont="1" applyFill="1" applyBorder="1" applyProtection="1">
      <protection locked="0"/>
    </xf>
    <xf numFmtId="164" fontId="71" fillId="0" borderId="0" xfId="2" applyNumberFormat="1" applyFont="1" applyBorder="1" applyProtection="1">
      <protection locked="0"/>
    </xf>
    <xf numFmtId="164" fontId="26" fillId="30" borderId="0" xfId="3" applyNumberFormat="1" applyFont="1" applyFill="1" applyAlignment="1" applyProtection="1">
      <alignment horizontal="right"/>
      <protection locked="0"/>
    </xf>
    <xf numFmtId="4" fontId="102" fillId="30" borderId="103" xfId="0" applyNumberFormat="1" applyFont="1" applyFill="1" applyBorder="1" applyAlignment="1" applyProtection="1">
      <alignment horizontal="right"/>
    </xf>
    <xf numFmtId="0" fontId="15" fillId="15" borderId="140" xfId="0" applyFont="1" applyFill="1" applyBorder="1" applyProtection="1"/>
    <xf numFmtId="0" fontId="124" fillId="12" borderId="140" xfId="0" applyFont="1" applyFill="1" applyBorder="1" applyProtection="1"/>
    <xf numFmtId="4" fontId="15" fillId="15" borderId="156" xfId="3" applyNumberFormat="1" applyFont="1" applyFill="1" applyBorder="1" applyProtection="1">
      <protection locked="0"/>
    </xf>
    <xf numFmtId="0" fontId="37" fillId="26" borderId="0" xfId="0" applyFont="1" applyFill="1" applyAlignment="1" applyProtection="1">
      <alignment horizontal="center"/>
      <protection locked="0"/>
    </xf>
    <xf numFmtId="0" fontId="26" fillId="0" borderId="0" xfId="3" applyFont="1" applyFill="1" applyAlignment="1">
      <alignment horizontal="center"/>
    </xf>
    <xf numFmtId="4" fontId="18" fillId="0" borderId="0" xfId="3" applyNumberFormat="1" applyFont="1" applyFill="1"/>
    <xf numFmtId="4" fontId="104" fillId="0" borderId="0" xfId="3" applyNumberFormat="1" applyFont="1" applyFill="1"/>
    <xf numFmtId="4" fontId="80" fillId="0" borderId="0" xfId="3" applyNumberFormat="1" applyFont="1" applyFill="1"/>
    <xf numFmtId="4" fontId="103" fillId="0" borderId="0" xfId="3" applyNumberFormat="1" applyFont="1" applyFill="1"/>
    <xf numFmtId="4" fontId="15" fillId="0" borderId="0" xfId="3" applyNumberFormat="1" applyFont="1" applyFill="1"/>
    <xf numFmtId="4" fontId="26" fillId="0" borderId="0" xfId="3" applyNumberFormat="1" applyFont="1" applyFill="1"/>
    <xf numFmtId="0" fontId="1" fillId="0" borderId="0" xfId="0" applyFont="1" applyFill="1" applyAlignment="1">
      <alignment horizontal="left" vertical="top" wrapText="1"/>
    </xf>
    <xf numFmtId="0" fontId="15" fillId="0" borderId="0" xfId="3" applyFont="1" applyFill="1" applyAlignment="1">
      <alignment horizontal="center"/>
    </xf>
    <xf numFmtId="164" fontId="26" fillId="0" borderId="0" xfId="3" applyNumberFormat="1" applyFill="1" applyProtection="1">
      <protection locked="0"/>
    </xf>
    <xf numFmtId="4" fontId="95" fillId="0" borderId="0" xfId="3" applyNumberFormat="1" applyFont="1" applyFill="1" applyBorder="1"/>
    <xf numFmtId="164" fontId="26" fillId="0" borderId="0" xfId="3" applyNumberFormat="1" applyFont="1" applyFill="1" applyBorder="1" applyProtection="1">
      <protection locked="0"/>
    </xf>
    <xf numFmtId="4" fontId="120" fillId="3" borderId="156" xfId="3" applyNumberFormat="1" applyFont="1" applyFill="1" applyBorder="1" applyProtection="1">
      <protection locked="0"/>
    </xf>
    <xf numFmtId="4" fontId="26" fillId="22" borderId="0" xfId="3" applyNumberFormat="1" applyFill="1"/>
    <xf numFmtId="0" fontId="132" fillId="0" borderId="0" xfId="3" applyFont="1" applyFill="1"/>
    <xf numFmtId="4" fontId="26" fillId="0" borderId="0" xfId="3" applyNumberFormat="1" applyAlignment="1">
      <alignment horizontal="left"/>
    </xf>
    <xf numFmtId="164" fontId="26" fillId="0" borderId="0" xfId="3" applyNumberFormat="1" applyAlignment="1">
      <alignment horizontal="left"/>
    </xf>
    <xf numFmtId="3" fontId="108" fillId="0" borderId="102" xfId="0" applyNumberFormat="1" applyFont="1" applyBorder="1" applyProtection="1">
      <protection locked="0"/>
    </xf>
    <xf numFmtId="164" fontId="133" fillId="0" borderId="90" xfId="2" applyNumberFormat="1" applyFont="1" applyBorder="1" applyProtection="1">
      <protection locked="0"/>
    </xf>
    <xf numFmtId="164" fontId="133" fillId="0" borderId="92" xfId="2" applyNumberFormat="1" applyFont="1" applyBorder="1" applyProtection="1">
      <protection locked="0"/>
    </xf>
    <xf numFmtId="4" fontId="7" fillId="0" borderId="203" xfId="0" applyNumberFormat="1" applyFont="1" applyFill="1" applyBorder="1" applyProtection="1"/>
    <xf numFmtId="4" fontId="7" fillId="0" borderId="204" xfId="0" applyNumberFormat="1" applyFont="1" applyFill="1" applyBorder="1" applyAlignment="1" applyProtection="1">
      <alignment horizontal="right"/>
    </xf>
    <xf numFmtId="164" fontId="7" fillId="0" borderId="32" xfId="0" applyNumberFormat="1" applyFont="1" applyFill="1" applyBorder="1" applyAlignment="1" applyProtection="1">
      <alignment horizontal="right"/>
    </xf>
    <xf numFmtId="164" fontId="7" fillId="0" borderId="131" xfId="0" applyNumberFormat="1" applyFont="1" applyFill="1" applyBorder="1" applyAlignment="1" applyProtection="1">
      <alignment horizontal="right"/>
    </xf>
    <xf numFmtId="164" fontId="7" fillId="0" borderId="205" xfId="0" applyNumberFormat="1" applyFont="1" applyBorder="1" applyAlignment="1" applyProtection="1">
      <alignment horizontal="right"/>
    </xf>
    <xf numFmtId="3" fontId="7" fillId="0" borderId="32" xfId="0" applyNumberFormat="1" applyFont="1" applyFill="1" applyBorder="1" applyProtection="1"/>
    <xf numFmtId="3" fontId="7" fillId="0" borderId="206" xfId="0" applyNumberFormat="1" applyFont="1" applyBorder="1" applyProtection="1"/>
    <xf numFmtId="4" fontId="1" fillId="0" borderId="203" xfId="0" applyNumberFormat="1" applyFont="1" applyFill="1" applyBorder="1" applyAlignment="1" applyProtection="1">
      <alignment horizontal="right"/>
    </xf>
    <xf numFmtId="3" fontId="1" fillId="15" borderId="207" xfId="0" applyNumberFormat="1" applyFont="1" applyFill="1" applyBorder="1" applyProtection="1"/>
    <xf numFmtId="3" fontId="7" fillId="15" borderId="43" xfId="0" applyNumberFormat="1" applyFont="1" applyFill="1" applyBorder="1" applyProtection="1"/>
    <xf numFmtId="164" fontId="7" fillId="0" borderId="208" xfId="0" applyNumberFormat="1" applyFont="1" applyBorder="1" applyAlignment="1" applyProtection="1">
      <alignment horizontal="right"/>
    </xf>
    <xf numFmtId="4" fontId="7" fillId="0" borderId="197" xfId="0" applyNumberFormat="1" applyFont="1" applyFill="1" applyBorder="1" applyProtection="1"/>
    <xf numFmtId="4" fontId="7" fillId="0" borderId="209" xfId="0" applyNumberFormat="1" applyFont="1" applyFill="1" applyBorder="1" applyAlignment="1" applyProtection="1">
      <alignment horizontal="right"/>
    </xf>
    <xf numFmtId="164" fontId="7" fillId="0" borderId="45" xfId="0" applyNumberFormat="1" applyFont="1" applyFill="1" applyBorder="1" applyAlignment="1" applyProtection="1">
      <alignment horizontal="right"/>
    </xf>
    <xf numFmtId="164" fontId="7" fillId="0" borderId="210" xfId="0" applyNumberFormat="1" applyFont="1" applyFill="1" applyBorder="1" applyAlignment="1" applyProtection="1">
      <alignment horizontal="right"/>
    </xf>
    <xf numFmtId="164" fontId="7" fillId="0" borderId="34" xfId="0" applyNumberFormat="1" applyFont="1" applyBorder="1" applyAlignment="1" applyProtection="1">
      <alignment horizontal="right"/>
    </xf>
    <xf numFmtId="3" fontId="7" fillId="0" borderId="45" xfId="0" applyNumberFormat="1" applyFont="1" applyFill="1" applyBorder="1" applyProtection="1"/>
    <xf numFmtId="3" fontId="7" fillId="0" borderId="15" xfId="0" applyNumberFormat="1" applyFont="1" applyFill="1" applyBorder="1" applyProtection="1"/>
    <xf numFmtId="3" fontId="7" fillId="0" borderId="192" xfId="0" applyNumberFormat="1" applyFont="1" applyBorder="1" applyProtection="1"/>
    <xf numFmtId="4" fontId="3" fillId="0" borderId="211" xfId="0" applyNumberFormat="1" applyFont="1" applyBorder="1" applyProtection="1"/>
    <xf numFmtId="0" fontId="26" fillId="22" borderId="16" xfId="3" applyFill="1" applyBorder="1"/>
    <xf numFmtId="3" fontId="7" fillId="22" borderId="17" xfId="0" applyNumberFormat="1" applyFont="1" applyFill="1" applyBorder="1" applyProtection="1"/>
    <xf numFmtId="0" fontId="26" fillId="22" borderId="6" xfId="3" applyFill="1" applyBorder="1"/>
    <xf numFmtId="3" fontId="7" fillId="22" borderId="139" xfId="0" applyNumberFormat="1" applyFont="1" applyFill="1" applyBorder="1" applyProtection="1"/>
    <xf numFmtId="3" fontId="37" fillId="0" borderId="5" xfId="0" quotePrefix="1" applyNumberFormat="1" applyFont="1" applyBorder="1" applyAlignment="1" applyProtection="1">
      <alignment horizontal="right"/>
      <protection locked="0"/>
    </xf>
    <xf numFmtId="164" fontId="102" fillId="0" borderId="4" xfId="0" applyNumberFormat="1" applyFont="1" applyFill="1" applyBorder="1" applyProtection="1"/>
    <xf numFmtId="4" fontId="1" fillId="7" borderId="0" xfId="0" applyNumberFormat="1" applyFont="1" applyFill="1"/>
    <xf numFmtId="169" fontId="104" fillId="0" borderId="91" xfId="2" applyNumberFormat="1" applyFont="1" applyFill="1" applyBorder="1" applyAlignment="1" applyProtection="1">
      <alignment horizontal="center"/>
      <protection locked="0"/>
    </xf>
    <xf numFmtId="169" fontId="15" fillId="15" borderId="175" xfId="2" applyNumberFormat="1" applyFont="1" applyFill="1" applyBorder="1" applyAlignment="1" applyProtection="1">
      <alignment horizontal="center"/>
      <protection locked="0"/>
    </xf>
    <xf numFmtId="169" fontId="104" fillId="0" borderId="96" xfId="2" applyNumberFormat="1" applyFont="1" applyFill="1" applyBorder="1" applyAlignment="1" applyProtection="1">
      <alignment horizontal="center"/>
      <protection locked="0"/>
    </xf>
    <xf numFmtId="164" fontId="37" fillId="0" borderId="18" xfId="0" applyNumberFormat="1" applyFont="1" applyBorder="1" applyProtection="1">
      <protection locked="0"/>
    </xf>
    <xf numFmtId="4" fontId="134" fillId="0" borderId="103" xfId="0" applyNumberFormat="1" applyFont="1" applyBorder="1" applyAlignment="1" applyProtection="1">
      <alignment horizontal="right"/>
    </xf>
    <xf numFmtId="4" fontId="133" fillId="0" borderId="0" xfId="3" applyNumberFormat="1" applyFont="1" applyAlignment="1">
      <alignment horizontal="left"/>
    </xf>
    <xf numFmtId="3" fontId="135" fillId="0" borderId="16" xfId="0" applyNumberFormat="1" applyFont="1" applyBorder="1" applyProtection="1"/>
    <xf numFmtId="3" fontId="133" fillId="0" borderId="90" xfId="2" applyNumberFormat="1" applyFont="1" applyFill="1" applyBorder="1" applyProtection="1">
      <protection locked="0"/>
    </xf>
    <xf numFmtId="164" fontId="133" fillId="0" borderId="91" xfId="2" applyNumberFormat="1" applyFont="1" applyFill="1" applyBorder="1" applyProtection="1">
      <protection locked="0"/>
    </xf>
    <xf numFmtId="3" fontId="0" fillId="31" borderId="0" xfId="0" applyNumberFormat="1" applyFill="1"/>
    <xf numFmtId="169" fontId="104" fillId="0" borderId="146" xfId="2" applyNumberFormat="1" applyFont="1" applyFill="1" applyBorder="1" applyAlignment="1" applyProtection="1">
      <alignment horizontal="center"/>
      <protection locked="0"/>
    </xf>
    <xf numFmtId="164" fontId="15" fillId="0" borderId="212" xfId="2" applyNumberFormat="1" applyFont="1" applyBorder="1" applyProtection="1">
      <protection locked="0"/>
    </xf>
    <xf numFmtId="3" fontId="133" fillId="0" borderId="122" xfId="2" applyNumberFormat="1" applyFont="1" applyFill="1" applyBorder="1" applyProtection="1">
      <protection locked="0"/>
    </xf>
    <xf numFmtId="0" fontId="133" fillId="0" borderId="0" xfId="3" applyFont="1"/>
    <xf numFmtId="3" fontId="136" fillId="0" borderId="102" xfId="0" applyNumberFormat="1" applyFont="1" applyFill="1" applyBorder="1" applyProtection="1">
      <protection locked="0"/>
    </xf>
    <xf numFmtId="0" fontId="109" fillId="0" borderId="0" xfId="0" applyFont="1" applyAlignment="1">
      <alignment horizontal="center"/>
    </xf>
    <xf numFmtId="4" fontId="102" fillId="0" borderId="5" xfId="0" applyNumberFormat="1" applyFont="1" applyBorder="1" applyAlignment="1" applyProtection="1">
      <alignment horizontal="right"/>
      <protection locked="0"/>
    </xf>
    <xf numFmtId="169" fontId="102" fillId="0" borderId="77" xfId="0" applyNumberFormat="1" applyFont="1" applyBorder="1" applyAlignment="1" applyProtection="1">
      <alignment horizontal="center"/>
    </xf>
    <xf numFmtId="3" fontId="0" fillId="22" borderId="0" xfId="0" applyNumberFormat="1" applyFill="1"/>
    <xf numFmtId="3" fontId="0" fillId="15" borderId="0" xfId="0" applyNumberFormat="1" applyFill="1"/>
    <xf numFmtId="0" fontId="0" fillId="22" borderId="0" xfId="0" applyFill="1"/>
    <xf numFmtId="164" fontId="104" fillId="0" borderId="0" xfId="3" applyNumberFormat="1" applyFont="1" applyProtection="1">
      <protection locked="0"/>
    </xf>
    <xf numFmtId="0" fontId="58" fillId="0" borderId="1" xfId="0" applyFont="1" applyFill="1" applyBorder="1" applyProtection="1"/>
    <xf numFmtId="3" fontId="58" fillId="0" borderId="1" xfId="0" applyNumberFormat="1" applyFont="1" applyFill="1" applyBorder="1" applyAlignment="1" applyProtection="1">
      <alignment horizontal="center"/>
    </xf>
    <xf numFmtId="167" fontId="37" fillId="0" borderId="1" xfId="0" applyNumberFormat="1" applyFont="1" applyFill="1" applyBorder="1" applyAlignment="1" applyProtection="1">
      <alignment horizontal="center"/>
      <protection locked="0"/>
    </xf>
    <xf numFmtId="4" fontId="37" fillId="0" borderId="1" xfId="0" applyNumberFormat="1" applyFont="1" applyFill="1" applyBorder="1" applyProtection="1"/>
    <xf numFmtId="3" fontId="134" fillId="0" borderId="76" xfId="0" applyNumberFormat="1" applyFont="1" applyFill="1" applyBorder="1" applyProtection="1">
      <protection locked="0"/>
    </xf>
    <xf numFmtId="3" fontId="134" fillId="0" borderId="76" xfId="0" applyNumberFormat="1" applyFont="1" applyBorder="1" applyProtection="1">
      <protection locked="0"/>
    </xf>
    <xf numFmtId="169" fontId="133" fillId="0" borderId="96" xfId="2" applyNumberFormat="1" applyFont="1" applyFill="1" applyBorder="1" applyAlignment="1" applyProtection="1">
      <alignment horizontal="center"/>
      <protection locked="0"/>
    </xf>
    <xf numFmtId="169" fontId="133" fillId="0" borderId="91" xfId="2" applyNumberFormat="1" applyFont="1" applyFill="1" applyBorder="1" applyAlignment="1" applyProtection="1">
      <alignment horizontal="center"/>
      <protection locked="0"/>
    </xf>
    <xf numFmtId="0" fontId="53" fillId="0" borderId="115" xfId="0" applyFont="1" applyBorder="1" applyAlignment="1">
      <alignment horizontal="right"/>
    </xf>
    <xf numFmtId="0" fontId="53" fillId="0" borderId="10" xfId="0" applyFont="1" applyBorder="1" applyAlignment="1">
      <alignment horizontal="right"/>
    </xf>
    <xf numFmtId="0" fontId="137" fillId="0" borderId="0" xfId="0" applyFont="1" applyAlignment="1">
      <alignment horizontal="right"/>
    </xf>
    <xf numFmtId="172" fontId="38" fillId="0" borderId="0" xfId="0" applyNumberFormat="1" applyFont="1"/>
    <xf numFmtId="171" fontId="102" fillId="0" borderId="0" xfId="0" applyNumberFormat="1" applyFont="1"/>
    <xf numFmtId="4" fontId="29" fillId="7" borderId="0" xfId="0" applyNumberFormat="1" applyFont="1" applyFill="1" applyAlignment="1">
      <alignment horizontal="center"/>
    </xf>
    <xf numFmtId="172" fontId="0" fillId="0" borderId="0" xfId="0" applyNumberFormat="1"/>
    <xf numFmtId="4" fontId="40" fillId="22" borderId="0" xfId="0" applyNumberFormat="1" applyFont="1" applyFill="1"/>
    <xf numFmtId="0" fontId="0" fillId="0" borderId="141" xfId="0" applyBorder="1"/>
    <xf numFmtId="0" fontId="0" fillId="0" borderId="80" xfId="0" applyBorder="1"/>
    <xf numFmtId="0" fontId="0" fillId="0" borderId="140" xfId="0" applyBorder="1"/>
    <xf numFmtId="0" fontId="0" fillId="0" borderId="153" xfId="0" applyBorder="1"/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64" fontId="26" fillId="0" borderId="0" xfId="3" applyNumberFormat="1" applyFont="1" applyFill="1" applyBorder="1" applyAlignment="1" applyProtection="1">
      <alignment horizontal="right"/>
      <protection locked="0"/>
    </xf>
    <xf numFmtId="0" fontId="0" fillId="0" borderId="0" xfId="0" applyFill="1" applyBorder="1" applyProtection="1">
      <protection locked="0"/>
    </xf>
    <xf numFmtId="4" fontId="7" fillId="0" borderId="0" xfId="1" applyNumberFormat="1" applyFont="1" applyFill="1" applyBorder="1" applyProtection="1">
      <protection locked="0"/>
    </xf>
    <xf numFmtId="4" fontId="15" fillId="0" borderId="0" xfId="3" applyNumberFormat="1" applyFont="1" applyFill="1" applyBorder="1" applyProtection="1">
      <protection locked="0"/>
    </xf>
    <xf numFmtId="4" fontId="104" fillId="0" borderId="0" xfId="3" applyNumberFormat="1" applyFont="1" applyFill="1" applyBorder="1" applyProtection="1">
      <protection locked="0"/>
    </xf>
    <xf numFmtId="4" fontId="113" fillId="0" borderId="0" xfId="3" applyNumberFormat="1" applyFont="1" applyFill="1" applyBorder="1" applyProtection="1">
      <protection locked="0"/>
    </xf>
    <xf numFmtId="168" fontId="138" fillId="0" borderId="0" xfId="0" applyNumberFormat="1" applyFont="1" applyFill="1"/>
    <xf numFmtId="3" fontId="22" fillId="0" borderId="0" xfId="0" applyNumberFormat="1" applyFont="1" applyFill="1"/>
    <xf numFmtId="4" fontId="53" fillId="0" borderId="0" xfId="0" applyNumberFormat="1" applyFont="1" applyFill="1"/>
    <xf numFmtId="3" fontId="68" fillId="0" borderId="110" xfId="0" applyNumberFormat="1" applyFont="1" applyFill="1" applyBorder="1" applyAlignment="1" applyProtection="1">
      <alignment horizontal="center"/>
    </xf>
    <xf numFmtId="3" fontId="68" fillId="0" borderId="110" xfId="0" applyNumberFormat="1" applyFont="1" applyFill="1" applyBorder="1" applyAlignment="1" applyProtection="1">
      <alignment horizontal="right"/>
    </xf>
    <xf numFmtId="3" fontId="0" fillId="0" borderId="0" xfId="0" applyNumberFormat="1" applyAlignment="1">
      <alignment horizontal="center"/>
    </xf>
    <xf numFmtId="3" fontId="68" fillId="0" borderId="0" xfId="0" applyNumberFormat="1" applyFont="1" applyFill="1" applyBorder="1" applyAlignment="1" applyProtection="1">
      <alignment horizontal="right"/>
    </xf>
    <xf numFmtId="3" fontId="37" fillId="2" borderId="0" xfId="0" applyNumberFormat="1" applyFont="1" applyFill="1" applyBorder="1" applyProtection="1">
      <protection locked="0"/>
    </xf>
    <xf numFmtId="4" fontId="37" fillId="0" borderId="0" xfId="0" applyNumberFormat="1" applyFont="1" applyBorder="1" applyAlignment="1" applyProtection="1">
      <alignment horizontal="center"/>
    </xf>
    <xf numFmtId="164" fontId="37" fillId="0" borderId="0" xfId="0" applyNumberFormat="1" applyFont="1" applyBorder="1" applyAlignment="1" applyProtection="1">
      <alignment horizontal="right"/>
    </xf>
    <xf numFmtId="0" fontId="22" fillId="0" borderId="0" xfId="0" applyFont="1" applyBorder="1" applyAlignment="1" applyProtection="1">
      <alignment horizontal="center"/>
    </xf>
    <xf numFmtId="3" fontId="22" fillId="0" borderId="0" xfId="0" applyNumberFormat="1" applyFont="1" applyFill="1" applyAlignment="1">
      <alignment horizontal="center"/>
    </xf>
    <xf numFmtId="4" fontId="53" fillId="0" borderId="0" xfId="0" applyNumberFormat="1" applyFont="1" applyFill="1" applyAlignment="1">
      <alignment horizontal="center"/>
    </xf>
    <xf numFmtId="168" fontId="138" fillId="0" borderId="0" xfId="0" applyNumberFormat="1" applyFont="1" applyFill="1" applyAlignment="1">
      <alignment horizontal="center"/>
    </xf>
    <xf numFmtId="3" fontId="37" fillId="2" borderId="0" xfId="0" applyNumberFormat="1" applyFont="1" applyFill="1" applyBorder="1" applyAlignment="1" applyProtection="1">
      <alignment horizontal="center"/>
      <protection locked="0"/>
    </xf>
    <xf numFmtId="173" fontId="37" fillId="0" borderId="0" xfId="4" applyNumberFormat="1" applyFont="1" applyBorder="1" applyAlignment="1" applyProtection="1">
      <alignment horizontal="center"/>
    </xf>
    <xf numFmtId="164" fontId="0" fillId="0" borderId="0" xfId="0" applyNumberFormat="1" applyAlignment="1">
      <alignment horizontal="center"/>
    </xf>
    <xf numFmtId="4" fontId="37" fillId="0" borderId="213" xfId="0" applyNumberFormat="1" applyFont="1" applyFill="1" applyBorder="1" applyAlignment="1" applyProtection="1">
      <alignment horizontal="right"/>
    </xf>
    <xf numFmtId="168" fontId="37" fillId="0" borderId="189" xfId="0" applyNumberFormat="1" applyFont="1" applyFill="1" applyBorder="1" applyAlignment="1" applyProtection="1">
      <alignment horizontal="center"/>
    </xf>
    <xf numFmtId="3" fontId="37" fillId="0" borderId="189" xfId="0" applyNumberFormat="1" applyFont="1" applyFill="1" applyBorder="1" applyAlignment="1" applyProtection="1">
      <alignment horizontal="right"/>
    </xf>
    <xf numFmtId="173" fontId="37" fillId="0" borderId="189" xfId="4" applyNumberFormat="1" applyFont="1" applyFill="1" applyBorder="1" applyAlignment="1" applyProtection="1">
      <alignment horizontal="center"/>
    </xf>
    <xf numFmtId="164" fontId="37" fillId="0" borderId="189" xfId="0" applyNumberFormat="1" applyFont="1" applyFill="1" applyBorder="1" applyAlignment="1" applyProtection="1">
      <alignment horizontal="right"/>
    </xf>
    <xf numFmtId="4" fontId="37" fillId="0" borderId="189" xfId="0" applyNumberFormat="1" applyFont="1" applyFill="1" applyBorder="1" applyAlignment="1" applyProtection="1">
      <alignment horizontal="center"/>
    </xf>
    <xf numFmtId="4" fontId="37" fillId="0" borderId="189" xfId="0" applyNumberFormat="1" applyFont="1" applyFill="1" applyBorder="1" applyAlignment="1" applyProtection="1">
      <alignment horizontal="right"/>
    </xf>
    <xf numFmtId="0" fontId="0" fillId="0" borderId="213" xfId="0" applyBorder="1"/>
    <xf numFmtId="0" fontId="0" fillId="0" borderId="189" xfId="0" applyBorder="1"/>
    <xf numFmtId="4" fontId="37" fillId="0" borderId="213" xfId="0" applyNumberFormat="1" applyFont="1" applyBorder="1" applyAlignment="1" applyProtection="1">
      <alignment horizontal="right"/>
    </xf>
    <xf numFmtId="4" fontId="37" fillId="0" borderId="189" xfId="0" applyNumberFormat="1" applyFont="1" applyBorder="1" applyAlignment="1" applyProtection="1">
      <alignment horizontal="center"/>
    </xf>
    <xf numFmtId="164" fontId="37" fillId="0" borderId="189" xfId="0" applyNumberFormat="1" applyFont="1" applyBorder="1" applyAlignment="1" applyProtection="1">
      <alignment horizontal="right"/>
    </xf>
    <xf numFmtId="173" fontId="37" fillId="0" borderId="189" xfId="4" applyNumberFormat="1" applyFont="1" applyBorder="1" applyAlignment="1" applyProtection="1">
      <alignment horizontal="center"/>
    </xf>
    <xf numFmtId="4" fontId="37" fillId="0" borderId="189" xfId="0" applyNumberFormat="1" applyFont="1" applyBorder="1" applyAlignment="1" applyProtection="1">
      <alignment horizontal="right"/>
    </xf>
    <xf numFmtId="4" fontId="37" fillId="2" borderId="189" xfId="0" applyNumberFormat="1" applyFont="1" applyFill="1" applyBorder="1" applyAlignment="1" applyProtection="1">
      <alignment horizontal="right"/>
      <protection locked="0"/>
    </xf>
    <xf numFmtId="4" fontId="37" fillId="2" borderId="189" xfId="0" applyNumberFormat="1" applyFont="1" applyFill="1" applyBorder="1" applyAlignment="1" applyProtection="1">
      <alignment horizontal="center"/>
      <protection locked="0"/>
    </xf>
    <xf numFmtId="38" fontId="37" fillId="2" borderId="189" xfId="0" applyNumberFormat="1" applyFont="1" applyFill="1" applyBorder="1" applyAlignment="1" applyProtection="1">
      <alignment horizontal="right"/>
      <protection locked="0"/>
    </xf>
    <xf numFmtId="38" fontId="37" fillId="2" borderId="189" xfId="0" applyNumberFormat="1" applyFont="1" applyFill="1" applyBorder="1" applyAlignment="1" applyProtection="1">
      <alignment horizontal="center"/>
      <protection locked="0"/>
    </xf>
    <xf numFmtId="4" fontId="102" fillId="0" borderId="189" xfId="0" applyNumberFormat="1" applyFont="1" applyFill="1" applyBorder="1" applyAlignment="1" applyProtection="1">
      <alignment horizontal="center"/>
    </xf>
    <xf numFmtId="164" fontId="37" fillId="0" borderId="189" xfId="0" applyNumberFormat="1" applyFont="1" applyBorder="1" applyAlignment="1" applyProtection="1">
      <alignment horizontal="center"/>
    </xf>
    <xf numFmtId="4" fontId="102" fillId="15" borderId="213" xfId="0" applyNumberFormat="1" applyFont="1" applyFill="1" applyBorder="1" applyAlignment="1" applyProtection="1">
      <alignment horizontal="right"/>
    </xf>
    <xf numFmtId="4" fontId="102" fillId="0" borderId="189" xfId="0" applyNumberFormat="1" applyFont="1" applyFill="1" applyBorder="1" applyAlignment="1" applyProtection="1">
      <alignment horizontal="right"/>
    </xf>
    <xf numFmtId="0" fontId="1" fillId="0" borderId="0" xfId="0" applyFont="1" applyAlignment="1">
      <alignment horizontal="right"/>
    </xf>
    <xf numFmtId="4" fontId="84" fillId="7" borderId="0" xfId="0" applyNumberFormat="1" applyFont="1" applyFill="1"/>
    <xf numFmtId="0" fontId="84" fillId="0" borderId="0" xfId="0" applyFont="1" applyFill="1"/>
    <xf numFmtId="4" fontId="134" fillId="0" borderId="189" xfId="0" applyNumberFormat="1" applyFont="1" applyFill="1" applyBorder="1" applyAlignment="1" applyProtection="1">
      <alignment horizontal="right"/>
    </xf>
    <xf numFmtId="4" fontId="134" fillId="0" borderId="0" xfId="0" applyNumberFormat="1" applyFont="1" applyFill="1" applyBorder="1" applyAlignment="1" applyProtection="1">
      <alignment horizontal="right"/>
    </xf>
    <xf numFmtId="10" fontId="139" fillId="14" borderId="0" xfId="0" applyNumberFormat="1" applyFont="1" applyFill="1" applyAlignment="1">
      <alignment horizontal="center"/>
    </xf>
    <xf numFmtId="4" fontId="45" fillId="5" borderId="0" xfId="0" applyNumberFormat="1" applyFont="1" applyFill="1" applyAlignment="1">
      <alignment horizontal="center"/>
    </xf>
    <xf numFmtId="3" fontId="84" fillId="0" borderId="0" xfId="0" applyNumberFormat="1" applyFont="1" applyFill="1"/>
    <xf numFmtId="0" fontId="0" fillId="0" borderId="0" xfId="0" applyFill="1" applyAlignment="1">
      <alignment horizontal="center"/>
    </xf>
    <xf numFmtId="3" fontId="39" fillId="2" borderId="189" xfId="0" applyNumberFormat="1" applyFont="1" applyFill="1" applyBorder="1" applyProtection="1">
      <protection locked="0"/>
    </xf>
    <xf numFmtId="3" fontId="39" fillId="2" borderId="189" xfId="0" applyNumberFormat="1" applyFont="1" applyFill="1" applyBorder="1" applyAlignment="1" applyProtection="1">
      <alignment horizontal="center"/>
      <protection locked="0"/>
    </xf>
    <xf numFmtId="0" fontId="89" fillId="32" borderId="0" xfId="0" applyFont="1" applyFill="1" applyProtection="1"/>
    <xf numFmtId="4" fontId="7" fillId="32" borderId="27" xfId="0" applyNumberFormat="1" applyFont="1" applyFill="1" applyBorder="1" applyAlignment="1" applyProtection="1">
      <alignment horizontal="right"/>
    </xf>
    <xf numFmtId="3" fontId="7" fillId="32" borderId="24" xfId="0" applyNumberFormat="1" applyFont="1" applyFill="1" applyBorder="1" applyProtection="1"/>
    <xf numFmtId="3" fontId="7" fillId="32" borderId="37" xfId="0" applyNumberFormat="1" applyFont="1" applyFill="1" applyBorder="1" applyAlignment="1" applyProtection="1">
      <alignment horizontal="center"/>
    </xf>
    <xf numFmtId="164" fontId="7" fillId="32" borderId="37" xfId="0" applyNumberFormat="1" applyFont="1" applyFill="1" applyBorder="1" applyAlignment="1" applyProtection="1">
      <alignment horizontal="center"/>
    </xf>
    <xf numFmtId="164" fontId="7" fillId="32" borderId="37" xfId="0" applyNumberFormat="1" applyFont="1" applyFill="1" applyBorder="1" applyProtection="1"/>
    <xf numFmtId="164" fontId="140" fillId="32" borderId="38" xfId="0" applyNumberFormat="1" applyFont="1" applyFill="1" applyBorder="1" applyProtection="1"/>
    <xf numFmtId="0" fontId="3" fillId="32" borderId="0" xfId="0" applyFont="1" applyFill="1" applyProtection="1"/>
    <xf numFmtId="4" fontId="1" fillId="2" borderId="43" xfId="0" applyNumberFormat="1" applyFont="1" applyFill="1" applyBorder="1" applyAlignment="1" applyProtection="1">
      <alignment horizontal="right"/>
    </xf>
    <xf numFmtId="164" fontId="37" fillId="32" borderId="4" xfId="0" applyNumberFormat="1" applyFont="1" applyFill="1" applyBorder="1" applyProtection="1"/>
    <xf numFmtId="0" fontId="0" fillId="32" borderId="0" xfId="0" applyFill="1"/>
    <xf numFmtId="0" fontId="0" fillId="33" borderId="0" xfId="0" applyFill="1"/>
    <xf numFmtId="164" fontId="37" fillId="33" borderId="4" xfId="0" applyNumberFormat="1" applyFont="1" applyFill="1" applyBorder="1" applyProtection="1"/>
    <xf numFmtId="0" fontId="0" fillId="34" borderId="0" xfId="0" applyFill="1"/>
    <xf numFmtId="164" fontId="37" fillId="34" borderId="4" xfId="0" applyNumberFormat="1" applyFont="1" applyFill="1" applyBorder="1" applyProtection="1"/>
    <xf numFmtId="3" fontId="109" fillId="0" borderId="0" xfId="0" applyNumberFormat="1" applyFont="1" applyProtection="1"/>
    <xf numFmtId="3" fontId="109" fillId="34" borderId="0" xfId="0" applyNumberFormat="1" applyFont="1" applyFill="1" applyProtection="1"/>
    <xf numFmtId="3" fontId="0" fillId="34" borderId="0" xfId="0" applyNumberFormat="1" applyFill="1" applyProtection="1"/>
    <xf numFmtId="4" fontId="0" fillId="34" borderId="0" xfId="0" applyNumberFormat="1" applyFill="1" applyProtection="1"/>
    <xf numFmtId="3" fontId="58" fillId="34" borderId="1" xfId="0" applyNumberFormat="1" applyFont="1" applyFill="1" applyBorder="1" applyAlignment="1" applyProtection="1">
      <alignment horizontal="center"/>
    </xf>
    <xf numFmtId="0" fontId="10" fillId="0" borderId="29" xfId="0" applyFont="1" applyBorder="1" applyAlignment="1" applyProtection="1">
      <alignment horizontal="center"/>
    </xf>
    <xf numFmtId="3" fontId="140" fillId="32" borderId="140" xfId="0" applyNumberFormat="1" applyFont="1" applyFill="1" applyBorder="1" applyAlignment="1" applyProtection="1">
      <alignment horizontal="center"/>
    </xf>
    <xf numFmtId="3" fontId="140" fillId="32" borderId="0" xfId="0" applyNumberFormat="1" applyFont="1" applyFill="1" applyBorder="1" applyAlignment="1" applyProtection="1">
      <alignment horizontal="center"/>
    </xf>
    <xf numFmtId="3" fontId="10" fillId="0" borderId="140" xfId="0" applyNumberFormat="1" applyFont="1" applyFill="1" applyBorder="1" applyAlignment="1" applyProtection="1">
      <alignment horizontal="center"/>
    </xf>
    <xf numFmtId="3" fontId="10" fillId="0" borderId="0" xfId="0" applyNumberFormat="1" applyFont="1" applyFill="1" applyBorder="1" applyAlignment="1" applyProtection="1">
      <alignment horizontal="center"/>
    </xf>
  </cellXfs>
  <cellStyles count="9">
    <cellStyle name="Millares [0] 2" xfId="7"/>
    <cellStyle name="Millares 2" xfId="6"/>
    <cellStyle name="Millares_Maestro" xfId="1"/>
    <cellStyle name="Moneda [0] 2" xfId="8"/>
    <cellStyle name="Normal" xfId="0" builtinId="0"/>
    <cellStyle name="Normal 2" xfId="5"/>
    <cellStyle name="Normal_AGOSTO" xfId="2"/>
    <cellStyle name="Normal_volumen BASE Septeimbre 04" xfId="3"/>
    <cellStyle name="Porcentual" xfId="4" builtinId="5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O200"/>
  <sheetViews>
    <sheetView showGridLines="0" view="pageBreakPreview" zoomScaleNormal="100" zoomScaleSheetLayoutView="100" workbookViewId="0">
      <selection activeCell="B6" sqref="B6"/>
    </sheetView>
  </sheetViews>
  <sheetFormatPr baseColWidth="10" defaultRowHeight="12.75"/>
  <cols>
    <col min="1" max="1" width="2.140625" style="357" customWidth="1"/>
    <col min="2" max="2" width="31.28515625" style="357" customWidth="1"/>
    <col min="3" max="3" width="14.140625" style="357" customWidth="1"/>
    <col min="4" max="4" width="12.28515625" style="357" customWidth="1"/>
    <col min="5" max="5" width="4.5703125" style="357" customWidth="1"/>
    <col min="6" max="6" width="19.42578125" style="357" customWidth="1"/>
    <col min="7" max="7" width="10.7109375" style="357" customWidth="1"/>
    <col min="8" max="8" width="2.7109375" style="357" customWidth="1"/>
    <col min="9" max="9" width="18.5703125" style="357" customWidth="1"/>
    <col min="10" max="10" width="10.7109375" style="357" customWidth="1"/>
    <col min="11" max="11" width="3.28515625" style="701" customWidth="1"/>
    <col min="12" max="13" width="10.7109375" style="701" customWidth="1"/>
    <col min="14" max="14" width="4.42578125" style="357" customWidth="1"/>
    <col min="15" max="16384" width="11.42578125" style="357"/>
  </cols>
  <sheetData>
    <row r="3" spans="2:15" ht="15">
      <c r="B3" s="361"/>
      <c r="C3" s="361"/>
      <c r="D3" s="747">
        <f>+PROMIGAS!G6</f>
        <v>0.99620000000000009</v>
      </c>
      <c r="E3" s="361"/>
      <c r="F3" s="379"/>
      <c r="G3" s="382" t="s">
        <v>7</v>
      </c>
      <c r="I3" s="383"/>
      <c r="J3" s="382" t="s">
        <v>7</v>
      </c>
      <c r="K3" s="1127"/>
      <c r="L3" s="1135"/>
      <c r="M3" s="1127"/>
    </row>
    <row r="4" spans="2:15" ht="12.75" customHeight="1">
      <c r="B4" s="485"/>
      <c r="C4" s="486"/>
      <c r="D4" s="487"/>
      <c r="F4" s="357" t="s">
        <v>37</v>
      </c>
      <c r="G4" s="359">
        <f>+D108</f>
        <v>9228.7131192000052</v>
      </c>
      <c r="I4" s="357" t="s">
        <v>181</v>
      </c>
      <c r="J4" s="384">
        <f>+G12</f>
        <v>75586.168087461541</v>
      </c>
      <c r="K4" s="492"/>
      <c r="L4" s="1212" t="s">
        <v>599</v>
      </c>
      <c r="M4" s="1213"/>
      <c r="O4" s="358"/>
    </row>
    <row r="5" spans="2:15">
      <c r="B5" s="362" t="s">
        <v>225</v>
      </c>
      <c r="C5" s="363" t="s">
        <v>139</v>
      </c>
      <c r="D5" s="553" t="s">
        <v>347</v>
      </c>
      <c r="F5" s="357" t="s">
        <v>38</v>
      </c>
      <c r="G5" s="359">
        <f>+D109</f>
        <v>6003.9878180000005</v>
      </c>
      <c r="I5" s="357" t="s">
        <v>59</v>
      </c>
      <c r="J5" s="472">
        <f>+G16</f>
        <v>12838.240379400948</v>
      </c>
      <c r="K5" s="1128"/>
      <c r="L5" s="1214"/>
      <c r="M5" s="1215"/>
      <c r="O5" s="358"/>
    </row>
    <row r="6" spans="2:15">
      <c r="B6" s="364" t="s">
        <v>149</v>
      </c>
      <c r="C6" s="748"/>
      <c r="D6" s="377">
        <f>+C6*PROMIGAS!$G$6</f>
        <v>0</v>
      </c>
      <c r="F6" s="357" t="s">
        <v>51</v>
      </c>
      <c r="G6" s="359">
        <f>+D112</f>
        <v>701.06729210963249</v>
      </c>
      <c r="I6" s="357" t="s">
        <v>60</v>
      </c>
      <c r="J6" s="384">
        <f>+G17</f>
        <v>13192.044396153842</v>
      </c>
      <c r="K6" s="492"/>
      <c r="L6" s="1216" t="s">
        <v>112</v>
      </c>
      <c r="M6" s="1217" t="s">
        <v>395</v>
      </c>
      <c r="O6" s="358"/>
    </row>
    <row r="7" spans="2:15">
      <c r="B7" s="364" t="s">
        <v>140</v>
      </c>
      <c r="C7" s="749"/>
      <c r="D7" s="377">
        <f>+C7*PROMIGAS!$G$6</f>
        <v>0</v>
      </c>
      <c r="F7" s="357" t="s">
        <v>55</v>
      </c>
      <c r="G7" s="359">
        <f>+D113</f>
        <v>422.46849600000002</v>
      </c>
      <c r="I7" s="357" t="s">
        <v>57</v>
      </c>
      <c r="J7" s="384">
        <f>+G10</f>
        <v>14929.904567846155</v>
      </c>
      <c r="K7" s="492"/>
      <c r="L7" s="1136"/>
      <c r="M7" s="492"/>
      <c r="O7" s="358"/>
    </row>
    <row r="8" spans="2:15">
      <c r="B8" s="365" t="s">
        <v>226</v>
      </c>
      <c r="C8" s="750">
        <v>71401.191153846157</v>
      </c>
      <c r="D8" s="377">
        <f>+C8*PROMIGAS!$G$6</f>
        <v>71129.866627461553</v>
      </c>
      <c r="F8" s="357" t="s">
        <v>56</v>
      </c>
      <c r="G8" s="359">
        <f>+D114</f>
        <v>2515.740020781398</v>
      </c>
      <c r="I8" s="357" t="s">
        <v>37</v>
      </c>
      <c r="J8" s="384">
        <f>+G4</f>
        <v>9228.7131192000052</v>
      </c>
      <c r="K8" s="492"/>
      <c r="L8" s="1138">
        <v>75775.323974609375</v>
      </c>
      <c r="M8" s="492">
        <f>+C8-L8</f>
        <v>-4374.1328207632178</v>
      </c>
      <c r="O8" s="358"/>
    </row>
    <row r="9" spans="2:15">
      <c r="B9" s="366" t="s">
        <v>227</v>
      </c>
      <c r="C9" s="750">
        <v>3676.607264857153</v>
      </c>
      <c r="D9" s="377">
        <f>+C9*PROMIGAS!$G$6</f>
        <v>3662.6361572506962</v>
      </c>
      <c r="G9" s="380"/>
      <c r="I9" s="357" t="s">
        <v>38</v>
      </c>
      <c r="J9" s="384">
        <f>+G5</f>
        <v>6003.9878180000005</v>
      </c>
      <c r="K9" s="492"/>
      <c r="L9" s="1138">
        <v>3531.2548119979997</v>
      </c>
      <c r="M9" s="492">
        <f t="shared" ref="M9:M72" si="0">+C9-L9</f>
        <v>145.35245285915335</v>
      </c>
      <c r="O9" s="358"/>
    </row>
    <row r="10" spans="2:15">
      <c r="B10" s="366" t="s">
        <v>228</v>
      </c>
      <c r="C10" s="750">
        <v>3864.5682217082308</v>
      </c>
      <c r="D10" s="377">
        <f>+C10*PROMIGAS!$G$6</f>
        <v>3849.8828624657399</v>
      </c>
      <c r="F10" s="357" t="s">
        <v>57</v>
      </c>
      <c r="G10" s="359">
        <f>+D111</f>
        <v>14929.904567846155</v>
      </c>
      <c r="I10" s="357" t="s">
        <v>51</v>
      </c>
      <c r="J10" s="384">
        <f>+G6</f>
        <v>701.06729210963249</v>
      </c>
      <c r="K10" s="492"/>
      <c r="L10" s="1138">
        <v>3584.6152738350002</v>
      </c>
      <c r="M10" s="492">
        <f t="shared" si="0"/>
        <v>279.95294787323064</v>
      </c>
      <c r="O10" s="358"/>
    </row>
    <row r="11" spans="2:15">
      <c r="B11" s="366" t="s">
        <v>229</v>
      </c>
      <c r="C11" s="750">
        <v>5193.5582936371165</v>
      </c>
      <c r="D11" s="377">
        <f>+C11*PROMIGAS!$G$6</f>
        <v>5173.8227721212961</v>
      </c>
      <c r="F11" s="357" t="s">
        <v>58</v>
      </c>
      <c r="G11" s="359">
        <f>+D110</f>
        <v>10600.766505230766</v>
      </c>
      <c r="I11" s="357" t="s">
        <v>55</v>
      </c>
      <c r="J11" s="384">
        <f>+G7</f>
        <v>422.46849600000002</v>
      </c>
      <c r="K11" s="492"/>
      <c r="L11" s="1138">
        <v>4967.1138575510004</v>
      </c>
      <c r="M11" s="492">
        <f t="shared" si="0"/>
        <v>226.44443608611618</v>
      </c>
      <c r="O11" s="358"/>
    </row>
    <row r="12" spans="2:15">
      <c r="B12" s="366" t="s">
        <v>230</v>
      </c>
      <c r="C12" s="750">
        <v>3716.7342343641167</v>
      </c>
      <c r="D12" s="377">
        <f>+C12*PROMIGAS!$G$6</f>
        <v>3702.6106442735331</v>
      </c>
      <c r="F12" s="357" t="s">
        <v>181</v>
      </c>
      <c r="G12" s="359">
        <f>+D120</f>
        <v>75586.168087461541</v>
      </c>
      <c r="I12" s="357" t="s">
        <v>56</v>
      </c>
      <c r="J12" s="384">
        <f>+G8</f>
        <v>2515.740020781398</v>
      </c>
      <c r="K12" s="492"/>
      <c r="L12" s="1138">
        <v>3748.8991047189998</v>
      </c>
      <c r="M12" s="492">
        <f t="shared" si="0"/>
        <v>-32.164870354883078</v>
      </c>
      <c r="O12" s="358"/>
    </row>
    <row r="13" spans="2:15">
      <c r="B13" s="366" t="s">
        <v>231</v>
      </c>
      <c r="C13" s="750">
        <v>4046.9151923637528</v>
      </c>
      <c r="D13" s="377">
        <f>+C13*PROMIGAS!$G$6</f>
        <v>4031.5369146327707</v>
      </c>
      <c r="F13" s="357" t="s">
        <v>179</v>
      </c>
      <c r="G13" s="359">
        <f>+D118</f>
        <v>1158.6383796</v>
      </c>
      <c r="I13" s="357" t="s">
        <v>58</v>
      </c>
      <c r="J13" s="384">
        <f>+G11</f>
        <v>10600.766505230766</v>
      </c>
      <c r="K13" s="492"/>
      <c r="L13" s="1138">
        <v>3804.7453659661305</v>
      </c>
      <c r="M13" s="492">
        <f t="shared" si="0"/>
        <v>242.16982639762227</v>
      </c>
      <c r="O13" s="358"/>
    </row>
    <row r="14" spans="2:15">
      <c r="B14" s="364" t="s">
        <v>232</v>
      </c>
      <c r="C14" s="750">
        <v>4500</v>
      </c>
      <c r="D14" s="377">
        <f>+C14*PROMIGAS!$G$6</f>
        <v>4482.9000000000005</v>
      </c>
      <c r="F14" s="357" t="s">
        <v>180</v>
      </c>
      <c r="G14" s="359">
        <f>+D119</f>
        <v>209.99896000000004</v>
      </c>
      <c r="I14" s="357" t="s">
        <v>220</v>
      </c>
      <c r="J14" s="384">
        <f>+G13+G14</f>
        <v>1368.6373396000001</v>
      </c>
      <c r="K14" s="492"/>
      <c r="L14" s="1138">
        <v>4278.3779999999997</v>
      </c>
      <c r="M14" s="492">
        <f t="shared" si="0"/>
        <v>221.6220000000003</v>
      </c>
      <c r="O14" s="358"/>
    </row>
    <row r="15" spans="2:15">
      <c r="B15" s="364" t="s">
        <v>233</v>
      </c>
      <c r="C15" s="750">
        <v>4700</v>
      </c>
      <c r="D15" s="377">
        <f>+C15*PROMIGAS!$G$6</f>
        <v>4682.1400000000003</v>
      </c>
      <c r="G15" s="380"/>
      <c r="I15" s="357" t="s">
        <v>39</v>
      </c>
      <c r="J15" s="384">
        <f t="shared" ref="J15:J26" si="1">+G78</f>
        <v>3098.2517340000004</v>
      </c>
      <c r="K15" s="492"/>
      <c r="L15" s="1138">
        <v>4888.8611238999993</v>
      </c>
      <c r="M15" s="492">
        <f t="shared" si="0"/>
        <v>-188.86112389999926</v>
      </c>
      <c r="O15" s="358"/>
    </row>
    <row r="16" spans="2:15">
      <c r="B16" s="364" t="s">
        <v>234</v>
      </c>
      <c r="C16" s="750">
        <v>37200</v>
      </c>
      <c r="D16" s="377">
        <f>+C16*PROMIGAS!$G$6</f>
        <v>37058.640000000007</v>
      </c>
      <c r="F16" s="357" t="s">
        <v>59</v>
      </c>
      <c r="G16" s="483">
        <f>+D8-G130-G92-G114-G132-G133-G134-G100-G112-G113-G126-G127-G150-G97-G154-G161</f>
        <v>12838.240379400948</v>
      </c>
      <c r="I16" s="357" t="s">
        <v>40</v>
      </c>
      <c r="J16" s="384">
        <f t="shared" si="1"/>
        <v>1850.3219560000002</v>
      </c>
      <c r="K16" s="492"/>
      <c r="L16" s="1138">
        <v>36743.169000000002</v>
      </c>
      <c r="M16" s="492">
        <f t="shared" si="0"/>
        <v>456.83099999999831</v>
      </c>
      <c r="O16" s="358"/>
    </row>
    <row r="17" spans="2:15">
      <c r="B17" s="364" t="s">
        <v>81</v>
      </c>
      <c r="C17" s="750">
        <v>37392.23405221117</v>
      </c>
      <c r="D17" s="377">
        <f>+C17*PROMIGAS!$G$6</f>
        <v>37250.143562812773</v>
      </c>
      <c r="F17" s="357" t="s">
        <v>60</v>
      </c>
      <c r="G17" s="359">
        <f>+D38</f>
        <v>13192.044396153842</v>
      </c>
      <c r="I17" s="357" t="s">
        <v>41</v>
      </c>
      <c r="J17" s="1110">
        <f t="shared" si="1"/>
        <v>5597.1434299883522</v>
      </c>
      <c r="K17" s="1129"/>
      <c r="L17" s="1138">
        <v>33988.795073032379</v>
      </c>
      <c r="M17" s="492">
        <f t="shared" si="0"/>
        <v>3403.4389791787908</v>
      </c>
      <c r="O17" s="358"/>
    </row>
    <row r="18" spans="2:15">
      <c r="B18" s="364" t="s">
        <v>69</v>
      </c>
      <c r="C18" s="750">
        <v>7167.0211538461535</v>
      </c>
      <c r="D18" s="377">
        <f>+C18*PROMIGAS!$G$6</f>
        <v>7139.7864734615387</v>
      </c>
      <c r="G18" s="380"/>
      <c r="I18" s="357" t="s">
        <v>42</v>
      </c>
      <c r="J18" s="384">
        <f t="shared" si="1"/>
        <v>1178.4647520000001</v>
      </c>
      <c r="K18" s="492"/>
      <c r="L18" s="1138">
        <v>11969.252499999997</v>
      </c>
      <c r="M18" s="492">
        <f t="shared" si="0"/>
        <v>-4802.2313461538433</v>
      </c>
      <c r="O18" s="358"/>
    </row>
    <row r="19" spans="2:15">
      <c r="B19" s="364" t="s">
        <v>80</v>
      </c>
      <c r="C19" s="978">
        <v>87864.02</v>
      </c>
      <c r="D19" s="377">
        <f>+C19*PROMIGAS!$G$6</f>
        <v>87530.136724000011</v>
      </c>
      <c r="G19" s="380"/>
      <c r="I19" s="357" t="s">
        <v>43</v>
      </c>
      <c r="J19" s="384">
        <f t="shared" si="1"/>
        <v>1736.8149280000002</v>
      </c>
      <c r="K19" s="492"/>
      <c r="L19" s="1138">
        <v>180027.08</v>
      </c>
      <c r="M19" s="1140">
        <f t="shared" si="0"/>
        <v>-92163.059999999983</v>
      </c>
      <c r="O19" s="358"/>
    </row>
    <row r="20" spans="2:15">
      <c r="B20" s="364" t="s">
        <v>184</v>
      </c>
      <c r="C20" s="978">
        <v>38004.400000000001</v>
      </c>
      <c r="D20" s="377">
        <f>+C20*PROMIGAS!$G$6</f>
        <v>37859.983280000008</v>
      </c>
      <c r="F20" s="357" t="s">
        <v>64</v>
      </c>
      <c r="G20" s="359">
        <f>+D107</f>
        <v>37802.901020000005</v>
      </c>
      <c r="I20" s="357" t="s">
        <v>44</v>
      </c>
      <c r="J20" s="384">
        <f t="shared" si="1"/>
        <v>1226.6409840000001</v>
      </c>
      <c r="K20" s="492"/>
      <c r="L20" s="1138">
        <v>113063.52</v>
      </c>
      <c r="M20" s="1140">
        <f t="shared" si="0"/>
        <v>-75059.12</v>
      </c>
      <c r="O20" s="358"/>
    </row>
    <row r="21" spans="2:15">
      <c r="B21" s="364" t="s">
        <v>235</v>
      </c>
      <c r="C21" s="750">
        <v>91</v>
      </c>
      <c r="D21" s="377">
        <f>+C21*PROMIGAS!$G$6</f>
        <v>90.654200000000003</v>
      </c>
      <c r="F21" s="357" t="s">
        <v>65</v>
      </c>
      <c r="G21" s="359">
        <f>+D14</f>
        <v>4482.9000000000005</v>
      </c>
      <c r="I21" s="357" t="s">
        <v>45</v>
      </c>
      <c r="J21" s="384">
        <f t="shared" si="1"/>
        <v>228.84945488000005</v>
      </c>
      <c r="K21" s="492"/>
      <c r="L21" s="1138">
        <v>90.605999999999995</v>
      </c>
      <c r="M21" s="492">
        <f t="shared" si="0"/>
        <v>0.39400000000000546</v>
      </c>
      <c r="O21" s="358"/>
    </row>
    <row r="22" spans="2:15">
      <c r="B22" s="364" t="s">
        <v>236</v>
      </c>
      <c r="C22" s="750"/>
      <c r="D22" s="377">
        <f>+C22*PROMIGAS!$G$6</f>
        <v>0</v>
      </c>
      <c r="F22" s="357" t="s">
        <v>66</v>
      </c>
      <c r="G22" s="359">
        <f>+D15</f>
        <v>4682.1400000000003</v>
      </c>
      <c r="I22" s="357" t="s">
        <v>46</v>
      </c>
      <c r="J22" s="384">
        <f t="shared" si="1"/>
        <v>5738.1518480000004</v>
      </c>
      <c r="K22" s="492"/>
      <c r="L22" s="1138"/>
      <c r="M22" s="492">
        <f t="shared" si="0"/>
        <v>0</v>
      </c>
      <c r="O22" s="358"/>
    </row>
    <row r="23" spans="2:15">
      <c r="B23" s="364" t="s">
        <v>237</v>
      </c>
      <c r="C23" s="750"/>
      <c r="D23" s="377">
        <f>+C23*PROMIGAS!$G$6</f>
        <v>0</v>
      </c>
      <c r="F23" s="357" t="s">
        <v>67</v>
      </c>
      <c r="G23" s="359">
        <v>0</v>
      </c>
      <c r="I23" s="357" t="s">
        <v>47</v>
      </c>
      <c r="J23" s="384">
        <f t="shared" si="1"/>
        <v>4482.9000000000005</v>
      </c>
      <c r="K23" s="492"/>
      <c r="L23" s="1138"/>
      <c r="M23" s="492">
        <f t="shared" si="0"/>
        <v>0</v>
      </c>
      <c r="O23" s="358"/>
    </row>
    <row r="24" spans="2:15">
      <c r="B24" s="364" t="s">
        <v>335</v>
      </c>
      <c r="C24" s="750"/>
      <c r="D24" s="377">
        <f>+C24*PROMIGAS!$G$6</f>
        <v>0</v>
      </c>
      <c r="F24" s="357" t="s">
        <v>68</v>
      </c>
      <c r="G24" s="359">
        <f>+D29</f>
        <v>684.84794153870223</v>
      </c>
      <c r="I24" s="357" t="s">
        <v>48</v>
      </c>
      <c r="J24" s="384">
        <f t="shared" si="1"/>
        <v>549.70316000000003</v>
      </c>
      <c r="K24" s="492"/>
      <c r="L24" s="1138"/>
      <c r="M24" s="492">
        <f t="shared" si="0"/>
        <v>0</v>
      </c>
      <c r="O24" s="358"/>
    </row>
    <row r="25" spans="2:15">
      <c r="B25" s="364" t="s">
        <v>71</v>
      </c>
      <c r="C25" s="750">
        <v>2678.1019230769216</v>
      </c>
      <c r="D25" s="377">
        <f>+C25*PROMIGAS!$G$6</f>
        <v>2667.9251357692297</v>
      </c>
      <c r="F25" s="357" t="s">
        <v>69</v>
      </c>
      <c r="G25" s="359">
        <f>+D18</f>
        <v>7139.7864734615387</v>
      </c>
      <c r="I25" s="357" t="s">
        <v>49</v>
      </c>
      <c r="J25" s="384">
        <f t="shared" si="1"/>
        <v>1636.7566000000002</v>
      </c>
      <c r="K25" s="492"/>
      <c r="L25" s="1138">
        <v>2341.889607667923</v>
      </c>
      <c r="M25" s="492">
        <f t="shared" si="0"/>
        <v>336.21231540899862</v>
      </c>
      <c r="O25" s="358"/>
    </row>
    <row r="26" spans="2:15">
      <c r="B26" s="728" t="s">
        <v>238</v>
      </c>
      <c r="C26" s="1121">
        <v>41261</v>
      </c>
      <c r="D26" s="377">
        <f>+C26*PROMIGAS!$G$6</f>
        <v>41104.208200000001</v>
      </c>
      <c r="F26" s="357" t="s">
        <v>70</v>
      </c>
      <c r="G26" s="359">
        <f>+D21</f>
        <v>90.654200000000003</v>
      </c>
      <c r="I26" s="357" t="s">
        <v>50</v>
      </c>
      <c r="J26" s="384">
        <f t="shared" si="1"/>
        <v>2789.2803040000003</v>
      </c>
      <c r="K26" s="492"/>
      <c r="L26" s="1218">
        <v>41265.845137377109</v>
      </c>
      <c r="M26" s="492">
        <f t="shared" si="0"/>
        <v>-4.845137377109495</v>
      </c>
      <c r="O26" s="358"/>
    </row>
    <row r="27" spans="2:15">
      <c r="B27" s="629" t="s">
        <v>396</v>
      </c>
      <c r="C27" s="750">
        <v>44644.432575652936</v>
      </c>
      <c r="D27" s="377">
        <f>+C27*PROMIGAS!$G$6</f>
        <v>44474.783731865457</v>
      </c>
      <c r="F27" s="357" t="s">
        <v>71</v>
      </c>
      <c r="G27" s="359">
        <f>+D25</f>
        <v>2667.9251357692297</v>
      </c>
      <c r="I27" s="357" t="s">
        <v>52</v>
      </c>
      <c r="J27" s="384">
        <f>+G65</f>
        <v>1781.285296</v>
      </c>
      <c r="K27" s="492"/>
      <c r="L27" s="1138">
        <v>50710.390667899985</v>
      </c>
      <c r="M27" s="492">
        <f t="shared" si="0"/>
        <v>-6065.9580922470486</v>
      </c>
      <c r="O27" s="358"/>
    </row>
    <row r="28" spans="2:15">
      <c r="B28" s="364" t="s">
        <v>239</v>
      </c>
      <c r="C28" s="750">
        <v>295</v>
      </c>
      <c r="D28" s="377">
        <f>+C28*PROMIGAS!$G$6</f>
        <v>293.87900000000002</v>
      </c>
      <c r="F28" s="357" t="s">
        <v>72</v>
      </c>
      <c r="G28" s="359">
        <v>0</v>
      </c>
      <c r="I28" s="378" t="s">
        <v>342</v>
      </c>
      <c r="J28" s="384">
        <f>+G66</f>
        <v>380.46870400000006</v>
      </c>
      <c r="K28" s="492"/>
      <c r="L28" s="1138">
        <v>293.71199999999999</v>
      </c>
      <c r="M28" s="492">
        <f t="shared" si="0"/>
        <v>1.2880000000000109</v>
      </c>
      <c r="O28" s="358"/>
    </row>
    <row r="29" spans="2:15">
      <c r="B29" s="364" t="s">
        <v>68</v>
      </c>
      <c r="C29" s="750">
        <v>687.4602906431461</v>
      </c>
      <c r="D29" s="377">
        <f>+C29*PROMIGAS!$G$6</f>
        <v>684.84794153870223</v>
      </c>
      <c r="F29" s="357" t="s">
        <v>73</v>
      </c>
      <c r="G29" s="359">
        <f>+D28</f>
        <v>293.87900000000002</v>
      </c>
      <c r="I29" s="357" t="s">
        <v>150</v>
      </c>
      <c r="J29" s="384">
        <f>+G68</f>
        <v>435.43866553846146</v>
      </c>
      <c r="K29" s="492"/>
      <c r="L29" s="1138">
        <v>739.18993747148295</v>
      </c>
      <c r="M29" s="492">
        <f t="shared" si="0"/>
        <v>-51.729646828336854</v>
      </c>
      <c r="O29" s="358"/>
    </row>
    <row r="30" spans="2:15">
      <c r="B30" s="364" t="s">
        <v>240</v>
      </c>
      <c r="C30" s="750"/>
      <c r="D30" s="377">
        <f>+C30*PROMIGAS!$G$6</f>
        <v>0</v>
      </c>
      <c r="F30" s="357" t="s">
        <v>74</v>
      </c>
      <c r="G30" s="359">
        <f>+D32</f>
        <v>5977.2000000000007</v>
      </c>
      <c r="I30" s="357" t="s">
        <v>53</v>
      </c>
      <c r="J30" s="384">
        <f>+G90</f>
        <v>125.99937600000001</v>
      </c>
      <c r="K30" s="492"/>
      <c r="L30" s="1138"/>
      <c r="M30" s="492">
        <f t="shared" si="0"/>
        <v>0</v>
      </c>
      <c r="O30" s="358"/>
    </row>
    <row r="31" spans="2:15">
      <c r="B31" s="364" t="s">
        <v>241</v>
      </c>
      <c r="C31" s="750"/>
      <c r="D31" s="377">
        <f>+C31*PROMIGAS!$G$6</f>
        <v>0</v>
      </c>
      <c r="F31" s="357" t="s">
        <v>216</v>
      </c>
      <c r="G31" s="359">
        <f>+D124</f>
        <v>323.36652000000004</v>
      </c>
      <c r="I31" s="357" t="s">
        <v>54</v>
      </c>
      <c r="J31" s="384">
        <f>+G67</f>
        <v>1256.3731308720005</v>
      </c>
      <c r="K31" s="492"/>
      <c r="L31" s="1138"/>
      <c r="M31" s="492">
        <f t="shared" si="0"/>
        <v>0</v>
      </c>
      <c r="O31" s="358"/>
    </row>
    <row r="32" spans="2:15">
      <c r="B32" s="364" t="s">
        <v>74</v>
      </c>
      <c r="C32" s="750">
        <v>6000</v>
      </c>
      <c r="D32" s="377">
        <f>+C32*PROMIGAS!$G$6</f>
        <v>5977.2000000000007</v>
      </c>
      <c r="G32" s="380"/>
      <c r="L32" s="1138">
        <v>4365.3014221191406</v>
      </c>
      <c r="M32" s="492">
        <f t="shared" si="0"/>
        <v>1634.6985778808594</v>
      </c>
      <c r="O32" s="358"/>
    </row>
    <row r="33" spans="2:15">
      <c r="B33" s="364" t="s">
        <v>242</v>
      </c>
      <c r="C33" s="750"/>
      <c r="D33" s="377">
        <f>+C33*PROMIGAS!$G$6</f>
        <v>0</v>
      </c>
      <c r="F33" s="357" t="s">
        <v>75</v>
      </c>
      <c r="G33" s="359">
        <v>0</v>
      </c>
      <c r="I33" s="357" t="s">
        <v>13</v>
      </c>
      <c r="J33" s="523">
        <f t="shared" ref="J33:J49" si="2">+G39</f>
        <v>36523.6806</v>
      </c>
      <c r="K33" s="1130"/>
      <c r="L33" s="1138"/>
      <c r="M33" s="492">
        <f t="shared" si="0"/>
        <v>0</v>
      </c>
      <c r="O33" s="358"/>
    </row>
    <row r="34" spans="2:15">
      <c r="B34" s="364" t="s">
        <v>243</v>
      </c>
      <c r="C34" s="750"/>
      <c r="D34" s="377">
        <f>+C34*PROMIGAS!$G$6</f>
        <v>0</v>
      </c>
      <c r="F34" s="357" t="s">
        <v>77</v>
      </c>
      <c r="G34" s="359">
        <f>+D37</f>
        <v>0</v>
      </c>
      <c r="I34" s="378" t="s">
        <v>351</v>
      </c>
      <c r="J34" s="384">
        <f t="shared" si="2"/>
        <v>20454.974600000001</v>
      </c>
      <c r="K34" s="492"/>
      <c r="L34" s="1138"/>
      <c r="M34" s="492">
        <f t="shared" si="0"/>
        <v>0</v>
      </c>
      <c r="O34" s="358"/>
    </row>
    <row r="35" spans="2:15">
      <c r="B35" s="364" t="s">
        <v>244</v>
      </c>
      <c r="C35" s="750"/>
      <c r="D35" s="377">
        <f>+C35*PROMIGAS!$G$6</f>
        <v>0</v>
      </c>
      <c r="F35" s="357" t="s">
        <v>78</v>
      </c>
      <c r="G35" s="359">
        <v>0</v>
      </c>
      <c r="I35" s="357" t="s">
        <v>14</v>
      </c>
      <c r="J35" s="384">
        <f t="shared" si="2"/>
        <v>9573.482</v>
      </c>
      <c r="K35" s="492"/>
      <c r="L35" s="1138"/>
      <c r="M35" s="492">
        <f t="shared" si="0"/>
        <v>0</v>
      </c>
      <c r="O35" s="358"/>
    </row>
    <row r="36" spans="2:15">
      <c r="B36" s="364" t="s">
        <v>76</v>
      </c>
      <c r="C36" s="750">
        <v>20439.296530761716</v>
      </c>
      <c r="D36" s="377">
        <f>+C36*PROMIGAS!$G$6</f>
        <v>20361.627203944823</v>
      </c>
      <c r="F36" s="357" t="s">
        <v>79</v>
      </c>
      <c r="G36" s="359">
        <f>+D40</f>
        <v>7591.5065214285714</v>
      </c>
      <c r="I36" s="357" t="s">
        <v>15</v>
      </c>
      <c r="J36" s="384">
        <f t="shared" si="2"/>
        <v>204.221</v>
      </c>
      <c r="K36" s="492"/>
      <c r="L36" s="1138">
        <v>22169.257690429688</v>
      </c>
      <c r="M36" s="492">
        <f t="shared" si="0"/>
        <v>-1729.9611596679715</v>
      </c>
      <c r="O36" s="358"/>
    </row>
    <row r="37" spans="2:15">
      <c r="B37" s="364" t="s">
        <v>77</v>
      </c>
      <c r="C37" s="750">
        <v>0</v>
      </c>
      <c r="D37" s="377">
        <f>+C37*PROMIGAS!$G$6</f>
        <v>0</v>
      </c>
      <c r="F37" s="652" t="s">
        <v>425</v>
      </c>
      <c r="G37" s="359">
        <f>+D148</f>
        <v>1245.8365572562698</v>
      </c>
      <c r="I37" s="357" t="s">
        <v>16</v>
      </c>
      <c r="J37" s="384">
        <f t="shared" si="2"/>
        <v>3955.9102000000003</v>
      </c>
      <c r="K37" s="492"/>
      <c r="L37" s="1138">
        <v>0</v>
      </c>
      <c r="M37" s="492">
        <f t="shared" si="0"/>
        <v>0</v>
      </c>
      <c r="O37" s="358"/>
    </row>
    <row r="38" spans="2:15">
      <c r="B38" s="364" t="s">
        <v>245</v>
      </c>
      <c r="C38" s="750">
        <v>13242.365384615379</v>
      </c>
      <c r="D38" s="377">
        <f>+C38*PROMIGAS!$G$6</f>
        <v>13192.044396153842</v>
      </c>
      <c r="G38" s="380"/>
      <c r="I38" s="357" t="s">
        <v>17</v>
      </c>
      <c r="J38" s="384">
        <f t="shared" si="2"/>
        <v>2500.462</v>
      </c>
      <c r="K38" s="492"/>
      <c r="L38" s="1138">
        <v>10573.454315185547</v>
      </c>
      <c r="M38" s="492">
        <f t="shared" si="0"/>
        <v>2668.9110694298324</v>
      </c>
      <c r="O38" s="358"/>
    </row>
    <row r="39" spans="2:15">
      <c r="B39" s="367" t="s">
        <v>341</v>
      </c>
      <c r="C39" s="750">
        <v>78327.79142409304</v>
      </c>
      <c r="D39" s="377">
        <f>+C39*PROMIGAS!$G$6</f>
        <v>78030.145816681499</v>
      </c>
      <c r="F39" s="357" t="s">
        <v>13</v>
      </c>
      <c r="G39" s="488">
        <f>+D70-G135</f>
        <v>36523.6806</v>
      </c>
      <c r="I39" s="357" t="s">
        <v>18</v>
      </c>
      <c r="J39" s="384">
        <f t="shared" si="2"/>
        <v>6097.7402000000002</v>
      </c>
      <c r="K39" s="492"/>
      <c r="L39" s="1138">
        <v>53912.6570345</v>
      </c>
      <c r="M39" s="492">
        <f t="shared" si="0"/>
        <v>24415.13438959304</v>
      </c>
      <c r="O39" s="358"/>
    </row>
    <row r="40" spans="2:15">
      <c r="B40" s="364" t="s">
        <v>246</v>
      </c>
      <c r="C40" s="750">
        <v>7620.4642857142853</v>
      </c>
      <c r="D40" s="377">
        <f>+C40*PROMIGAS!$G$6</f>
        <v>7591.5065214285714</v>
      </c>
      <c r="F40" s="378" t="s">
        <v>351</v>
      </c>
      <c r="G40" s="359">
        <f>+D71</f>
        <v>20454.974600000001</v>
      </c>
      <c r="I40" s="357" t="s">
        <v>19</v>
      </c>
      <c r="J40" s="384">
        <f t="shared" si="2"/>
        <v>5001.9202000000023</v>
      </c>
      <c r="K40" s="492"/>
      <c r="L40" s="1138">
        <v>6748</v>
      </c>
      <c r="M40" s="492">
        <f t="shared" si="0"/>
        <v>872.46428571428532</v>
      </c>
      <c r="O40" s="358"/>
    </row>
    <row r="41" spans="2:15">
      <c r="B41" s="366" t="s">
        <v>247</v>
      </c>
      <c r="C41" s="750"/>
      <c r="D41" s="377">
        <f>+C41*PROMIGAS!$G$6</f>
        <v>0</v>
      </c>
      <c r="F41" s="357" t="s">
        <v>14</v>
      </c>
      <c r="G41" s="702">
        <f>+D66-D160</f>
        <v>9573.482</v>
      </c>
      <c r="I41" s="357" t="s">
        <v>20</v>
      </c>
      <c r="J41" s="384">
        <f t="shared" si="2"/>
        <v>6754.2360000000008</v>
      </c>
      <c r="K41" s="492"/>
      <c r="L41" s="1138"/>
      <c r="M41" s="492">
        <f t="shared" si="0"/>
        <v>0</v>
      </c>
      <c r="O41" s="358"/>
    </row>
    <row r="42" spans="2:15">
      <c r="B42" s="364" t="s">
        <v>248</v>
      </c>
      <c r="C42" s="750"/>
      <c r="D42" s="377">
        <f>+C42*PROMIGAS!$G$6</f>
        <v>0</v>
      </c>
      <c r="F42" s="357" t="s">
        <v>15</v>
      </c>
      <c r="G42" s="359">
        <f>+D67</f>
        <v>204.221</v>
      </c>
      <c r="I42" s="357" t="s">
        <v>21</v>
      </c>
      <c r="J42" s="384">
        <f t="shared" si="2"/>
        <v>321.77260000000001</v>
      </c>
      <c r="K42" s="492"/>
      <c r="L42" s="1138"/>
      <c r="M42" s="492">
        <f t="shared" si="0"/>
        <v>0</v>
      </c>
      <c r="O42" s="358"/>
    </row>
    <row r="43" spans="2:15">
      <c r="B43" s="669" t="s">
        <v>445</v>
      </c>
      <c r="C43" s="750">
        <v>2809.375</v>
      </c>
      <c r="D43" s="377">
        <f>+C43*PROMIGAS!$G$6</f>
        <v>2798.6993750000001</v>
      </c>
      <c r="F43" s="357" t="s">
        <v>16</v>
      </c>
      <c r="G43" s="359">
        <f>+D68</f>
        <v>3955.9102000000003</v>
      </c>
      <c r="I43" s="357" t="s">
        <v>22</v>
      </c>
      <c r="J43" s="384">
        <f t="shared" si="2"/>
        <v>1282.1094000000001</v>
      </c>
      <c r="K43" s="492"/>
      <c r="L43" s="1138">
        <v>1798.9999999999991</v>
      </c>
      <c r="M43" s="492">
        <f t="shared" si="0"/>
        <v>1010.3750000000009</v>
      </c>
      <c r="O43" s="358"/>
    </row>
    <row r="44" spans="2:15">
      <c r="B44" s="367" t="s">
        <v>52</v>
      </c>
      <c r="C44" s="750">
        <v>1788.08</v>
      </c>
      <c r="D44" s="377">
        <f>+C44*PROMIGAS!$G$6</f>
        <v>1781.285296</v>
      </c>
      <c r="F44" s="357" t="s">
        <v>17</v>
      </c>
      <c r="G44" s="359">
        <f>+D65</f>
        <v>2500.462</v>
      </c>
      <c r="I44" s="357" t="s">
        <v>23</v>
      </c>
      <c r="J44" s="384">
        <f t="shared" si="2"/>
        <v>1026.086</v>
      </c>
      <c r="K44" s="492"/>
      <c r="L44" s="1138">
        <v>1779.9700317382812</v>
      </c>
      <c r="M44" s="492">
        <f t="shared" si="0"/>
        <v>8.1099682617186772</v>
      </c>
      <c r="O44" s="358"/>
    </row>
    <row r="45" spans="2:15">
      <c r="B45" s="618" t="s">
        <v>487</v>
      </c>
      <c r="C45" s="625">
        <v>306</v>
      </c>
      <c r="D45" s="377">
        <f>+C45*PROMIGAS!$G$6</f>
        <v>304.83720000000005</v>
      </c>
      <c r="F45" s="357" t="s">
        <v>18</v>
      </c>
      <c r="G45" s="359">
        <f>+D84</f>
        <v>6097.7402000000002</v>
      </c>
      <c r="I45" s="357" t="s">
        <v>24</v>
      </c>
      <c r="J45" s="384">
        <f t="shared" si="2"/>
        <v>731.21080000000006</v>
      </c>
      <c r="K45" s="492"/>
      <c r="L45" s="1137">
        <v>272.87668689999992</v>
      </c>
      <c r="M45" s="492">
        <f t="shared" si="0"/>
        <v>33.123313100000075</v>
      </c>
      <c r="O45" s="358"/>
    </row>
    <row r="46" spans="2:15">
      <c r="B46" s="491" t="s">
        <v>342</v>
      </c>
      <c r="C46" s="750">
        <v>381.92</v>
      </c>
      <c r="D46" s="377">
        <f>+C46*PROMIGAS!$G$6</f>
        <v>380.46870400000006</v>
      </c>
      <c r="F46" s="357" t="s">
        <v>19</v>
      </c>
      <c r="G46" s="702">
        <f>+D80+D81-G71</f>
        <v>5001.9202000000023</v>
      </c>
      <c r="I46" s="357" t="s">
        <v>25</v>
      </c>
      <c r="J46" s="384">
        <f t="shared" si="2"/>
        <v>964.3216000000001</v>
      </c>
      <c r="K46" s="492"/>
      <c r="L46" s="1138">
        <v>386.11100000000039</v>
      </c>
      <c r="M46" s="492">
        <f t="shared" si="0"/>
        <v>-4.191000000000372</v>
      </c>
      <c r="O46" s="358"/>
    </row>
    <row r="47" spans="2:15">
      <c r="B47" s="367" t="s">
        <v>150</v>
      </c>
      <c r="C47" s="750">
        <v>4000.5738461538463</v>
      </c>
      <c r="D47" s="377">
        <f>+C47*PROMIGAS!$G$6</f>
        <v>3985.3716655384619</v>
      </c>
      <c r="F47" s="357" t="s">
        <v>20</v>
      </c>
      <c r="G47" s="359">
        <f>+D63</f>
        <v>6754.2360000000008</v>
      </c>
      <c r="I47" s="662" t="s">
        <v>190</v>
      </c>
      <c r="J47" s="664">
        <f t="shared" si="2"/>
        <v>6511.1632</v>
      </c>
      <c r="K47" s="1131"/>
      <c r="L47" s="1138">
        <v>4778.5988464355469</v>
      </c>
      <c r="M47" s="492">
        <f t="shared" si="0"/>
        <v>-778.02500028170061</v>
      </c>
      <c r="O47" s="358"/>
    </row>
    <row r="48" spans="2:15">
      <c r="B48" s="368" t="s">
        <v>249</v>
      </c>
      <c r="C48" s="750">
        <v>1150.1000000000004</v>
      </c>
      <c r="D48" s="377">
        <f>+C48*PROMIGAS!$G$6</f>
        <v>1145.7296200000005</v>
      </c>
      <c r="E48" s="358"/>
      <c r="F48" s="357" t="s">
        <v>21</v>
      </c>
      <c r="G48" s="359">
        <f>+D60</f>
        <v>321.77260000000001</v>
      </c>
      <c r="I48" s="357" t="s">
        <v>215</v>
      </c>
      <c r="J48" s="384">
        <f t="shared" si="2"/>
        <v>514.03920000000005</v>
      </c>
      <c r="K48" s="492"/>
      <c r="L48" s="1138">
        <v>1133.6306953430176</v>
      </c>
      <c r="M48" s="492">
        <f t="shared" si="0"/>
        <v>16.469304656982786</v>
      </c>
      <c r="O48" s="358"/>
    </row>
    <row r="49" spans="2:15">
      <c r="B49" s="369" t="s">
        <v>250</v>
      </c>
      <c r="C49" s="750">
        <v>1285</v>
      </c>
      <c r="D49" s="377">
        <f>+C49*PROMIGAS!$G$6</f>
        <v>1280.1170000000002</v>
      </c>
      <c r="E49" s="358"/>
      <c r="F49" s="357" t="s">
        <v>22</v>
      </c>
      <c r="G49" s="359">
        <f>+D59</f>
        <v>1282.1094000000001</v>
      </c>
      <c r="I49" s="378" t="s">
        <v>350</v>
      </c>
      <c r="J49" s="384">
        <f t="shared" si="2"/>
        <v>1541.1214000000002</v>
      </c>
      <c r="K49" s="492"/>
      <c r="L49" s="1138">
        <v>1592</v>
      </c>
      <c r="M49" s="492">
        <f t="shared" si="0"/>
        <v>-307</v>
      </c>
      <c r="O49" s="358"/>
    </row>
    <row r="50" spans="2:15">
      <c r="B50" s="370" t="s">
        <v>251</v>
      </c>
      <c r="C50" s="750">
        <v>676</v>
      </c>
      <c r="D50" s="377">
        <f>+C50*PROMIGAS!$G$6</f>
        <v>673.4312000000001</v>
      </c>
      <c r="E50" s="358"/>
      <c r="F50" s="357" t="s">
        <v>23</v>
      </c>
      <c r="G50" s="359">
        <f>+D61</f>
        <v>1026.086</v>
      </c>
      <c r="J50" s="384"/>
      <c r="K50" s="492"/>
      <c r="L50" s="1138">
        <v>678</v>
      </c>
      <c r="M50" s="492">
        <f t="shared" si="0"/>
        <v>-2</v>
      </c>
      <c r="O50" s="358"/>
    </row>
    <row r="51" spans="2:15">
      <c r="B51" s="370" t="s">
        <v>252</v>
      </c>
      <c r="C51" s="750">
        <v>1</v>
      </c>
      <c r="D51" s="377">
        <f>+C51*PROMIGAS!$G$6</f>
        <v>0.99620000000000009</v>
      </c>
      <c r="E51" s="358"/>
      <c r="F51" s="357" t="s">
        <v>24</v>
      </c>
      <c r="G51" s="359">
        <f>+D62</f>
        <v>731.21080000000006</v>
      </c>
      <c r="I51" s="357" t="s">
        <v>61</v>
      </c>
      <c r="J51" s="472">
        <f>+G73</f>
        <v>14533.974253005081</v>
      </c>
      <c r="K51" s="1128"/>
      <c r="L51" s="1138">
        <v>0.95350000000000001</v>
      </c>
      <c r="M51" s="492">
        <f t="shared" si="0"/>
        <v>4.6499999999999986E-2</v>
      </c>
      <c r="O51" s="358"/>
    </row>
    <row r="52" spans="2:15">
      <c r="B52" s="370" t="s">
        <v>253</v>
      </c>
      <c r="C52" s="750">
        <v>3809</v>
      </c>
      <c r="D52" s="377">
        <f>+C52*PROMIGAS!$G$6</f>
        <v>3794.5258000000003</v>
      </c>
      <c r="E52" s="358"/>
      <c r="F52" s="357" t="s">
        <v>25</v>
      </c>
      <c r="G52" s="359">
        <f>+D79</f>
        <v>964.3216000000001</v>
      </c>
      <c r="I52" s="357" t="s">
        <v>217</v>
      </c>
      <c r="J52" s="384">
        <f>+G74</f>
        <v>26159.215800000002</v>
      </c>
      <c r="K52" s="492"/>
      <c r="L52" s="1138">
        <v>5393.9284362792969</v>
      </c>
      <c r="M52" s="492">
        <f t="shared" si="0"/>
        <v>-1584.9284362792969</v>
      </c>
      <c r="O52" s="358"/>
    </row>
    <row r="53" spans="2:15">
      <c r="B53" s="370" t="s">
        <v>254</v>
      </c>
      <c r="C53" s="750">
        <v>35697</v>
      </c>
      <c r="D53" s="377">
        <f>+C53*PROMIGAS!$G$6</f>
        <v>35561.3514</v>
      </c>
      <c r="E53" s="358"/>
      <c r="F53" s="662" t="s">
        <v>190</v>
      </c>
      <c r="G53" s="663">
        <f>+D86-G139</f>
        <v>6511.1632</v>
      </c>
      <c r="I53" s="357" t="s">
        <v>26</v>
      </c>
      <c r="J53" s="384">
        <f t="shared" ref="J53:J60" si="3">+G56</f>
        <v>2204.5906</v>
      </c>
      <c r="K53" s="492"/>
      <c r="L53" s="1138">
        <v>36023.328000000001</v>
      </c>
      <c r="M53" s="492">
        <f t="shared" si="0"/>
        <v>-326.32800000000134</v>
      </c>
      <c r="O53" s="358"/>
    </row>
    <row r="54" spans="2:15">
      <c r="B54" s="370" t="s">
        <v>255</v>
      </c>
      <c r="C54" s="750">
        <v>26259</v>
      </c>
      <c r="D54" s="377">
        <f>+C54*PROMIGAS!$G$6</f>
        <v>26159.215800000002</v>
      </c>
      <c r="E54" s="358"/>
      <c r="F54" s="376" t="s">
        <v>215</v>
      </c>
      <c r="G54" s="499">
        <f>+D83</f>
        <v>514.03920000000005</v>
      </c>
      <c r="H54" s="376"/>
      <c r="I54" s="357" t="s">
        <v>27</v>
      </c>
      <c r="J54" s="384">
        <f t="shared" si="3"/>
        <v>2943.7710000000002</v>
      </c>
      <c r="K54" s="492"/>
      <c r="L54" s="1138">
        <v>24121.688732852883</v>
      </c>
      <c r="M54" s="492">
        <f t="shared" si="0"/>
        <v>2137.3112671471172</v>
      </c>
      <c r="O54" s="358"/>
    </row>
    <row r="55" spans="2:15">
      <c r="B55" s="370" t="s">
        <v>256</v>
      </c>
      <c r="C55" s="750">
        <v>4905.9765384615348</v>
      </c>
      <c r="D55" s="377">
        <f>+C55*PROMIGAS!$G$6</f>
        <v>4887.3338276153818</v>
      </c>
      <c r="E55" s="358"/>
      <c r="F55" s="500" t="s">
        <v>350</v>
      </c>
      <c r="G55" s="381">
        <f>+D85</f>
        <v>1541.1214000000002</v>
      </c>
      <c r="H55" s="360"/>
      <c r="I55" s="357" t="s">
        <v>28</v>
      </c>
      <c r="J55" s="1110">
        <f t="shared" si="3"/>
        <v>6456.0901721706241</v>
      </c>
      <c r="K55" s="1129"/>
      <c r="L55" s="1138">
        <v>4909.9271545410156</v>
      </c>
      <c r="M55" s="492">
        <f t="shared" si="0"/>
        <v>-3.9506160794808238</v>
      </c>
      <c r="O55" s="358"/>
    </row>
    <row r="56" spans="2:15">
      <c r="B56" s="630" t="s">
        <v>397</v>
      </c>
      <c r="C56" s="1195">
        <v>2650</v>
      </c>
      <c r="D56" s="377">
        <f>+C56*PROMIGAS!$G$6</f>
        <v>2639.9300000000003</v>
      </c>
      <c r="E56" s="358"/>
      <c r="F56" s="357" t="s">
        <v>26</v>
      </c>
      <c r="G56" s="359">
        <f>+D57</f>
        <v>2204.5906</v>
      </c>
      <c r="I56" s="357" t="s">
        <v>29</v>
      </c>
      <c r="J56" s="384">
        <f t="shared" si="3"/>
        <v>3296.4258000000004</v>
      </c>
      <c r="K56" s="492"/>
      <c r="L56" s="1138">
        <v>2624.6607424190502</v>
      </c>
      <c r="M56" s="492">
        <f t="shared" si="0"/>
        <v>25.339257580949834</v>
      </c>
      <c r="O56" s="358"/>
    </row>
    <row r="57" spans="2:15">
      <c r="B57" s="370" t="s">
        <v>257</v>
      </c>
      <c r="C57" s="750">
        <v>2213</v>
      </c>
      <c r="D57" s="377">
        <f>+C57*PROMIGAS!$G$6</f>
        <v>2204.5906</v>
      </c>
      <c r="E57" s="358"/>
      <c r="F57" s="357" t="s">
        <v>27</v>
      </c>
      <c r="G57" s="359">
        <f>+D58</f>
        <v>2943.7710000000002</v>
      </c>
      <c r="I57" s="357" t="s">
        <v>30</v>
      </c>
      <c r="J57" s="384">
        <f t="shared" si="3"/>
        <v>3794.5258000000003</v>
      </c>
      <c r="K57" s="492"/>
      <c r="L57" s="1138">
        <v>2201</v>
      </c>
      <c r="M57" s="492">
        <f t="shared" si="0"/>
        <v>12</v>
      </c>
      <c r="O57" s="358"/>
    </row>
    <row r="58" spans="2:15">
      <c r="B58" s="370" t="s">
        <v>258</v>
      </c>
      <c r="C58" s="750">
        <v>2955</v>
      </c>
      <c r="D58" s="377">
        <f>+C58*PROMIGAS!$G$6</f>
        <v>2943.7710000000002</v>
      </c>
      <c r="E58" s="358"/>
      <c r="F58" s="357" t="s">
        <v>28</v>
      </c>
      <c r="G58" s="702">
        <f>+D64-G167</f>
        <v>6456.0901721706241</v>
      </c>
      <c r="I58" s="357" t="s">
        <v>31</v>
      </c>
      <c r="J58" s="384">
        <f t="shared" si="3"/>
        <v>673.4312000000001</v>
      </c>
      <c r="K58" s="492"/>
      <c r="L58" s="1138">
        <v>2974.048516845703</v>
      </c>
      <c r="M58" s="492">
        <f t="shared" si="0"/>
        <v>-19.048516845703034</v>
      </c>
      <c r="O58" s="358"/>
    </row>
    <row r="59" spans="2:15">
      <c r="B59" s="484" t="s">
        <v>259</v>
      </c>
      <c r="C59" s="751">
        <v>1287</v>
      </c>
      <c r="D59" s="377">
        <f>+C59*PROMIGAS!$G$6</f>
        <v>1282.1094000000001</v>
      </c>
      <c r="E59" s="358"/>
      <c r="F59" s="357" t="s">
        <v>29</v>
      </c>
      <c r="G59" s="359">
        <f>+D78</f>
        <v>3296.4258000000004</v>
      </c>
      <c r="I59" s="357" t="s">
        <v>32</v>
      </c>
      <c r="J59" s="384">
        <f t="shared" si="3"/>
        <v>0.99620000000000009</v>
      </c>
      <c r="K59" s="492"/>
      <c r="L59" s="1138">
        <v>1279.9705978393554</v>
      </c>
      <c r="M59" s="492">
        <f t="shared" si="0"/>
        <v>7.0294021606446222</v>
      </c>
      <c r="O59" s="358"/>
    </row>
    <row r="60" spans="2:15">
      <c r="B60" s="370" t="s">
        <v>260</v>
      </c>
      <c r="C60" s="750">
        <v>323</v>
      </c>
      <c r="D60" s="377">
        <f>+C60*PROMIGAS!$G$6</f>
        <v>321.77260000000001</v>
      </c>
      <c r="E60" s="358"/>
      <c r="F60" s="357" t="s">
        <v>30</v>
      </c>
      <c r="G60" s="359">
        <f>+D52</f>
        <v>3794.5258000000003</v>
      </c>
      <c r="I60" s="357" t="s">
        <v>33</v>
      </c>
      <c r="J60" s="384">
        <f t="shared" si="3"/>
        <v>1584.9542000000001</v>
      </c>
      <c r="K60" s="492"/>
      <c r="L60" s="1138">
        <v>327.90000000000003</v>
      </c>
      <c r="M60" s="492">
        <f t="shared" si="0"/>
        <v>-4.9000000000000341</v>
      </c>
      <c r="O60" s="358"/>
    </row>
    <row r="61" spans="2:15">
      <c r="B61" s="370" t="s">
        <v>261</v>
      </c>
      <c r="C61" s="750">
        <v>1030</v>
      </c>
      <c r="D61" s="377">
        <f>+C61*PROMIGAS!$G$6</f>
        <v>1026.086</v>
      </c>
      <c r="E61" s="358"/>
      <c r="F61" s="357" t="s">
        <v>31</v>
      </c>
      <c r="G61" s="359">
        <f>+D50</f>
        <v>673.4312000000001</v>
      </c>
      <c r="I61" s="357" t="s">
        <v>34</v>
      </c>
      <c r="J61" s="384">
        <f>+G75</f>
        <v>5994.1354000000001</v>
      </c>
      <c r="K61" s="492"/>
      <c r="L61" s="1138">
        <v>1054.9107177734375</v>
      </c>
      <c r="M61" s="492">
        <f t="shared" si="0"/>
        <v>-24.910717773437455</v>
      </c>
      <c r="O61" s="358"/>
    </row>
    <row r="62" spans="2:15">
      <c r="B62" s="370" t="s">
        <v>262</v>
      </c>
      <c r="C62" s="750">
        <v>734</v>
      </c>
      <c r="D62" s="377">
        <f>+C62*PROMIGAS!$G$6</f>
        <v>731.21080000000006</v>
      </c>
      <c r="E62" s="358"/>
      <c r="F62" s="357" t="s">
        <v>32</v>
      </c>
      <c r="G62" s="359">
        <f>+D51</f>
        <v>0.99620000000000009</v>
      </c>
      <c r="I62" s="357" t="s">
        <v>35</v>
      </c>
      <c r="J62" s="384">
        <f>+G76</f>
        <v>4143.1958000000004</v>
      </c>
      <c r="K62" s="492"/>
      <c r="L62" s="1138">
        <v>782.63103408813481</v>
      </c>
      <c r="M62" s="492">
        <f t="shared" si="0"/>
        <v>-48.631034088134811</v>
      </c>
      <c r="O62" s="358"/>
    </row>
    <row r="63" spans="2:15">
      <c r="B63" s="370" t="s">
        <v>263</v>
      </c>
      <c r="C63" s="750">
        <v>6780</v>
      </c>
      <c r="D63" s="377">
        <f>+C63*PROMIGAS!$G$6</f>
        <v>6754.2360000000008</v>
      </c>
      <c r="E63" s="358"/>
      <c r="F63" s="357" t="s">
        <v>33</v>
      </c>
      <c r="G63" s="359">
        <f>+D49+D45</f>
        <v>1584.9542000000001</v>
      </c>
      <c r="I63" s="357" t="s">
        <v>36</v>
      </c>
      <c r="J63" s="384">
        <f>+G77</f>
        <v>845.77380000000005</v>
      </c>
      <c r="K63" s="492"/>
      <c r="L63" s="1138">
        <v>6778.2985351562502</v>
      </c>
      <c r="M63" s="492">
        <f t="shared" si="0"/>
        <v>1.7014648437498181</v>
      </c>
      <c r="O63" s="358"/>
    </row>
    <row r="64" spans="2:15">
      <c r="B64" s="371" t="s">
        <v>264</v>
      </c>
      <c r="C64" s="750">
        <v>6866</v>
      </c>
      <c r="D64" s="377">
        <f>+C64*PROMIGAS!$G$6</f>
        <v>6839.909200000001</v>
      </c>
      <c r="E64" s="358"/>
      <c r="G64" s="380"/>
      <c r="L64" s="1138">
        <v>6983.9329288670342</v>
      </c>
      <c r="M64" s="492">
        <f t="shared" si="0"/>
        <v>-117.93292886703421</v>
      </c>
      <c r="O64" s="358"/>
    </row>
    <row r="65" spans="2:15">
      <c r="B65" s="371" t="s">
        <v>265</v>
      </c>
      <c r="C65" s="750">
        <v>2510</v>
      </c>
      <c r="D65" s="377">
        <f>+C65*PROMIGAS!$G$6</f>
        <v>2500.462</v>
      </c>
      <c r="E65" s="358"/>
      <c r="F65" s="357" t="s">
        <v>52</v>
      </c>
      <c r="G65" s="359">
        <f>+D44</f>
        <v>1781.285296</v>
      </c>
      <c r="I65" s="357" t="s">
        <v>200</v>
      </c>
      <c r="J65" s="384">
        <f>+G115</f>
        <v>3430.0878298062084</v>
      </c>
      <c r="K65" s="492"/>
      <c r="L65" s="1138">
        <v>2648.7891418457029</v>
      </c>
      <c r="M65" s="492">
        <f t="shared" si="0"/>
        <v>-138.78914184570294</v>
      </c>
      <c r="O65" s="358"/>
    </row>
    <row r="66" spans="2:15">
      <c r="B66" s="371" t="s">
        <v>266</v>
      </c>
      <c r="C66" s="750">
        <v>19500</v>
      </c>
      <c r="D66" s="377">
        <f>+C66*PROMIGAS!$G$6</f>
        <v>19425.900000000001</v>
      </c>
      <c r="E66" s="358"/>
      <c r="F66" s="378" t="s">
        <v>342</v>
      </c>
      <c r="G66" s="359">
        <f>+D46</f>
        <v>380.46870400000006</v>
      </c>
      <c r="I66" s="357" t="s">
        <v>197</v>
      </c>
      <c r="J66" s="384">
        <f>+G117</f>
        <v>1985.5354156923074</v>
      </c>
      <c r="K66" s="492"/>
      <c r="L66" s="1138">
        <v>21053.710635986328</v>
      </c>
      <c r="M66" s="492">
        <f t="shared" si="0"/>
        <v>-1553.7106359863283</v>
      </c>
      <c r="O66" s="358"/>
    </row>
    <row r="67" spans="2:15">
      <c r="B67" s="371" t="s">
        <v>267</v>
      </c>
      <c r="C67" s="750">
        <v>205</v>
      </c>
      <c r="D67" s="377">
        <f>+C67*PROMIGAS!$G$6</f>
        <v>204.221</v>
      </c>
      <c r="E67" s="358"/>
      <c r="F67" s="357" t="s">
        <v>54</v>
      </c>
      <c r="G67" s="1042">
        <f>+D48+D182</f>
        <v>1256.3731308720005</v>
      </c>
      <c r="I67" s="357" t="s">
        <v>175</v>
      </c>
      <c r="J67" s="384">
        <f>+G123</f>
        <v>1178.5552590562404</v>
      </c>
      <c r="K67" s="492"/>
      <c r="L67" s="1138">
        <v>156.84298994050027</v>
      </c>
      <c r="M67" s="492">
        <f t="shared" si="0"/>
        <v>48.157010059499726</v>
      </c>
      <c r="O67" s="358"/>
    </row>
    <row r="68" spans="2:15">
      <c r="B68" s="371" t="s">
        <v>268</v>
      </c>
      <c r="C68" s="750">
        <v>3971</v>
      </c>
      <c r="D68" s="377">
        <f>+C68*PROMIGAS!$G$6</f>
        <v>3955.9102000000003</v>
      </c>
      <c r="E68" s="358"/>
      <c r="F68" s="357" t="s">
        <v>150</v>
      </c>
      <c r="G68" s="702">
        <f>+D47-G69-G70+G177</f>
        <v>435.43866553846146</v>
      </c>
      <c r="I68" s="378" t="s">
        <v>346</v>
      </c>
      <c r="J68" s="384">
        <f>+G131</f>
        <v>4067.2887032205713</v>
      </c>
      <c r="K68" s="492"/>
      <c r="L68" s="1138">
        <v>2779.4613176252051</v>
      </c>
      <c r="M68" s="492">
        <f t="shared" si="0"/>
        <v>1191.5386823747949</v>
      </c>
      <c r="O68" s="358"/>
    </row>
    <row r="69" spans="2:15">
      <c r="B69" s="371" t="s">
        <v>406</v>
      </c>
      <c r="C69" s="750">
        <v>3392</v>
      </c>
      <c r="D69" s="377">
        <f>+C69*PROMIGAS!$G$6</f>
        <v>3379.1104000000005</v>
      </c>
      <c r="E69" s="358"/>
      <c r="F69" s="618" t="s">
        <v>456</v>
      </c>
      <c r="G69" s="359">
        <f>+D157</f>
        <v>0</v>
      </c>
      <c r="I69" s="357" t="s">
        <v>210</v>
      </c>
      <c r="J69" s="384">
        <f>+G125</f>
        <v>7351.2368553903107</v>
      </c>
      <c r="K69" s="492"/>
      <c r="L69" s="1138">
        <v>2466.4845921000001</v>
      </c>
      <c r="M69" s="492">
        <f t="shared" si="0"/>
        <v>925.5154078999999</v>
      </c>
      <c r="O69" s="358"/>
    </row>
    <row r="70" spans="2:15">
      <c r="B70" s="371" t="s">
        <v>269</v>
      </c>
      <c r="C70" s="750">
        <v>43420</v>
      </c>
      <c r="D70" s="377">
        <f>+C70*PROMIGAS!$G$6</f>
        <v>43255.004000000001</v>
      </c>
      <c r="E70" s="358"/>
      <c r="F70" s="618" t="s">
        <v>457</v>
      </c>
      <c r="G70" s="359">
        <f>+D158</f>
        <v>3949.9330000000004</v>
      </c>
      <c r="I70" s="378" t="s">
        <v>323</v>
      </c>
      <c r="J70" s="384">
        <f>+D123</f>
        <v>6684.0463080600539</v>
      </c>
      <c r="K70" s="492"/>
      <c r="L70" s="1138">
        <v>39383.15400000001</v>
      </c>
      <c r="M70" s="492">
        <f t="shared" si="0"/>
        <v>4036.8459999999905</v>
      </c>
      <c r="O70" s="358"/>
    </row>
    <row r="71" spans="2:15">
      <c r="B71" s="371" t="s">
        <v>349</v>
      </c>
      <c r="C71" s="750">
        <v>20533</v>
      </c>
      <c r="D71" s="377">
        <f>+C71*PROMIGAS!$G$6</f>
        <v>20454.974600000001</v>
      </c>
      <c r="E71" s="358"/>
      <c r="F71" s="618" t="s">
        <v>144</v>
      </c>
      <c r="G71" s="359">
        <f>+D159</f>
        <v>14605.288200000001</v>
      </c>
      <c r="I71" s="378" t="s">
        <v>368</v>
      </c>
      <c r="J71" s="384">
        <f>+D130</f>
        <v>1748.7684558961362</v>
      </c>
      <c r="K71" s="492"/>
      <c r="L71" s="1138">
        <v>17860.66595674245</v>
      </c>
      <c r="M71" s="492">
        <f t="shared" si="0"/>
        <v>2672.3340432575496</v>
      </c>
      <c r="O71" s="358"/>
    </row>
    <row r="72" spans="2:15">
      <c r="B72" s="371" t="s">
        <v>403</v>
      </c>
      <c r="C72" s="750">
        <v>2228</v>
      </c>
      <c r="D72" s="377">
        <f>+C72*PROMIGAS!$G$6</f>
        <v>2219.5336000000002</v>
      </c>
      <c r="E72" s="358"/>
      <c r="G72" s="701"/>
      <c r="I72" s="378" t="s">
        <v>427</v>
      </c>
      <c r="J72" s="384">
        <f>+G96</f>
        <v>2773.4659831582953</v>
      </c>
      <c r="K72" s="492"/>
      <c r="L72" s="1138">
        <v>2838</v>
      </c>
      <c r="M72" s="492">
        <f t="shared" si="0"/>
        <v>-610</v>
      </c>
      <c r="O72" s="358"/>
    </row>
    <row r="73" spans="2:15">
      <c r="B73" s="1103" t="s">
        <v>387</v>
      </c>
      <c r="C73" s="1104">
        <f>3021+378.02</f>
        <v>3399.02</v>
      </c>
      <c r="D73" s="377">
        <f>+C73*PROMIGAS!$G$6</f>
        <v>3386.1037240000001</v>
      </c>
      <c r="E73" s="358"/>
      <c r="F73" s="357" t="s">
        <v>61</v>
      </c>
      <c r="G73" s="488">
        <f>+D53-G129-G136-G141-G148-G147-G152</f>
        <v>14533.974253005081</v>
      </c>
      <c r="I73" s="378" t="s">
        <v>392</v>
      </c>
      <c r="J73" s="384">
        <f>+D131</f>
        <v>476.84151991142636</v>
      </c>
      <c r="K73" s="492"/>
      <c r="L73" s="1138">
        <v>3263.8552033999999</v>
      </c>
      <c r="M73" s="492">
        <f t="shared" ref="M73:M136" si="4">+C73-L73</f>
        <v>135.16479660000005</v>
      </c>
      <c r="O73" s="358"/>
    </row>
    <row r="74" spans="2:15">
      <c r="B74" s="371" t="s">
        <v>404</v>
      </c>
      <c r="C74" s="750">
        <v>8084</v>
      </c>
      <c r="D74" s="377">
        <f>+C74*PROMIGAS!$G$6</f>
        <v>8053.2808000000005</v>
      </c>
      <c r="E74" s="358"/>
      <c r="F74" s="357" t="s">
        <v>217</v>
      </c>
      <c r="G74" s="359">
        <f>+D54</f>
        <v>26159.215800000002</v>
      </c>
      <c r="I74" s="357" t="s">
        <v>218</v>
      </c>
      <c r="J74" s="384">
        <f>+G124</f>
        <v>5244.7873438842589</v>
      </c>
      <c r="K74" s="492"/>
      <c r="L74" s="1138">
        <v>8863.2122295081863</v>
      </c>
      <c r="M74" s="492">
        <f t="shared" si="4"/>
        <v>-779.21222950818628</v>
      </c>
      <c r="O74" s="358"/>
    </row>
    <row r="75" spans="2:15">
      <c r="B75" s="1099" t="s">
        <v>574</v>
      </c>
      <c r="C75" s="978">
        <v>3238</v>
      </c>
      <c r="D75" s="377">
        <f>+C75*PROMIGAS!$G$6</f>
        <v>3225.6956000000005</v>
      </c>
      <c r="E75" s="358"/>
      <c r="F75" s="357" t="s">
        <v>34</v>
      </c>
      <c r="G75" s="359">
        <f>+D95</f>
        <v>5994.1354000000001</v>
      </c>
      <c r="I75" s="378" t="s">
        <v>340</v>
      </c>
      <c r="J75" s="384">
        <f>+G91</f>
        <v>4087.4647034912787</v>
      </c>
      <c r="K75" s="492"/>
      <c r="L75" s="1138">
        <v>2417.8562502</v>
      </c>
      <c r="M75" s="492">
        <f t="shared" si="4"/>
        <v>820.14374980000002</v>
      </c>
      <c r="O75" s="358"/>
    </row>
    <row r="76" spans="2:15">
      <c r="B76" s="371" t="s">
        <v>405</v>
      </c>
      <c r="C76" s="750">
        <v>3868</v>
      </c>
      <c r="D76" s="377">
        <f>+C76*PROMIGAS!$G$6</f>
        <v>3853.3016000000002</v>
      </c>
      <c r="E76" s="358"/>
      <c r="F76" s="357" t="s">
        <v>35</v>
      </c>
      <c r="G76" s="359">
        <f>+D97</f>
        <v>4143.1958000000004</v>
      </c>
      <c r="L76" s="1138">
        <v>3284.2960464754096</v>
      </c>
      <c r="M76" s="492">
        <f t="shared" si="4"/>
        <v>583.70395352459036</v>
      </c>
      <c r="O76" s="358"/>
    </row>
    <row r="77" spans="2:15">
      <c r="B77" s="645" t="s">
        <v>418</v>
      </c>
      <c r="C77" s="750">
        <v>5437</v>
      </c>
      <c r="D77" s="377">
        <f>+C77*PROMIGAS!$G$6</f>
        <v>5416.3394000000008</v>
      </c>
      <c r="E77" s="358"/>
      <c r="F77" s="357" t="s">
        <v>36</v>
      </c>
      <c r="G77" s="359">
        <f>+D94</f>
        <v>845.77380000000005</v>
      </c>
      <c r="I77" s="357" t="s">
        <v>62</v>
      </c>
      <c r="J77" s="384">
        <f>+G112</f>
        <v>3662.6361572506962</v>
      </c>
      <c r="K77" s="492"/>
      <c r="L77" s="1138">
        <v>6550.8184229278704</v>
      </c>
      <c r="M77" s="492">
        <f t="shared" si="4"/>
        <v>-1113.8184229278704</v>
      </c>
      <c r="O77" s="358"/>
    </row>
    <row r="78" spans="2:15">
      <c r="B78" s="371" t="s">
        <v>270</v>
      </c>
      <c r="C78" s="750">
        <v>3309</v>
      </c>
      <c r="D78" s="377">
        <f>+C78*PROMIGAS!$G$6</f>
        <v>3296.4258000000004</v>
      </c>
      <c r="E78" s="358"/>
      <c r="F78" s="357" t="s">
        <v>39</v>
      </c>
      <c r="G78" s="359">
        <f>+D93</f>
        <v>3098.2517340000004</v>
      </c>
      <c r="I78" s="357" t="s">
        <v>63</v>
      </c>
      <c r="J78" s="384">
        <f>+G113</f>
        <v>3849.8828624657399</v>
      </c>
      <c r="K78" s="492"/>
      <c r="L78" s="1138">
        <v>3270.6237342822269</v>
      </c>
      <c r="M78" s="492">
        <f t="shared" si="4"/>
        <v>38.376265717773094</v>
      </c>
      <c r="O78" s="358"/>
    </row>
    <row r="79" spans="2:15">
      <c r="B79" s="371" t="s">
        <v>25</v>
      </c>
      <c r="C79" s="750">
        <v>968</v>
      </c>
      <c r="D79" s="377">
        <f>+C79*PROMIGAS!$G$6</f>
        <v>964.3216000000001</v>
      </c>
      <c r="E79" s="358"/>
      <c r="F79" s="357" t="s">
        <v>40</v>
      </c>
      <c r="G79" s="359">
        <f>+D92</f>
        <v>1850.3219560000002</v>
      </c>
      <c r="I79" s="357" t="s">
        <v>156</v>
      </c>
      <c r="J79" s="384">
        <f>+G114</f>
        <v>5173.8227721212961</v>
      </c>
      <c r="K79" s="492"/>
      <c r="L79" s="1138">
        <v>939.10940322875979</v>
      </c>
      <c r="M79" s="492">
        <f t="shared" si="4"/>
        <v>28.890596771240212</v>
      </c>
      <c r="O79" s="358"/>
    </row>
    <row r="80" spans="2:15">
      <c r="B80" s="371" t="s">
        <v>271</v>
      </c>
      <c r="C80" s="750">
        <v>9925</v>
      </c>
      <c r="D80" s="377">
        <f>+C80*PROMIGAS!$G$6</f>
        <v>9887.2850000000017</v>
      </c>
      <c r="E80" s="358"/>
      <c r="F80" s="357" t="s">
        <v>41</v>
      </c>
      <c r="G80" s="702">
        <f>+D90-D185</f>
        <v>5597.1434299883522</v>
      </c>
      <c r="I80" s="357" t="s">
        <v>211</v>
      </c>
      <c r="J80" s="384">
        <f>+G126</f>
        <v>3702.6106442735331</v>
      </c>
      <c r="K80" s="492"/>
      <c r="L80" s="1138">
        <v>10305.800657353515</v>
      </c>
      <c r="M80" s="492">
        <f t="shared" si="4"/>
        <v>-380.80065735351491</v>
      </c>
      <c r="O80" s="358"/>
    </row>
    <row r="81" spans="2:15">
      <c r="B81" s="371" t="s">
        <v>272</v>
      </c>
      <c r="C81" s="750">
        <v>9757</v>
      </c>
      <c r="D81" s="377">
        <f>+C81*PROMIGAS!$G$6</f>
        <v>9719.9234000000015</v>
      </c>
      <c r="E81" s="358"/>
      <c r="F81" s="357" t="s">
        <v>42</v>
      </c>
      <c r="G81" s="359">
        <f>+D91</f>
        <v>1178.4647520000001</v>
      </c>
      <c r="I81" s="357" t="s">
        <v>214</v>
      </c>
      <c r="J81" s="384">
        <f>+G127</f>
        <v>4031.5369146327707</v>
      </c>
      <c r="K81" s="492"/>
      <c r="L81" s="1138">
        <v>10178.142937331897</v>
      </c>
      <c r="M81" s="492">
        <f t="shared" si="4"/>
        <v>-421.14293733189697</v>
      </c>
      <c r="O81" s="358"/>
    </row>
    <row r="82" spans="2:15">
      <c r="B82" s="925" t="s">
        <v>433</v>
      </c>
      <c r="C82" s="750">
        <v>3319</v>
      </c>
      <c r="D82" s="377">
        <f>+C82*PROMIGAS!$G$6</f>
        <v>3306.3878000000004</v>
      </c>
      <c r="E82" s="358"/>
      <c r="F82" s="357" t="s">
        <v>43</v>
      </c>
      <c r="G82" s="359">
        <f>+D96</f>
        <v>1736.8149280000002</v>
      </c>
      <c r="I82" s="378" t="s">
        <v>333</v>
      </c>
      <c r="J82" s="384">
        <f>+G130</f>
        <v>5221.6285673573129</v>
      </c>
      <c r="K82" s="492"/>
      <c r="L82" s="1138">
        <v>3225.4681244999992</v>
      </c>
      <c r="M82" s="492">
        <f t="shared" si="4"/>
        <v>93.531875500000751</v>
      </c>
      <c r="O82" s="358"/>
    </row>
    <row r="83" spans="2:15">
      <c r="B83" s="371" t="s">
        <v>273</v>
      </c>
      <c r="C83" s="750">
        <v>516</v>
      </c>
      <c r="D83" s="377">
        <f>+C83*PROMIGAS!$G$6</f>
        <v>514.03920000000005</v>
      </c>
      <c r="E83" s="358"/>
      <c r="F83" s="357" t="s">
        <v>44</v>
      </c>
      <c r="G83" s="359">
        <f>+D99</f>
        <v>1226.6409840000001</v>
      </c>
      <c r="I83" s="378" t="s">
        <v>376</v>
      </c>
      <c r="J83" s="384">
        <f>+G134</f>
        <v>6123.6467848653419</v>
      </c>
      <c r="K83" s="492"/>
      <c r="L83" s="1138">
        <v>501.92631492614748</v>
      </c>
      <c r="M83" s="492">
        <f t="shared" si="4"/>
        <v>14.073685073852516</v>
      </c>
      <c r="O83" s="358"/>
    </row>
    <row r="84" spans="2:15">
      <c r="B84" s="371" t="s">
        <v>274</v>
      </c>
      <c r="C84" s="750">
        <v>6121</v>
      </c>
      <c r="D84" s="377">
        <f>+C84*PROMIGAS!$G$6</f>
        <v>6097.7402000000002</v>
      </c>
      <c r="E84" s="358"/>
      <c r="F84" s="357" t="s">
        <v>45</v>
      </c>
      <c r="G84" s="359">
        <f>+D100</f>
        <v>228.84945488000005</v>
      </c>
      <c r="I84" s="378" t="s">
        <v>353</v>
      </c>
      <c r="J84" s="384">
        <f>+G92</f>
        <v>1666.6382926320105</v>
      </c>
      <c r="K84" s="492"/>
      <c r="L84" s="1138">
        <v>4041.8679687499998</v>
      </c>
      <c r="M84" s="492">
        <f t="shared" si="4"/>
        <v>2079.1320312500002</v>
      </c>
      <c r="O84" s="358"/>
    </row>
    <row r="85" spans="2:15">
      <c r="B85" s="372" t="s">
        <v>350</v>
      </c>
      <c r="C85" s="752">
        <v>1547</v>
      </c>
      <c r="D85" s="377">
        <f>+C85*PROMIGAS!$G$6</f>
        <v>1541.1214000000002</v>
      </c>
      <c r="E85" s="358"/>
      <c r="F85" s="357" t="s">
        <v>46</v>
      </c>
      <c r="G85" s="359">
        <f>+D101</f>
        <v>5738.1518480000004</v>
      </c>
      <c r="I85" s="378" t="s">
        <v>359</v>
      </c>
      <c r="J85" s="384">
        <f>+G132</f>
        <v>4592.2841697240374</v>
      </c>
      <c r="K85" s="492"/>
      <c r="L85" s="1138">
        <v>1634.7885693261719</v>
      </c>
      <c r="M85" s="492">
        <f t="shared" si="4"/>
        <v>-87.78856932617191</v>
      </c>
      <c r="O85" s="358"/>
    </row>
    <row r="86" spans="2:15">
      <c r="B86" s="372" t="s">
        <v>190</v>
      </c>
      <c r="C86" s="752">
        <v>10474</v>
      </c>
      <c r="D86" s="377">
        <f>+C86*PROMIGAS!$G$6</f>
        <v>10434.1988</v>
      </c>
      <c r="E86" s="358"/>
      <c r="F86" s="357" t="s">
        <v>47</v>
      </c>
      <c r="G86" s="359">
        <f>+D98</f>
        <v>4482.9000000000005</v>
      </c>
      <c r="I86" s="378" t="s">
        <v>365</v>
      </c>
      <c r="J86" s="384">
        <f>+G133</f>
        <v>3195.5680428758096</v>
      </c>
      <c r="K86" s="492"/>
      <c r="L86" s="1138">
        <v>9310.3347185937491</v>
      </c>
      <c r="M86" s="492">
        <f t="shared" si="4"/>
        <v>1163.6652814062509</v>
      </c>
      <c r="O86" s="358"/>
    </row>
    <row r="87" spans="2:15">
      <c r="B87" s="554" t="s">
        <v>275</v>
      </c>
      <c r="C87" s="752"/>
      <c r="D87" s="377">
        <f>+C87*PROMIGAS!$G$6</f>
        <v>0</v>
      </c>
      <c r="E87" s="358"/>
      <c r="F87" s="357" t="s">
        <v>48</v>
      </c>
      <c r="G87" s="359">
        <f>+D103</f>
        <v>549.70316000000003</v>
      </c>
      <c r="I87" s="378" t="s">
        <v>384</v>
      </c>
      <c r="J87" s="384">
        <f>+G100</f>
        <v>2035.4690002834163</v>
      </c>
      <c r="K87" s="492"/>
      <c r="L87" s="1138"/>
      <c r="M87" s="492">
        <f t="shared" si="4"/>
        <v>0</v>
      </c>
      <c r="O87" s="358"/>
    </row>
    <row r="88" spans="2:15">
      <c r="B88" s="372" t="s">
        <v>336</v>
      </c>
      <c r="C88" s="752"/>
      <c r="D88" s="377">
        <f>+C88*PROMIGAS!$G$6</f>
        <v>0</v>
      </c>
      <c r="E88" s="358"/>
      <c r="F88" s="357" t="s">
        <v>49</v>
      </c>
      <c r="G88" s="359">
        <f>+D104</f>
        <v>1636.7566000000002</v>
      </c>
      <c r="I88" s="378" t="s">
        <v>430</v>
      </c>
      <c r="J88" s="384">
        <f>+G97</f>
        <v>5059.1006084198752</v>
      </c>
      <c r="K88" s="492"/>
      <c r="L88" s="1138"/>
      <c r="M88" s="492">
        <f t="shared" si="4"/>
        <v>0</v>
      </c>
      <c r="O88" s="358"/>
    </row>
    <row r="89" spans="2:15">
      <c r="B89" s="1105" t="s">
        <v>82</v>
      </c>
      <c r="C89" s="1106">
        <f>91929.89-'INPUT II'!F14</f>
        <v>68198.239999999991</v>
      </c>
      <c r="D89" s="377">
        <f>+C89*PROMIGAS!$G$6</f>
        <v>67939.086687999996</v>
      </c>
      <c r="E89" s="358"/>
      <c r="F89" s="357" t="s">
        <v>50</v>
      </c>
      <c r="G89" s="359">
        <f>+D105</f>
        <v>2789.2803040000003</v>
      </c>
      <c r="L89" s="1138">
        <v>40908.06</v>
      </c>
      <c r="M89" s="492">
        <f t="shared" si="4"/>
        <v>27290.179999999993</v>
      </c>
      <c r="O89" s="358"/>
    </row>
    <row r="90" spans="2:15">
      <c r="B90" s="555" t="s">
        <v>276</v>
      </c>
      <c r="C90" s="752">
        <v>6909.42</v>
      </c>
      <c r="D90" s="377">
        <f>+C90*PROMIGAS!$G$6</f>
        <v>6883.1642040000006</v>
      </c>
      <c r="E90" s="358"/>
      <c r="F90" s="357" t="s">
        <v>53</v>
      </c>
      <c r="G90" s="359">
        <f>+D102</f>
        <v>125.99937600000001</v>
      </c>
      <c r="I90" s="357" t="s">
        <v>117</v>
      </c>
      <c r="J90" s="384">
        <f>+G118</f>
        <v>4887.3338276153818</v>
      </c>
      <c r="K90" s="492"/>
      <c r="L90" s="1138">
        <v>6503</v>
      </c>
      <c r="M90" s="492">
        <f t="shared" si="4"/>
        <v>406.42000000000007</v>
      </c>
      <c r="O90" s="358"/>
    </row>
    <row r="91" spans="2:15">
      <c r="B91" s="373" t="s">
        <v>277</v>
      </c>
      <c r="C91" s="750">
        <v>1182.96</v>
      </c>
      <c r="D91" s="377">
        <f>+C91*PROMIGAS!$G$6</f>
        <v>1178.4647520000001</v>
      </c>
      <c r="E91" s="358"/>
      <c r="F91" s="378" t="s">
        <v>339</v>
      </c>
      <c r="G91" s="359">
        <f>+D125</f>
        <v>4087.4647034912787</v>
      </c>
      <c r="I91" s="378" t="s">
        <v>398</v>
      </c>
      <c r="J91" s="384">
        <f>+D56</f>
        <v>2639.9300000000003</v>
      </c>
      <c r="K91" s="492"/>
      <c r="L91" s="1138">
        <v>1124</v>
      </c>
      <c r="M91" s="492">
        <f t="shared" si="4"/>
        <v>58.960000000000036</v>
      </c>
      <c r="O91" s="358"/>
    </row>
    <row r="92" spans="2:15">
      <c r="B92" s="373" t="s">
        <v>278</v>
      </c>
      <c r="C92" s="750">
        <v>1857.38</v>
      </c>
      <c r="D92" s="377">
        <f>+C92*PROMIGAS!$G$6</f>
        <v>1850.3219560000002</v>
      </c>
      <c r="E92" s="358"/>
      <c r="F92" s="378" t="s">
        <v>354</v>
      </c>
      <c r="G92" s="477">
        <f>+D135</f>
        <v>1666.6382926320105</v>
      </c>
      <c r="I92" s="666" t="s">
        <v>439</v>
      </c>
      <c r="J92" s="384">
        <f>+D152</f>
        <v>3188.0177725042349</v>
      </c>
      <c r="K92" s="492"/>
      <c r="L92" s="1138">
        <v>1845.8993690000004</v>
      </c>
      <c r="M92" s="492">
        <f t="shared" si="4"/>
        <v>11.480630999999676</v>
      </c>
      <c r="O92" s="358"/>
    </row>
    <row r="93" spans="2:15">
      <c r="B93" s="373" t="s">
        <v>279</v>
      </c>
      <c r="C93" s="750">
        <v>3110.07</v>
      </c>
      <c r="D93" s="377">
        <f>+C93*PROMIGAS!$G$6</f>
        <v>3098.2517340000004</v>
      </c>
      <c r="E93" s="358"/>
      <c r="F93" s="378" t="s">
        <v>360</v>
      </c>
      <c r="G93" s="359">
        <f>+D136</f>
        <v>30784.172088715306</v>
      </c>
      <c r="I93" s="618" t="s">
        <v>331</v>
      </c>
      <c r="J93" s="655">
        <f>+D133</f>
        <v>3590.950534667249</v>
      </c>
      <c r="K93" s="1132"/>
      <c r="L93" s="1138">
        <v>3367.1860155999993</v>
      </c>
      <c r="M93" s="492">
        <f t="shared" si="4"/>
        <v>-257.11601559999917</v>
      </c>
      <c r="O93" s="358"/>
    </row>
    <row r="94" spans="2:15">
      <c r="B94" s="373" t="s">
        <v>280</v>
      </c>
      <c r="C94" s="750">
        <v>849</v>
      </c>
      <c r="D94" s="377">
        <f>+C94*PROMIGAS!$G$6</f>
        <v>845.77380000000005</v>
      </c>
      <c r="E94" s="358"/>
      <c r="F94" s="378" t="s">
        <v>394</v>
      </c>
      <c r="G94" s="614">
        <f>+D140</f>
        <v>15977.378808967451</v>
      </c>
      <c r="I94" s="618" t="s">
        <v>378</v>
      </c>
      <c r="J94" s="655">
        <f>+D138</f>
        <v>4841.3172541464637</v>
      </c>
      <c r="K94" s="1132"/>
      <c r="L94" s="1138">
        <v>804.34426229508222</v>
      </c>
      <c r="M94" s="492">
        <f t="shared" si="4"/>
        <v>44.655737704917783</v>
      </c>
      <c r="O94" s="358"/>
    </row>
    <row r="95" spans="2:15" ht="13.5" customHeight="1">
      <c r="B95" s="371" t="s">
        <v>281</v>
      </c>
      <c r="C95" s="750">
        <v>6017</v>
      </c>
      <c r="D95" s="377">
        <f>+C95*PROMIGAS!$G$6</f>
        <v>5994.1354000000001</v>
      </c>
      <c r="E95" s="358"/>
      <c r="F95" s="378" t="s">
        <v>426</v>
      </c>
      <c r="G95" s="614">
        <f>+D147</f>
        <v>30551.246247752249</v>
      </c>
      <c r="I95" s="618" t="str">
        <f>+F141</f>
        <v>GNC ESSO HDEZ</v>
      </c>
      <c r="J95" s="655">
        <f>+G141</f>
        <v>2759.204361345322</v>
      </c>
      <c r="K95" s="1132"/>
      <c r="L95" s="1138">
        <v>5777</v>
      </c>
      <c r="M95" s="492">
        <f t="shared" si="4"/>
        <v>240</v>
      </c>
      <c r="O95" s="358"/>
    </row>
    <row r="96" spans="2:15">
      <c r="B96" s="371" t="s">
        <v>282</v>
      </c>
      <c r="C96" s="750">
        <v>1743.44</v>
      </c>
      <c r="D96" s="377">
        <f>+C96*PROMIGAS!$G$6</f>
        <v>1736.8149280000002</v>
      </c>
      <c r="E96" s="358"/>
      <c r="F96" s="378" t="s">
        <v>427</v>
      </c>
      <c r="G96" s="614">
        <f>+D149</f>
        <v>2773.4659831582953</v>
      </c>
      <c r="I96" s="357" t="s">
        <v>118</v>
      </c>
      <c r="J96" s="384">
        <f>+G120</f>
        <v>8053.2808000000005</v>
      </c>
      <c r="K96" s="492"/>
      <c r="L96" s="1138">
        <v>1722</v>
      </c>
      <c r="M96" s="492">
        <f t="shared" si="4"/>
        <v>21.440000000000055</v>
      </c>
      <c r="O96" s="358"/>
    </row>
    <row r="97" spans="2:15">
      <c r="B97" s="371" t="s">
        <v>283</v>
      </c>
      <c r="C97" s="750">
        <v>4159</v>
      </c>
      <c r="D97" s="377">
        <f>+C97*PROMIGAS!$G$6</f>
        <v>4143.1958000000004</v>
      </c>
      <c r="E97" s="358"/>
      <c r="F97" s="378" t="s">
        <v>431</v>
      </c>
      <c r="G97" s="614">
        <f>+D150</f>
        <v>5059.1006084198752</v>
      </c>
      <c r="I97" s="357" t="s">
        <v>208</v>
      </c>
      <c r="J97" s="384">
        <f>+G121</f>
        <v>3009.4219155696692</v>
      </c>
      <c r="K97" s="492"/>
      <c r="L97" s="1138">
        <v>4095</v>
      </c>
      <c r="M97" s="492">
        <f t="shared" si="4"/>
        <v>64</v>
      </c>
      <c r="O97" s="358"/>
    </row>
    <row r="98" spans="2:15">
      <c r="B98" s="371" t="s">
        <v>284</v>
      </c>
      <c r="C98" s="750">
        <v>4500</v>
      </c>
      <c r="D98" s="377">
        <f>+C98*PROMIGAS!$G$6</f>
        <v>4482.9000000000005</v>
      </c>
      <c r="E98" s="358"/>
      <c r="F98" s="926" t="s">
        <v>367</v>
      </c>
      <c r="G98" s="702">
        <f>+D130</f>
        <v>1748.7684558961362</v>
      </c>
      <c r="I98" s="378" t="s">
        <v>337</v>
      </c>
      <c r="J98" s="384">
        <f>+G122</f>
        <v>2219.5336000000002</v>
      </c>
      <c r="K98" s="492"/>
      <c r="L98" s="1138">
        <v>5780</v>
      </c>
      <c r="M98" s="492">
        <f t="shared" si="4"/>
        <v>-1280</v>
      </c>
      <c r="O98" s="358"/>
    </row>
    <row r="99" spans="2:15">
      <c r="B99" s="371" t="s">
        <v>285</v>
      </c>
      <c r="C99" s="750">
        <v>1231.32</v>
      </c>
      <c r="D99" s="377">
        <f>+C99*PROMIGAS!$G$6</f>
        <v>1226.6409840000001</v>
      </c>
      <c r="E99" s="358"/>
      <c r="F99" s="378" t="s">
        <v>392</v>
      </c>
      <c r="G99" s="359">
        <f>+D131</f>
        <v>476.84151991142636</v>
      </c>
      <c r="I99" s="378" t="s">
        <v>405</v>
      </c>
      <c r="J99" s="384">
        <f>+D76</f>
        <v>3853.3016000000002</v>
      </c>
      <c r="K99" s="492"/>
      <c r="L99" s="1138">
        <v>1161.0000000000007</v>
      </c>
      <c r="M99" s="492">
        <f t="shared" si="4"/>
        <v>70.319999999999254</v>
      </c>
      <c r="O99" s="358"/>
    </row>
    <row r="100" spans="2:15">
      <c r="B100" s="371" t="s">
        <v>286</v>
      </c>
      <c r="C100" s="750">
        <v>229.72240000000002</v>
      </c>
      <c r="D100" s="377">
        <f>+C100*PROMIGAS!$G$6</f>
        <v>228.84945488000005</v>
      </c>
      <c r="E100" s="358"/>
      <c r="F100" s="378" t="s">
        <v>382</v>
      </c>
      <c r="G100" s="359">
        <f>+D132</f>
        <v>2035.4690002834163</v>
      </c>
      <c r="I100" s="378" t="s">
        <v>406</v>
      </c>
      <c r="J100" s="384">
        <f>+D69</f>
        <v>3379.1104000000005</v>
      </c>
      <c r="K100" s="492"/>
      <c r="L100" s="1138">
        <v>217.5988655090332</v>
      </c>
      <c r="M100" s="492">
        <f t="shared" si="4"/>
        <v>12.123534490966819</v>
      </c>
      <c r="O100" s="358"/>
    </row>
    <row r="101" spans="2:15">
      <c r="B101" s="371" t="s">
        <v>287</v>
      </c>
      <c r="C101" s="750">
        <v>5760.04</v>
      </c>
      <c r="D101" s="377">
        <f>+C101*PROMIGAS!$G$6</f>
        <v>5738.1518480000004</v>
      </c>
      <c r="E101" s="358"/>
      <c r="F101" s="358"/>
      <c r="I101" s="378" t="s">
        <v>369</v>
      </c>
      <c r="J101" s="656">
        <f>+G135</f>
        <v>6731.3234000000002</v>
      </c>
      <c r="K101" s="1133"/>
      <c r="L101" s="1138">
        <v>4623</v>
      </c>
      <c r="M101" s="492">
        <f t="shared" si="4"/>
        <v>1137.04</v>
      </c>
      <c r="O101" s="358"/>
    </row>
    <row r="102" spans="2:15">
      <c r="B102" s="374" t="s">
        <v>53</v>
      </c>
      <c r="C102" s="750">
        <v>126.48</v>
      </c>
      <c r="D102" s="377">
        <f>+C102*PROMIGAS!$G$6</f>
        <v>125.99937600000001</v>
      </c>
      <c r="E102" s="358"/>
      <c r="F102" s="357" t="s">
        <v>81</v>
      </c>
      <c r="G102" s="359">
        <f>+D17</f>
        <v>37250.143562812773</v>
      </c>
      <c r="I102" s="378" t="s">
        <v>407</v>
      </c>
      <c r="J102" s="656">
        <f>+D142</f>
        <v>3923.0356000000002</v>
      </c>
      <c r="K102" s="1133"/>
      <c r="L102" s="1138">
        <v>2498.2678221000001</v>
      </c>
      <c r="M102" s="492">
        <f t="shared" si="4"/>
        <v>-2371.7878221000001</v>
      </c>
      <c r="O102" s="358"/>
    </row>
    <row r="103" spans="2:15">
      <c r="B103" s="374" t="s">
        <v>288</v>
      </c>
      <c r="C103" s="750">
        <v>551.79999999999995</v>
      </c>
      <c r="D103" s="377">
        <f>+C103*PROMIGAS!$G$6</f>
        <v>549.70316000000003</v>
      </c>
      <c r="E103" s="358"/>
      <c r="F103" s="357" t="s">
        <v>85</v>
      </c>
      <c r="G103" s="359">
        <f>+D26</f>
        <v>41104.208200000001</v>
      </c>
      <c r="I103" s="357" t="s">
        <v>416</v>
      </c>
      <c r="J103" s="384">
        <f>+D77</f>
        <v>5416.3394000000008</v>
      </c>
      <c r="K103" s="492"/>
      <c r="L103" s="1138">
        <v>131.83421277999878</v>
      </c>
      <c r="M103" s="492">
        <f t="shared" si="4"/>
        <v>419.96578722000118</v>
      </c>
      <c r="O103" s="358"/>
    </row>
    <row r="104" spans="2:15">
      <c r="B104" s="374" t="s">
        <v>289</v>
      </c>
      <c r="C104" s="750">
        <v>1643</v>
      </c>
      <c r="D104" s="377">
        <f>+C104*PROMIGAS!$G$6</f>
        <v>1636.7566000000002</v>
      </c>
      <c r="E104" s="358"/>
      <c r="F104" s="378" t="s">
        <v>399</v>
      </c>
      <c r="G104" s="359">
        <f>+D27</f>
        <v>44474.783731865457</v>
      </c>
      <c r="I104" s="378" t="s">
        <v>422</v>
      </c>
      <c r="J104" s="384">
        <f>+G142</f>
        <v>3820.2690242305653</v>
      </c>
      <c r="K104" s="492"/>
      <c r="L104" s="1138">
        <v>1694</v>
      </c>
      <c r="M104" s="492">
        <f t="shared" si="4"/>
        <v>-51</v>
      </c>
      <c r="O104" s="358"/>
    </row>
    <row r="105" spans="2:15">
      <c r="B105" s="635" t="s">
        <v>290</v>
      </c>
      <c r="C105" s="753">
        <v>2799.92</v>
      </c>
      <c r="D105" s="377">
        <f>+C105*PROMIGAS!$G$6</f>
        <v>2789.2803040000003</v>
      </c>
      <c r="E105" s="375"/>
      <c r="F105" s="357" t="s">
        <v>219</v>
      </c>
      <c r="G105" s="359">
        <f>+D16</f>
        <v>37058.640000000007</v>
      </c>
      <c r="I105" s="653" t="s">
        <v>433</v>
      </c>
      <c r="J105" s="384">
        <f>+G143</f>
        <v>3306.3878000000004</v>
      </c>
      <c r="K105" s="492"/>
      <c r="L105" s="1138">
        <v>2846</v>
      </c>
      <c r="M105" s="492">
        <f t="shared" si="4"/>
        <v>-46.079999999999927</v>
      </c>
    </row>
    <row r="106" spans="2:15">
      <c r="B106"/>
      <c r="C106" s="6"/>
      <c r="D106"/>
      <c r="F106" s="357" t="s">
        <v>76</v>
      </c>
      <c r="G106" s="359">
        <f>+D36</f>
        <v>20361.627203944823</v>
      </c>
      <c r="L106" s="1219"/>
      <c r="M106" s="492">
        <f t="shared" si="4"/>
        <v>0</v>
      </c>
    </row>
    <row r="107" spans="2:15">
      <c r="B107" s="636" t="s">
        <v>291</v>
      </c>
      <c r="C107" s="754">
        <v>37947.1</v>
      </c>
      <c r="D107" s="377">
        <f>+C107*PROMIGAS!$G$6</f>
        <v>37802.901020000005</v>
      </c>
      <c r="F107" s="378" t="s">
        <v>343</v>
      </c>
      <c r="G107" s="614">
        <f>+D141</f>
        <v>0</v>
      </c>
      <c r="I107" s="357" t="s">
        <v>64</v>
      </c>
      <c r="J107" s="384">
        <f t="shared" ref="J107:J117" si="5">+G20</f>
        <v>37802.901020000005</v>
      </c>
      <c r="K107" s="492"/>
      <c r="L107" s="1220">
        <v>43907.565674270714</v>
      </c>
      <c r="M107" s="492">
        <f t="shared" si="4"/>
        <v>-5960.4656742707157</v>
      </c>
    </row>
    <row r="108" spans="2:15">
      <c r="B108" s="374" t="s">
        <v>292</v>
      </c>
      <c r="C108" s="755">
        <v>9263.9160000000047</v>
      </c>
      <c r="D108" s="377">
        <f>+C108*PROMIGAS!$G$6</f>
        <v>9228.7131192000052</v>
      </c>
      <c r="F108" s="378" t="s">
        <v>389</v>
      </c>
      <c r="G108" s="614">
        <f>+D139</f>
        <v>111.07286635515982</v>
      </c>
      <c r="I108" s="357" t="s">
        <v>65</v>
      </c>
      <c r="J108" s="384">
        <f t="shared" si="5"/>
        <v>4482.9000000000005</v>
      </c>
      <c r="K108" s="492"/>
      <c r="L108" s="1220">
        <v>9093.6051000000025</v>
      </c>
      <c r="M108" s="492">
        <f t="shared" si="4"/>
        <v>170.31090000000222</v>
      </c>
    </row>
    <row r="109" spans="2:15">
      <c r="B109" s="374" t="s">
        <v>293</v>
      </c>
      <c r="C109" s="755">
        <v>6026.89</v>
      </c>
      <c r="D109" s="377">
        <f>+C109*PROMIGAS!$G$6</f>
        <v>6003.9878180000005</v>
      </c>
      <c r="F109" s="378" t="s">
        <v>413</v>
      </c>
      <c r="G109" s="614">
        <f>+D143</f>
        <v>1.6249859677488263</v>
      </c>
      <c r="I109" s="357" t="s">
        <v>66</v>
      </c>
      <c r="J109" s="384">
        <f t="shared" si="5"/>
        <v>4682.1400000000003</v>
      </c>
      <c r="K109" s="492"/>
      <c r="L109" s="1220">
        <v>5842.838134765625</v>
      </c>
      <c r="M109" s="492">
        <f t="shared" si="4"/>
        <v>184.05186523437533</v>
      </c>
    </row>
    <row r="110" spans="2:15">
      <c r="B110" s="374" t="s">
        <v>294</v>
      </c>
      <c r="C110" s="755">
        <v>10641.203076923073</v>
      </c>
      <c r="D110" s="377">
        <f>+C110*PROMIGAS!$G$6</f>
        <v>10600.766505230766</v>
      </c>
      <c r="F110" s="378" t="s">
        <v>414</v>
      </c>
      <c r="G110" s="614">
        <f>+D144</f>
        <v>0</v>
      </c>
      <c r="I110" s="357" t="s">
        <v>67</v>
      </c>
      <c r="J110" s="384">
        <f t="shared" si="5"/>
        <v>0</v>
      </c>
      <c r="K110" s="492"/>
      <c r="L110" s="1220">
        <v>25513.595458984375</v>
      </c>
      <c r="M110" s="492">
        <f t="shared" si="4"/>
        <v>-14872.392382061302</v>
      </c>
    </row>
    <row r="111" spans="2:15">
      <c r="B111" s="374" t="s">
        <v>295</v>
      </c>
      <c r="C111" s="755">
        <v>14986.854615384616</v>
      </c>
      <c r="D111" s="377">
        <f>+C111*PROMIGAS!$G$6</f>
        <v>14929.904567846155</v>
      </c>
      <c r="F111" s="379" t="s">
        <v>125</v>
      </c>
      <c r="G111" s="492"/>
      <c r="I111" s="357" t="s">
        <v>68</v>
      </c>
      <c r="J111" s="384">
        <f t="shared" si="5"/>
        <v>684.84794153870223</v>
      </c>
      <c r="K111" s="492"/>
      <c r="L111" s="1220">
        <v>24548.974926757812</v>
      </c>
      <c r="M111" s="492">
        <f t="shared" si="4"/>
        <v>-9562.1203113731954</v>
      </c>
    </row>
    <row r="112" spans="2:15">
      <c r="B112" s="374" t="s">
        <v>296</v>
      </c>
      <c r="C112" s="755">
        <v>703.74150984705125</v>
      </c>
      <c r="D112" s="377">
        <f>+C112*PROMIGAS!$G$6</f>
        <v>701.06729210963249</v>
      </c>
      <c r="F112" s="357" t="s">
        <v>62</v>
      </c>
      <c r="G112" s="359">
        <f>+D9</f>
        <v>3662.6361572506962</v>
      </c>
      <c r="I112" s="357" t="s">
        <v>69</v>
      </c>
      <c r="J112" s="384">
        <f t="shared" si="5"/>
        <v>7139.7864734615387</v>
      </c>
      <c r="K112" s="492"/>
      <c r="L112" s="1220">
        <v>672.47400000000198</v>
      </c>
      <c r="M112" s="492">
        <f t="shared" si="4"/>
        <v>31.267509847049269</v>
      </c>
    </row>
    <row r="113" spans="2:13">
      <c r="B113" s="374" t="s">
        <v>297</v>
      </c>
      <c r="C113" s="755">
        <v>424.08</v>
      </c>
      <c r="D113" s="377">
        <f>+C113*PROMIGAS!$G$6</f>
        <v>422.46849600000002</v>
      </c>
      <c r="F113" s="357" t="s">
        <v>63</v>
      </c>
      <c r="G113" s="359">
        <f>+D10</f>
        <v>3849.8828624657399</v>
      </c>
      <c r="I113" s="357" t="s">
        <v>70</v>
      </c>
      <c r="J113" s="384">
        <f t="shared" si="5"/>
        <v>90.654200000000003</v>
      </c>
      <c r="K113" s="492"/>
      <c r="L113" s="1220">
        <v>416.00000000000057</v>
      </c>
      <c r="M113" s="492">
        <f t="shared" si="4"/>
        <v>8.0799999999994156</v>
      </c>
    </row>
    <row r="114" spans="2:13">
      <c r="B114" s="374" t="s">
        <v>298</v>
      </c>
      <c r="C114" s="755">
        <v>2525.3362987165206</v>
      </c>
      <c r="D114" s="377">
        <f>+C114*PROMIGAS!$G$6</f>
        <v>2515.740020781398</v>
      </c>
      <c r="F114" s="357" t="s">
        <v>221</v>
      </c>
      <c r="G114" s="359">
        <f>+D11</f>
        <v>5173.8227721212961</v>
      </c>
      <c r="I114" s="357" t="s">
        <v>71</v>
      </c>
      <c r="J114" s="384">
        <f t="shared" si="5"/>
        <v>2667.9251357692297</v>
      </c>
      <c r="K114" s="492"/>
      <c r="L114" s="1220">
        <v>2324.8020157000001</v>
      </c>
      <c r="M114" s="492">
        <f t="shared" si="4"/>
        <v>200.53428301652048</v>
      </c>
    </row>
    <row r="115" spans="2:13">
      <c r="B115" s="374" t="s">
        <v>299</v>
      </c>
      <c r="C115" s="755">
        <v>3443.1718829614615</v>
      </c>
      <c r="D115" s="377">
        <f>+C115*PROMIGAS!$G$6</f>
        <v>3430.0878298062084</v>
      </c>
      <c r="F115" s="357" t="s">
        <v>200</v>
      </c>
      <c r="G115" s="359">
        <f>+D115</f>
        <v>3430.0878298062084</v>
      </c>
      <c r="I115" s="357" t="s">
        <v>72</v>
      </c>
      <c r="J115" s="384">
        <f t="shared" si="5"/>
        <v>0</v>
      </c>
      <c r="K115" s="492"/>
      <c r="L115" s="1220">
        <v>3581.7228181000005</v>
      </c>
      <c r="M115" s="492">
        <f t="shared" si="4"/>
        <v>-138.55093513853899</v>
      </c>
    </row>
    <row r="116" spans="2:13">
      <c r="B116" s="374" t="s">
        <v>300</v>
      </c>
      <c r="C116" s="755">
        <v>1993.1092307692304</v>
      </c>
      <c r="D116" s="377">
        <f>+C116*PROMIGAS!$G$6</f>
        <v>1985.5354156923074</v>
      </c>
      <c r="F116" s="357" t="s">
        <v>200</v>
      </c>
      <c r="G116" s="359"/>
      <c r="I116" s="357" t="s">
        <v>73</v>
      </c>
      <c r="J116" s="384">
        <f t="shared" si="5"/>
        <v>293.87900000000002</v>
      </c>
      <c r="K116" s="492"/>
      <c r="L116" s="1220">
        <v>1590</v>
      </c>
      <c r="M116" s="492">
        <f t="shared" si="4"/>
        <v>403.10923076923041</v>
      </c>
    </row>
    <row r="117" spans="2:13">
      <c r="B117" s="374" t="s">
        <v>301</v>
      </c>
      <c r="C117" s="755">
        <v>1183.0508522949613</v>
      </c>
      <c r="D117" s="377">
        <f>+C117*PROMIGAS!$G$6</f>
        <v>1178.5552590562404</v>
      </c>
      <c r="F117" s="357" t="s">
        <v>197</v>
      </c>
      <c r="G117" s="359">
        <f>+D116</f>
        <v>1985.5354156923074</v>
      </c>
      <c r="I117" s="357" t="s">
        <v>74</v>
      </c>
      <c r="J117" s="384">
        <f t="shared" si="5"/>
        <v>5977.2000000000007</v>
      </c>
      <c r="K117" s="492"/>
      <c r="L117" s="1220">
        <v>1924.2340000000004</v>
      </c>
      <c r="M117" s="492">
        <f t="shared" si="4"/>
        <v>-741.18314770503912</v>
      </c>
    </row>
    <row r="118" spans="2:13">
      <c r="B118" s="374" t="s">
        <v>302</v>
      </c>
      <c r="C118" s="755">
        <v>1163.058</v>
      </c>
      <c r="D118" s="377">
        <f>+C118*PROMIGAS!$G$6</f>
        <v>1158.6383796</v>
      </c>
      <c r="F118" s="357" t="s">
        <v>117</v>
      </c>
      <c r="G118" s="359">
        <f>+D55</f>
        <v>4887.3338276153818</v>
      </c>
      <c r="I118" s="357" t="s">
        <v>75</v>
      </c>
      <c r="J118" s="384">
        <f>+G33</f>
        <v>0</v>
      </c>
      <c r="K118" s="492"/>
      <c r="L118" s="1220">
        <v>1118.0000000000014</v>
      </c>
      <c r="M118" s="492">
        <f t="shared" si="4"/>
        <v>45.057999999998628</v>
      </c>
    </row>
    <row r="119" spans="2:13">
      <c r="B119" s="374" t="s">
        <v>303</v>
      </c>
      <c r="C119" s="755">
        <v>210.8</v>
      </c>
      <c r="D119" s="377">
        <f>+C119*PROMIGAS!$G$6</f>
        <v>209.99896000000004</v>
      </c>
      <c r="F119" s="378" t="s">
        <v>398</v>
      </c>
      <c r="G119" s="359">
        <f>+D56</f>
        <v>2639.9300000000003</v>
      </c>
      <c r="I119" s="357" t="s">
        <v>76</v>
      </c>
      <c r="J119" s="384">
        <f>+G106</f>
        <v>20361.627203944823</v>
      </c>
      <c r="K119" s="492"/>
      <c r="L119" s="1220">
        <v>201.99999999999977</v>
      </c>
      <c r="M119" s="492">
        <f t="shared" si="4"/>
        <v>8.8000000000002387</v>
      </c>
    </row>
    <row r="120" spans="2:13">
      <c r="B120" s="374" t="s">
        <v>304</v>
      </c>
      <c r="C120" s="755">
        <v>75874.491153846146</v>
      </c>
      <c r="D120" s="377">
        <f>+C120*PROMIGAS!$G$6</f>
        <v>75586.168087461541</v>
      </c>
      <c r="F120" s="357" t="s">
        <v>118</v>
      </c>
      <c r="G120" s="359">
        <f>+D74</f>
        <v>8053.2808000000005</v>
      </c>
      <c r="I120" s="378" t="s">
        <v>343</v>
      </c>
      <c r="J120" s="384">
        <f>+G107</f>
        <v>0</v>
      </c>
      <c r="K120" s="492"/>
      <c r="L120" s="1220">
        <v>77162.36767578125</v>
      </c>
      <c r="M120" s="492">
        <f t="shared" si="4"/>
        <v>-1287.8765219351044</v>
      </c>
    </row>
    <row r="121" spans="2:13">
      <c r="B121" s="374" t="s">
        <v>305</v>
      </c>
      <c r="C121" s="755">
        <v>5264.7935594100163</v>
      </c>
      <c r="D121" s="377">
        <f>+C121*PROMIGAS!$G$6</f>
        <v>5244.7873438842589</v>
      </c>
      <c r="F121" s="928" t="s">
        <v>208</v>
      </c>
      <c r="G121" s="702">
        <f>+D73-G156-G157-G158-G168-G169-G170+130</f>
        <v>3009.4219155696692</v>
      </c>
      <c r="I121" s="378" t="s">
        <v>389</v>
      </c>
      <c r="J121" s="384">
        <f>+G108</f>
        <v>111.07286635515982</v>
      </c>
      <c r="K121" s="492"/>
      <c r="L121" s="1220">
        <v>5180.9024949289396</v>
      </c>
      <c r="M121" s="492">
        <f t="shared" si="4"/>
        <v>83.891064481076683</v>
      </c>
    </row>
    <row r="122" spans="2:13">
      <c r="B122" s="374" t="s">
        <v>319</v>
      </c>
      <c r="C122" s="755">
        <v>7379.2781122167335</v>
      </c>
      <c r="D122" s="377">
        <f>+C122*PROMIGAS!$G$6</f>
        <v>7351.2368553903107</v>
      </c>
      <c r="F122" s="378" t="s">
        <v>337</v>
      </c>
      <c r="G122" s="359">
        <f>+D72</f>
        <v>2219.5336000000002</v>
      </c>
      <c r="I122" s="378" t="s">
        <v>413</v>
      </c>
      <c r="J122" s="384">
        <f>+G109</f>
        <v>1.6249859677488263</v>
      </c>
      <c r="K122" s="492"/>
      <c r="L122" s="1220">
        <v>7270.7955299620007</v>
      </c>
      <c r="M122" s="492">
        <f t="shared" si="4"/>
        <v>108.48258225473273</v>
      </c>
    </row>
    <row r="123" spans="2:13">
      <c r="B123" s="374" t="s">
        <v>320</v>
      </c>
      <c r="C123" s="755">
        <v>6709.5425698253894</v>
      </c>
      <c r="D123" s="377">
        <f>+C123*PROMIGAS!$G$6</f>
        <v>6684.0463080600539</v>
      </c>
      <c r="F123" s="357" t="s">
        <v>175</v>
      </c>
      <c r="G123" s="359">
        <f>+D117</f>
        <v>1178.5552590562404</v>
      </c>
      <c r="I123" s="378" t="s">
        <v>414</v>
      </c>
      <c r="J123" s="384">
        <f>+G110</f>
        <v>0</v>
      </c>
      <c r="K123" s="492"/>
      <c r="L123" s="1220">
        <v>6773.3873858269899</v>
      </c>
      <c r="M123" s="492">
        <f t="shared" si="4"/>
        <v>-63.84481600160052</v>
      </c>
    </row>
    <row r="124" spans="2:13">
      <c r="B124" s="374" t="s">
        <v>306</v>
      </c>
      <c r="C124" s="755">
        <v>324.60000000000002</v>
      </c>
      <c r="D124" s="377">
        <f>+C124*PROMIGAS!$G$6</f>
        <v>323.36652000000004</v>
      </c>
      <c r="F124" s="357" t="s">
        <v>222</v>
      </c>
      <c r="G124" s="614">
        <f>+D121</f>
        <v>5244.7873438842589</v>
      </c>
      <c r="I124" s="357" t="s">
        <v>77</v>
      </c>
      <c r="J124" s="384">
        <f>+G34</f>
        <v>0</v>
      </c>
      <c r="K124" s="492"/>
      <c r="L124" s="1220">
        <v>125.03900000000012</v>
      </c>
      <c r="M124" s="492">
        <f t="shared" si="4"/>
        <v>199.56099999999992</v>
      </c>
    </row>
    <row r="125" spans="2:13">
      <c r="B125" s="371" t="s">
        <v>338</v>
      </c>
      <c r="C125" s="1084">
        <v>4103.0563174977697</v>
      </c>
      <c r="D125" s="377">
        <f>+C125*PROMIGAS!$G$6</f>
        <v>4087.4647034912787</v>
      </c>
      <c r="F125" s="357" t="s">
        <v>223</v>
      </c>
      <c r="G125" s="359">
        <f>+D122</f>
        <v>7351.2368553903107</v>
      </c>
      <c r="I125" s="357" t="s">
        <v>78</v>
      </c>
      <c r="J125" s="384">
        <f>+G35</f>
        <v>0</v>
      </c>
      <c r="K125" s="492"/>
      <c r="L125" s="1220">
        <v>4515.086119951</v>
      </c>
      <c r="M125" s="492">
        <f t="shared" si="4"/>
        <v>-412.02980245323033</v>
      </c>
    </row>
    <row r="126" spans="2:13">
      <c r="B126" s="371" t="s">
        <v>344</v>
      </c>
      <c r="C126" s="1084">
        <v>4082.8033559732694</v>
      </c>
      <c r="D126" s="377">
        <f>+C126*PROMIGAS!$G$6</f>
        <v>4067.2887032205713</v>
      </c>
      <c r="E126" s="358"/>
      <c r="F126" s="357" t="s">
        <v>224</v>
      </c>
      <c r="G126" s="359">
        <f>+D12</f>
        <v>3702.6106442735331</v>
      </c>
      <c r="I126" s="357" t="s">
        <v>79</v>
      </c>
      <c r="J126" s="384">
        <f>+G36</f>
        <v>7591.5065214285714</v>
      </c>
      <c r="K126" s="492"/>
      <c r="L126" s="1220">
        <v>4774.3355517999998</v>
      </c>
      <c r="M126" s="492">
        <f t="shared" si="4"/>
        <v>-691.53219582673046</v>
      </c>
    </row>
    <row r="127" spans="2:13">
      <c r="B127" s="371" t="s">
        <v>357</v>
      </c>
      <c r="C127" s="1084">
        <v>4609.8014151014222</v>
      </c>
      <c r="D127" s="377">
        <f>+C127*PROMIGAS!$G$6</f>
        <v>4592.2841697240374</v>
      </c>
      <c r="E127" s="358"/>
      <c r="F127" s="357" t="s">
        <v>213</v>
      </c>
      <c r="G127" s="359">
        <f>+D13</f>
        <v>4031.5369146327707</v>
      </c>
      <c r="I127" s="357" t="s">
        <v>424</v>
      </c>
      <c r="J127" s="384">
        <f>+G37</f>
        <v>1245.8365572562698</v>
      </c>
      <c r="K127" s="492"/>
      <c r="L127" s="1220">
        <v>4233.8401119629998</v>
      </c>
      <c r="M127" s="492">
        <f t="shared" si="4"/>
        <v>375.96130313842241</v>
      </c>
    </row>
    <row r="128" spans="2:13">
      <c r="B128" s="371" t="s">
        <v>361</v>
      </c>
      <c r="C128" s="1084">
        <v>3207.7575214573471</v>
      </c>
      <c r="D128" s="377">
        <f>+C128*PROMIGAS!$G$6</f>
        <v>3195.5680428758096</v>
      </c>
      <c r="E128" s="358"/>
      <c r="F128" s="378" t="s">
        <v>322</v>
      </c>
      <c r="G128" s="359">
        <f>+D123</f>
        <v>6684.0463080600539</v>
      </c>
      <c r="I128" s="357" t="s">
        <v>216</v>
      </c>
      <c r="J128" s="384">
        <f>+G31</f>
        <v>323.36652000000004</v>
      </c>
      <c r="K128" s="492"/>
      <c r="L128" s="1220">
        <v>3209.820712964</v>
      </c>
      <c r="M128" s="492">
        <f t="shared" si="4"/>
        <v>-2.0631915066528563</v>
      </c>
    </row>
    <row r="129" spans="2:13">
      <c r="B129" s="371" t="s">
        <v>374</v>
      </c>
      <c r="C129" s="1084">
        <v>6147.0054054058837</v>
      </c>
      <c r="D129" s="377">
        <f>+C129*PROMIGAS!$G$6</f>
        <v>6123.6467848653419</v>
      </c>
      <c r="F129" s="378" t="s">
        <v>331</v>
      </c>
      <c r="G129" s="477">
        <f>+D133</f>
        <v>3590.950534667249</v>
      </c>
      <c r="I129" s="378" t="s">
        <v>360</v>
      </c>
      <c r="J129" s="384">
        <f>+D136</f>
        <v>30784.172088715306</v>
      </c>
      <c r="K129" s="492"/>
      <c r="L129" s="1220">
        <v>6336.8991611470001</v>
      </c>
      <c r="M129" s="492">
        <f t="shared" si="4"/>
        <v>-189.89375574111637</v>
      </c>
    </row>
    <row r="130" spans="2:13">
      <c r="B130" s="371" t="s">
        <v>366</v>
      </c>
      <c r="C130" s="755">
        <v>1755.4391245695001</v>
      </c>
      <c r="D130" s="377">
        <f>+C130*PROMIGAS!$G$6</f>
        <v>1748.7684558961362</v>
      </c>
      <c r="F130" s="378" t="s">
        <v>334</v>
      </c>
      <c r="G130" s="477">
        <f>+D134</f>
        <v>5221.6285673573129</v>
      </c>
      <c r="I130" s="378" t="s">
        <v>394</v>
      </c>
      <c r="J130" s="384">
        <f>+D140</f>
        <v>15977.378808967451</v>
      </c>
      <c r="K130" s="492"/>
      <c r="L130" s="1220">
        <v>1663.7814610999997</v>
      </c>
      <c r="M130" s="492">
        <f t="shared" si="4"/>
        <v>91.657663469500449</v>
      </c>
    </row>
    <row r="131" spans="2:13">
      <c r="B131" s="371" t="s">
        <v>391</v>
      </c>
      <c r="C131" s="755">
        <v>478.66042954369237</v>
      </c>
      <c r="D131" s="377">
        <f>+C131*PROMIGAS!$G$6</f>
        <v>476.84151991142636</v>
      </c>
      <c r="F131" s="378" t="s">
        <v>345</v>
      </c>
      <c r="G131" s="477">
        <f>+D126</f>
        <v>4067.2887032205713</v>
      </c>
      <c r="I131" s="357" t="s">
        <v>426</v>
      </c>
      <c r="J131" s="384">
        <f>+G95</f>
        <v>30551.246247752249</v>
      </c>
      <c r="K131" s="492"/>
      <c r="L131" s="1220">
        <v>557.76037179999992</v>
      </c>
      <c r="M131" s="492">
        <f t="shared" si="4"/>
        <v>-79.099942256307543</v>
      </c>
    </row>
    <row r="132" spans="2:13">
      <c r="B132" s="371" t="s">
        <v>381</v>
      </c>
      <c r="C132" s="755">
        <v>2043.2332867731541</v>
      </c>
      <c r="D132" s="377">
        <f>+C132*PROMIGAS!$G$6</f>
        <v>2035.4690002834163</v>
      </c>
      <c r="F132" s="378" t="s">
        <v>356</v>
      </c>
      <c r="G132" s="477">
        <f>+D127</f>
        <v>4592.2841697240374</v>
      </c>
      <c r="L132" s="1220">
        <v>2124.2478493839999</v>
      </c>
      <c r="M132" s="492">
        <f t="shared" si="4"/>
        <v>-81.014562610845815</v>
      </c>
    </row>
    <row r="133" spans="2:13">
      <c r="B133" s="507" t="s">
        <v>332</v>
      </c>
      <c r="C133" s="1085">
        <v>3604.6481978189609</v>
      </c>
      <c r="D133" s="377">
        <f>+C133*PROMIGAS!$G$6</f>
        <v>3590.950534667249</v>
      </c>
      <c r="F133" s="378" t="s">
        <v>364</v>
      </c>
      <c r="G133" s="477">
        <f>+D128</f>
        <v>3195.5680428758096</v>
      </c>
      <c r="I133" s="357" t="s">
        <v>80</v>
      </c>
      <c r="J133" s="476">
        <f>+D19-'INPUT II'!M21</f>
        <v>87530.136724000011</v>
      </c>
      <c r="K133" s="627"/>
      <c r="L133" s="1086">
        <v>3563.038012298</v>
      </c>
      <c r="M133" s="492">
        <f t="shared" si="4"/>
        <v>41.61018552096084</v>
      </c>
    </row>
    <row r="134" spans="2:13">
      <c r="B134" s="507" t="s">
        <v>334</v>
      </c>
      <c r="C134" s="1085">
        <v>5241.5464438439194</v>
      </c>
      <c r="D134" s="377">
        <f>+C134*PROMIGAS!$G$6</f>
        <v>5221.6285673573129</v>
      </c>
      <c r="F134" s="378" t="s">
        <v>373</v>
      </c>
      <c r="G134" s="477">
        <f>+D129</f>
        <v>6123.6467848653419</v>
      </c>
      <c r="I134" s="357" t="s">
        <v>186</v>
      </c>
      <c r="J134" s="476">
        <f>+D20-'INPUT II'!M22</f>
        <v>37859.983280000008</v>
      </c>
      <c r="K134" s="627"/>
      <c r="L134" s="1086">
        <v>5074.0032321865892</v>
      </c>
      <c r="M134" s="492">
        <f t="shared" si="4"/>
        <v>167.54321165733018</v>
      </c>
    </row>
    <row r="135" spans="2:13">
      <c r="B135" s="507" t="s">
        <v>355</v>
      </c>
      <c r="C135" s="1085">
        <v>1672.9956762015763</v>
      </c>
      <c r="D135" s="377">
        <f>+C135*PROMIGAS!$G$6</f>
        <v>1666.6382926320105</v>
      </c>
      <c r="F135" s="378" t="s">
        <v>369</v>
      </c>
      <c r="G135" s="477">
        <f>+D137</f>
        <v>6731.3234000000002</v>
      </c>
      <c r="I135" s="357" t="s">
        <v>81</v>
      </c>
      <c r="J135" s="384">
        <f>+G102</f>
        <v>37250.143562812773</v>
      </c>
      <c r="K135" s="492"/>
      <c r="L135" s="1086">
        <v>2155.0069243410003</v>
      </c>
      <c r="M135" s="492">
        <f t="shared" si="4"/>
        <v>-482.01124813942397</v>
      </c>
    </row>
    <row r="136" spans="2:13">
      <c r="B136" s="507" t="s">
        <v>360</v>
      </c>
      <c r="C136" s="1085">
        <v>30901.598161729878</v>
      </c>
      <c r="D136" s="377">
        <f>+C136*PROMIGAS!$G$6</f>
        <v>30784.172088715306</v>
      </c>
      <c r="F136" s="378" t="s">
        <v>378</v>
      </c>
      <c r="G136" s="477">
        <f>+D138</f>
        <v>4841.3172541464637</v>
      </c>
      <c r="I136" s="357" t="s">
        <v>83</v>
      </c>
      <c r="J136" s="384">
        <v>0</v>
      </c>
      <c r="K136" s="492"/>
      <c r="L136" s="1086">
        <v>29673.007688081998</v>
      </c>
      <c r="M136" s="492">
        <f t="shared" si="4"/>
        <v>1228.5904736478806</v>
      </c>
    </row>
    <row r="137" spans="2:13">
      <c r="B137" s="507" t="s">
        <v>369</v>
      </c>
      <c r="C137" s="1085">
        <v>6757</v>
      </c>
      <c r="D137" s="377">
        <f>+C137*PROMIGAS!$G$6</f>
        <v>6731.3234000000002</v>
      </c>
      <c r="F137" s="378" t="s">
        <v>406</v>
      </c>
      <c r="G137" s="477">
        <f>+D69</f>
        <v>3379.1104000000005</v>
      </c>
      <c r="I137" s="357" t="s">
        <v>85</v>
      </c>
      <c r="J137" s="384">
        <f>+G103</f>
        <v>41104.208200000001</v>
      </c>
      <c r="K137" s="492"/>
      <c r="L137" s="1086">
        <v>4373.4743052809999</v>
      </c>
      <c r="M137" s="492">
        <f t="shared" ref="M137:M195" si="6">+C137-L137</f>
        <v>2383.5256947190001</v>
      </c>
    </row>
    <row r="138" spans="2:13">
      <c r="B138" s="507" t="s">
        <v>378</v>
      </c>
      <c r="C138" s="1085">
        <v>4859.7844349994612</v>
      </c>
      <c r="D138" s="377">
        <f>+C138*PROMIGAS!$G$6</f>
        <v>4841.3172541464637</v>
      </c>
      <c r="F138" s="378" t="s">
        <v>405</v>
      </c>
      <c r="G138" s="477">
        <f>+D76</f>
        <v>3853.3016000000002</v>
      </c>
      <c r="I138" s="378" t="s">
        <v>399</v>
      </c>
      <c r="J138" s="384">
        <f>+G104</f>
        <v>44474.783731865457</v>
      </c>
      <c r="K138" s="492"/>
      <c r="L138" s="1086">
        <v>4880.9813847380001</v>
      </c>
      <c r="M138" s="492">
        <f t="shared" si="6"/>
        <v>-21.196949738538933</v>
      </c>
    </row>
    <row r="139" spans="2:13">
      <c r="B139" s="507" t="s">
        <v>389</v>
      </c>
      <c r="C139" s="1085">
        <v>111.49655325753845</v>
      </c>
      <c r="D139" s="377">
        <f>+C139*PROMIGAS!$G$6</f>
        <v>111.07286635515982</v>
      </c>
      <c r="F139" s="378" t="s">
        <v>409</v>
      </c>
      <c r="G139" s="477">
        <f>+D142</f>
        <v>3923.0356000000002</v>
      </c>
      <c r="I139" s="357" t="s">
        <v>146</v>
      </c>
      <c r="J139" s="384">
        <f>+G105</f>
        <v>37058.640000000007</v>
      </c>
      <c r="K139" s="492"/>
      <c r="L139" s="1086">
        <v>66.356259292999994</v>
      </c>
      <c r="M139" s="492">
        <f t="shared" si="6"/>
        <v>45.140293964538458</v>
      </c>
    </row>
    <row r="140" spans="2:13">
      <c r="B140" s="626" t="s">
        <v>394</v>
      </c>
      <c r="C140" s="1085">
        <v>16038.324441846466</v>
      </c>
      <c r="D140" s="377">
        <f>+C140*PROMIGAS!$G$6</f>
        <v>15977.378808967451</v>
      </c>
      <c r="F140" s="378" t="s">
        <v>416</v>
      </c>
      <c r="G140" s="477">
        <f>+D77</f>
        <v>5416.3394000000008</v>
      </c>
      <c r="I140" s="357" t="s">
        <v>82</v>
      </c>
      <c r="J140" s="384">
        <f>+D89</f>
        <v>67939.086687999996</v>
      </c>
      <c r="K140" s="492"/>
      <c r="L140" s="1086">
        <v>14185.230755226999</v>
      </c>
      <c r="M140" s="492">
        <f t="shared" si="6"/>
        <v>1853.0936866194661</v>
      </c>
    </row>
    <row r="141" spans="2:13">
      <c r="B141" s="626" t="s">
        <v>343</v>
      </c>
      <c r="C141" s="1085">
        <v>0</v>
      </c>
      <c r="D141" s="377">
        <f>+C141*PROMIGAS!$G$6</f>
        <v>0</v>
      </c>
      <c r="F141" s="378" t="s">
        <v>421</v>
      </c>
      <c r="G141" s="477">
        <f>+D145</f>
        <v>2759.204361345322</v>
      </c>
      <c r="I141" s="618" t="s">
        <v>445</v>
      </c>
      <c r="J141" s="384">
        <f t="shared" ref="J141:J153" si="7">+G146</f>
        <v>2798.6993750000001</v>
      </c>
      <c r="K141" s="492"/>
      <c r="L141" s="1086">
        <v>0</v>
      </c>
      <c r="M141" s="492">
        <f t="shared" si="6"/>
        <v>0</v>
      </c>
    </row>
    <row r="142" spans="2:13">
      <c r="B142" s="626" t="s">
        <v>409</v>
      </c>
      <c r="C142" s="1085">
        <v>3938</v>
      </c>
      <c r="D142" s="377">
        <f>+C142*PROMIGAS!$G$6</f>
        <v>3923.0356000000002</v>
      </c>
      <c r="F142" s="378" t="s">
        <v>422</v>
      </c>
      <c r="G142" s="477">
        <f>+D146</f>
        <v>3820.2690242305653</v>
      </c>
      <c r="I142" s="357" t="str">
        <f>+F147</f>
        <v>SUPER EDS SINCLEJO</v>
      </c>
      <c r="J142" s="384">
        <f t="shared" si="7"/>
        <v>2875.8979845326539</v>
      </c>
      <c r="K142" s="492"/>
      <c r="L142" s="1086">
        <v>3615.06</v>
      </c>
      <c r="M142" s="492">
        <f t="shared" si="6"/>
        <v>322.94000000000005</v>
      </c>
    </row>
    <row r="143" spans="2:13">
      <c r="B143" s="626" t="s">
        <v>413</v>
      </c>
      <c r="C143" s="1085">
        <v>1.6311844687300001</v>
      </c>
      <c r="D143" s="377">
        <f>+C143*PROMIGAS!$G$6</f>
        <v>1.6249859677488263</v>
      </c>
      <c r="F143" s="378" t="s">
        <v>433</v>
      </c>
      <c r="G143" s="477">
        <f>+D82</f>
        <v>3306.3878000000004</v>
      </c>
      <c r="I143" s="357" t="str">
        <f>+F148</f>
        <v>EDS LUIS C GALAN</v>
      </c>
      <c r="J143" s="384">
        <f t="shared" si="7"/>
        <v>2642.1751705859206</v>
      </c>
      <c r="K143" s="492"/>
      <c r="L143" s="1086">
        <v>2.8693166937500001</v>
      </c>
      <c r="M143" s="492">
        <f t="shared" si="6"/>
        <v>-1.23813222502</v>
      </c>
    </row>
    <row r="144" spans="2:13">
      <c r="B144" s="626" t="s">
        <v>414</v>
      </c>
      <c r="C144" s="1085">
        <v>0</v>
      </c>
      <c r="D144" s="377">
        <f>+C144*PROMIGAS!$G$6</f>
        <v>0</v>
      </c>
      <c r="F144" s="618" t="s">
        <v>477</v>
      </c>
      <c r="G144" s="477">
        <f>+D151</f>
        <v>1843.8599166314632</v>
      </c>
      <c r="I144" s="618" t="s">
        <v>450</v>
      </c>
      <c r="J144" s="384">
        <f t="shared" si="7"/>
        <v>2206.1470566275043</v>
      </c>
      <c r="K144" s="492"/>
      <c r="L144" s="1086">
        <v>0</v>
      </c>
      <c r="M144" s="492">
        <f t="shared" si="6"/>
        <v>0</v>
      </c>
    </row>
    <row r="145" spans="2:13">
      <c r="B145" s="507" t="s">
        <v>420</v>
      </c>
      <c r="C145" s="1085">
        <v>2769.72933281</v>
      </c>
      <c r="D145" s="377">
        <f>+C145*PROMIGAS!$G$6</f>
        <v>2759.204361345322</v>
      </c>
      <c r="F145" s="618" t="s">
        <v>439</v>
      </c>
      <c r="G145" s="477">
        <f>+D152</f>
        <v>3188.0177725042349</v>
      </c>
      <c r="I145" s="659" t="str">
        <f>+F150</f>
        <v>GNC SOC PORTUARIA</v>
      </c>
      <c r="J145" s="384">
        <f t="shared" si="7"/>
        <v>1693.3159146115734</v>
      </c>
      <c r="K145" s="492"/>
      <c r="L145" s="1086">
        <v>2740.382844533</v>
      </c>
      <c r="M145" s="492">
        <f t="shared" si="6"/>
        <v>29.346488276999935</v>
      </c>
    </row>
    <row r="146" spans="2:13">
      <c r="B146" s="507" t="s">
        <v>422</v>
      </c>
      <c r="C146" s="1086">
        <v>3834.8414216327697</v>
      </c>
      <c r="D146" s="377">
        <f>+C146*PROMIGAS!$G$6</f>
        <v>3820.2690242305653</v>
      </c>
      <c r="F146" s="659" t="str">
        <f>+B43</f>
        <v>ECOPETROL RETIRO</v>
      </c>
      <c r="G146" s="477">
        <f>+D43</f>
        <v>2798.6993750000001</v>
      </c>
      <c r="I146" s="618" t="str">
        <f>+F151</f>
        <v>TERNERA II</v>
      </c>
      <c r="J146" s="384">
        <f t="shared" si="7"/>
        <v>20562.753477999999</v>
      </c>
      <c r="K146" s="492"/>
      <c r="L146" s="1086">
        <v>3669.3385887999993</v>
      </c>
      <c r="M146" s="492">
        <f t="shared" si="6"/>
        <v>165.50283283277031</v>
      </c>
    </row>
    <row r="147" spans="2:13">
      <c r="B147" s="626" t="s">
        <v>428</v>
      </c>
      <c r="C147" s="1087">
        <v>30667.783826292158</v>
      </c>
      <c r="D147" s="377">
        <f>+C147*PROMIGAS!$G$6</f>
        <v>30551.246247752249</v>
      </c>
      <c r="F147" s="357" t="str">
        <f>+B153</f>
        <v>SUPER EDS SINCLEJO</v>
      </c>
      <c r="G147" s="477">
        <f>+D153</f>
        <v>2875.8979845326539</v>
      </c>
      <c r="I147" s="618" t="str">
        <f>+F152</f>
        <v>GNC LAS PEÑITAS</v>
      </c>
      <c r="J147" s="655">
        <f t="shared" si="7"/>
        <v>4317.8318417173123</v>
      </c>
      <c r="K147" s="1132"/>
      <c r="L147" s="1221">
        <v>27305.123951065001</v>
      </c>
      <c r="M147" s="492">
        <f t="shared" si="6"/>
        <v>3362.6598752271566</v>
      </c>
    </row>
    <row r="148" spans="2:13">
      <c r="B148" s="626" t="s">
        <v>424</v>
      </c>
      <c r="C148" s="1087">
        <v>1250.5887946760386</v>
      </c>
      <c r="D148" s="377">
        <f>+C148*PROMIGAS!$G$6</f>
        <v>1245.8365572562698</v>
      </c>
      <c r="F148" s="357" t="str">
        <f>+B154</f>
        <v>EDS LUIS C GALAN</v>
      </c>
      <c r="G148" s="477">
        <f>+D154</f>
        <v>2642.1751705859206</v>
      </c>
      <c r="I148" s="618" t="str">
        <f>+F153</f>
        <v>GNC EL GALLO</v>
      </c>
      <c r="J148" s="655">
        <f t="shared" si="7"/>
        <v>3655.3795085046836</v>
      </c>
      <c r="K148" s="1132"/>
      <c r="L148" s="1221">
        <v>857.09300000000064</v>
      </c>
      <c r="M148" s="492">
        <f t="shared" si="6"/>
        <v>393.49579467603792</v>
      </c>
    </row>
    <row r="149" spans="2:13">
      <c r="B149" s="626" t="s">
        <v>427</v>
      </c>
      <c r="C149" s="1087">
        <v>2784.0453555092304</v>
      </c>
      <c r="D149" s="377">
        <f>+C149*PROMIGAS!$G$6</f>
        <v>2773.4659831582953</v>
      </c>
      <c r="F149" s="618" t="s">
        <v>450</v>
      </c>
      <c r="G149" s="477">
        <f>+D155</f>
        <v>2206.1470566275043</v>
      </c>
      <c r="I149" s="618" t="s">
        <v>467</v>
      </c>
      <c r="J149" s="655">
        <f t="shared" si="7"/>
        <v>1287.5308280859631</v>
      </c>
      <c r="K149" s="1132"/>
      <c r="L149" s="1221">
        <v>1081.7222561999997</v>
      </c>
      <c r="M149" s="492">
        <f t="shared" si="6"/>
        <v>1702.3230993092307</v>
      </c>
    </row>
    <row r="150" spans="2:13">
      <c r="B150" s="626" t="s">
        <v>430</v>
      </c>
      <c r="C150" s="1087">
        <v>5078.3985228065394</v>
      </c>
      <c r="D150" s="377">
        <f>+C150*PROMIGAS!$G$6</f>
        <v>5059.1006084198752</v>
      </c>
      <c r="F150" s="659" t="str">
        <f>+B156</f>
        <v>GNC SOC PORTUARIA</v>
      </c>
      <c r="G150" s="477">
        <f>+D156</f>
        <v>1693.3159146115734</v>
      </c>
      <c r="I150" s="618" t="s">
        <v>468</v>
      </c>
      <c r="J150" s="655">
        <f t="shared" si="7"/>
        <v>2490.5</v>
      </c>
      <c r="K150" s="1132"/>
      <c r="L150" s="1221">
        <v>5091.2802267230009</v>
      </c>
      <c r="M150" s="492">
        <f t="shared" si="6"/>
        <v>-12.881703916461447</v>
      </c>
    </row>
    <row r="151" spans="2:13">
      <c r="B151" s="618" t="s">
        <v>438</v>
      </c>
      <c r="C151" s="1087">
        <v>1850.8933112140764</v>
      </c>
      <c r="D151" s="377">
        <f>+C151*PROMIGAS!$G$6</f>
        <v>1843.8599166314632</v>
      </c>
      <c r="F151" s="618" t="s">
        <v>185</v>
      </c>
      <c r="G151" s="477">
        <f>+D190</f>
        <v>20562.753477999999</v>
      </c>
      <c r="I151" s="928" t="str">
        <f>+F156</f>
        <v>TIERRA ALTA</v>
      </c>
      <c r="J151" s="655">
        <f t="shared" si="7"/>
        <v>0</v>
      </c>
      <c r="K151" s="1132"/>
      <c r="L151" s="1221">
        <v>2021.3427985999999</v>
      </c>
      <c r="M151" s="492">
        <f t="shared" si="6"/>
        <v>-170.44948738592348</v>
      </c>
    </row>
    <row r="152" spans="2:13">
      <c r="B152" s="618" t="s">
        <v>439</v>
      </c>
      <c r="C152" s="1087">
        <v>3200.1784506165777</v>
      </c>
      <c r="D152" s="377">
        <f>+C152*PROMIGAS!$G$6</f>
        <v>3188.0177725042349</v>
      </c>
      <c r="F152" s="618" t="s">
        <v>470</v>
      </c>
      <c r="G152" s="477">
        <f>+D161</f>
        <v>4317.8318417173123</v>
      </c>
      <c r="I152" s="926" t="s">
        <v>488</v>
      </c>
      <c r="J152" s="655">
        <f t="shared" si="7"/>
        <v>173.5222</v>
      </c>
      <c r="K152" s="1132"/>
      <c r="L152" s="1221">
        <v>3204.6677662000002</v>
      </c>
      <c r="M152" s="492">
        <f t="shared" si="6"/>
        <v>-4.4893155834224672</v>
      </c>
    </row>
    <row r="153" spans="2:13">
      <c r="B153" s="618" t="s">
        <v>447</v>
      </c>
      <c r="C153" s="1087">
        <v>2886.8680832489999</v>
      </c>
      <c r="D153" s="377">
        <f>+C153*PROMIGAS!$G$6</f>
        <v>2875.8979845326539</v>
      </c>
      <c r="F153" s="618" t="s">
        <v>471</v>
      </c>
      <c r="G153" s="477">
        <f>+D162</f>
        <v>3655.3795085046836</v>
      </c>
      <c r="I153" s="926" t="s">
        <v>489</v>
      </c>
      <c r="J153" s="655">
        <f t="shared" si="7"/>
        <v>0</v>
      </c>
      <c r="K153" s="1132"/>
      <c r="L153" s="1221">
        <v>2844.9142588530003</v>
      </c>
      <c r="M153" s="492">
        <f t="shared" si="6"/>
        <v>41.953824395999618</v>
      </c>
    </row>
    <row r="154" spans="2:13">
      <c r="B154" s="618" t="s">
        <v>448</v>
      </c>
      <c r="C154" s="1087">
        <v>2652.2537347780772</v>
      </c>
      <c r="D154" s="377">
        <f>+C154*PROMIGAS!$G$6</f>
        <v>2642.1751705859206</v>
      </c>
      <c r="F154" s="618" t="s">
        <v>467</v>
      </c>
      <c r="G154" s="477">
        <f>+D163</f>
        <v>1287.5308280859631</v>
      </c>
      <c r="I154" s="989" t="s">
        <v>508</v>
      </c>
      <c r="J154" s="655">
        <f>+G161</f>
        <v>6995.9546884612273</v>
      </c>
      <c r="K154" s="1132"/>
      <c r="L154" s="1221">
        <v>2580.831179027</v>
      </c>
      <c r="M154" s="492">
        <f t="shared" si="6"/>
        <v>71.422555751077198</v>
      </c>
    </row>
    <row r="155" spans="2:13">
      <c r="B155" s="618" t="s">
        <v>449</v>
      </c>
      <c r="C155" s="1087">
        <v>2214.5623937236542</v>
      </c>
      <c r="D155" s="377">
        <f>+C155*PROMIGAS!$G$6</f>
        <v>2206.1470566275043</v>
      </c>
      <c r="F155" s="618" t="s">
        <v>468</v>
      </c>
      <c r="G155" s="477">
        <f>+D164</f>
        <v>2490.5</v>
      </c>
      <c r="I155" s="989" t="s">
        <v>509</v>
      </c>
      <c r="J155" s="655">
        <f>+G162</f>
        <v>8282.4788138309796</v>
      </c>
      <c r="K155" s="1132"/>
      <c r="L155" s="1221">
        <v>2420.8579996999997</v>
      </c>
      <c r="M155" s="492">
        <f t="shared" si="6"/>
        <v>-206.29560597634554</v>
      </c>
    </row>
    <row r="156" spans="2:13">
      <c r="B156" s="618" t="s">
        <v>451</v>
      </c>
      <c r="C156" s="1087">
        <v>1699.7750598389612</v>
      </c>
      <c r="D156" s="377">
        <f>+C156*PROMIGAS!$G$6</f>
        <v>1693.3159146115734</v>
      </c>
      <c r="F156" s="926" t="s">
        <v>479</v>
      </c>
      <c r="G156" s="477">
        <f>+D165*0</f>
        <v>0</v>
      </c>
      <c r="I156" s="989" t="s">
        <v>505</v>
      </c>
      <c r="J156" s="655">
        <f>+G163</f>
        <v>0</v>
      </c>
      <c r="K156" s="1132"/>
      <c r="L156" s="1221">
        <v>1606.993921835</v>
      </c>
      <c r="M156" s="492">
        <f t="shared" si="6"/>
        <v>92.781138003961132</v>
      </c>
    </row>
    <row r="157" spans="2:13">
      <c r="B157" s="618" t="s">
        <v>456</v>
      </c>
      <c r="C157" s="1125">
        <v>0</v>
      </c>
      <c r="D157" s="377">
        <f>+C157*PROMIGAS!$G$6</f>
        <v>0</v>
      </c>
      <c r="F157" s="926" t="s">
        <v>488</v>
      </c>
      <c r="G157" s="477">
        <f>+D166-G178</f>
        <v>173.5222</v>
      </c>
      <c r="I157" s="989" t="s">
        <v>506</v>
      </c>
      <c r="J157" s="655">
        <f>+G164</f>
        <v>0</v>
      </c>
      <c r="K157" s="1132"/>
      <c r="L157" s="1221">
        <v>87.16</v>
      </c>
      <c r="M157" s="492">
        <f t="shared" si="6"/>
        <v>-87.16</v>
      </c>
    </row>
    <row r="158" spans="2:13">
      <c r="B158" s="618" t="s">
        <v>457</v>
      </c>
      <c r="C158" s="1125">
        <v>3965</v>
      </c>
      <c r="D158" s="377">
        <f>+C158*PROMIGAS!$G$6</f>
        <v>3949.9330000000004</v>
      </c>
      <c r="F158" s="926" t="s">
        <v>489</v>
      </c>
      <c r="G158" s="477">
        <f>+D167*0</f>
        <v>0</v>
      </c>
      <c r="I158" s="989" t="s">
        <v>507</v>
      </c>
      <c r="J158" s="655">
        <f>+G165</f>
        <v>2589.8266293430056</v>
      </c>
      <c r="K158" s="1132"/>
      <c r="L158" s="1221">
        <v>4688.55</v>
      </c>
      <c r="M158" s="492">
        <f t="shared" si="6"/>
        <v>-723.55000000000018</v>
      </c>
    </row>
    <row r="159" spans="2:13">
      <c r="B159" s="618" t="s">
        <v>144</v>
      </c>
      <c r="C159" s="756">
        <v>14661</v>
      </c>
      <c r="D159" s="377">
        <f>+C159*PROMIGAS!$G$6</f>
        <v>14605.288200000001</v>
      </c>
      <c r="F159" s="618" t="s">
        <v>480</v>
      </c>
      <c r="G159" s="477">
        <f>+D168</f>
        <v>2524.1392771103078</v>
      </c>
      <c r="I159" s="988" t="s">
        <v>525</v>
      </c>
      <c r="J159" s="655">
        <f t="shared" ref="J159" si="8">+G166</f>
        <v>0</v>
      </c>
      <c r="K159" s="1132"/>
      <c r="L159" s="1221">
        <v>15142.647978639996</v>
      </c>
      <c r="M159" s="492">
        <f t="shared" si="6"/>
        <v>-481.64797863999593</v>
      </c>
    </row>
    <row r="160" spans="2:13">
      <c r="B160" s="618" t="s">
        <v>143</v>
      </c>
      <c r="C160" s="756">
        <v>9890</v>
      </c>
      <c r="D160" s="377">
        <f>+C160*PROMIGAS!$G$6</f>
        <v>9852.4180000000015</v>
      </c>
      <c r="F160" s="618" t="s">
        <v>481</v>
      </c>
      <c r="G160" s="477">
        <f>+D169</f>
        <v>2433.3263029188734</v>
      </c>
      <c r="I160" s="1107" t="s">
        <v>575</v>
      </c>
      <c r="J160" s="477">
        <f>+G167</f>
        <v>383.81902782937652</v>
      </c>
      <c r="K160" s="627"/>
      <c r="L160" s="1221">
        <v>9236.6578825100005</v>
      </c>
      <c r="M160" s="492">
        <f t="shared" si="6"/>
        <v>653.34211748999951</v>
      </c>
    </row>
    <row r="161" spans="2:13">
      <c r="B161" s="618" t="s">
        <v>465</v>
      </c>
      <c r="C161" s="756">
        <v>4334.3021900394615</v>
      </c>
      <c r="D161" s="377">
        <f>+C161*PROMIGAS!$G$6</f>
        <v>4317.8318417173123</v>
      </c>
      <c r="F161" s="989" t="s">
        <v>508</v>
      </c>
      <c r="G161" s="477">
        <f>+D172</f>
        <v>6995.9546884612273</v>
      </c>
      <c r="L161" s="1221">
        <v>4132.8754790100002</v>
      </c>
      <c r="M161" s="492">
        <f t="shared" si="6"/>
        <v>201.42671102946133</v>
      </c>
    </row>
    <row r="162" spans="2:13">
      <c r="B162" s="618" t="s">
        <v>466</v>
      </c>
      <c r="C162" s="756">
        <v>3669.3229356601919</v>
      </c>
      <c r="D162" s="377">
        <f>+C162*PROMIGAS!$G$6</f>
        <v>3655.3795085046836</v>
      </c>
      <c r="F162" s="989" t="s">
        <v>509</v>
      </c>
      <c r="G162" s="477">
        <f>+D173</f>
        <v>8282.4788138309796</v>
      </c>
      <c r="L162" s="1221">
        <v>3839.0610369999999</v>
      </c>
      <c r="M162" s="492">
        <f t="shared" si="6"/>
        <v>-169.73810133980805</v>
      </c>
    </row>
    <row r="163" spans="2:13">
      <c r="B163" s="618" t="s">
        <v>467</v>
      </c>
      <c r="C163" s="756">
        <v>1292.4421080967306</v>
      </c>
      <c r="D163" s="377">
        <f>+C163*PROMIGAS!$G$6</f>
        <v>1287.5308280859631</v>
      </c>
      <c r="F163" s="989" t="s">
        <v>505</v>
      </c>
      <c r="G163" s="477">
        <f>+D174*0</f>
        <v>0</v>
      </c>
      <c r="L163" s="1221">
        <v>1276.7901315448901</v>
      </c>
      <c r="M163" s="492">
        <f t="shared" si="6"/>
        <v>15.651976551840562</v>
      </c>
    </row>
    <row r="164" spans="2:13">
      <c r="B164" s="618" t="s">
        <v>468</v>
      </c>
      <c r="C164" s="756">
        <v>2500</v>
      </c>
      <c r="D164" s="377">
        <f>+C164*PROMIGAS!$G$6</f>
        <v>2490.5</v>
      </c>
      <c r="F164" s="989" t="s">
        <v>506</v>
      </c>
      <c r="G164" s="477">
        <f>+D175*0</f>
        <v>0</v>
      </c>
      <c r="L164" s="1221">
        <v>105.78000000000017</v>
      </c>
      <c r="M164" s="492">
        <f t="shared" si="6"/>
        <v>2394.2199999999998</v>
      </c>
    </row>
    <row r="165" spans="2:13">
      <c r="B165" s="926" t="s">
        <v>478</v>
      </c>
      <c r="C165" s="757">
        <v>1307</v>
      </c>
      <c r="D165" s="377">
        <f>+C165*PROMIGAS!$G$6</f>
        <v>1302.0334</v>
      </c>
      <c r="F165" s="989" t="s">
        <v>507</v>
      </c>
      <c r="G165" s="477">
        <f>+D196</f>
        <v>2589.8266293430056</v>
      </c>
      <c r="I165" s="358"/>
      <c r="L165" s="1222">
        <v>1281.9931503400003</v>
      </c>
      <c r="M165" s="492">
        <f t="shared" si="6"/>
        <v>25.006849659999716</v>
      </c>
    </row>
    <row r="166" spans="2:13">
      <c r="B166" s="926" t="s">
        <v>488</v>
      </c>
      <c r="C166" s="757">
        <v>731</v>
      </c>
      <c r="D166" s="377">
        <f>+C166*PROMIGAS!$G$6</f>
        <v>728.22220000000004</v>
      </c>
      <c r="F166" s="988" t="s">
        <v>525</v>
      </c>
      <c r="G166" s="477">
        <f>+D177-G179</f>
        <v>0</v>
      </c>
      <c r="L166" s="1222">
        <v>640.18433775999995</v>
      </c>
      <c r="M166" s="492">
        <f t="shared" si="6"/>
        <v>90.815662240000051</v>
      </c>
    </row>
    <row r="167" spans="2:13">
      <c r="B167" s="926" t="s">
        <v>489</v>
      </c>
      <c r="C167" s="757">
        <v>496</v>
      </c>
      <c r="D167" s="377">
        <f>+C167*PROMIGAS!$G$6</f>
        <v>494.11520000000002</v>
      </c>
      <c r="F167" s="1107" t="s">
        <v>575</v>
      </c>
      <c r="G167" s="477">
        <f>+D184</f>
        <v>383.81902782937652</v>
      </c>
      <c r="I167" s="1143">
        <f>+G157/$D$3</f>
        <v>174.18409957839791</v>
      </c>
      <c r="L167" s="1222">
        <v>460.53861147000009</v>
      </c>
      <c r="M167" s="492">
        <f t="shared" si="6"/>
        <v>35.461388529999908</v>
      </c>
    </row>
    <row r="168" spans="2:13">
      <c r="B168" s="618" t="s">
        <v>480</v>
      </c>
      <c r="C168" s="756">
        <v>2533.7675939673836</v>
      </c>
      <c r="D168" s="377">
        <f>+C168*PROMIGAS!$G$6</f>
        <v>2524.1392771103078</v>
      </c>
      <c r="F168" s="357" t="s">
        <v>580</v>
      </c>
      <c r="G168" s="358">
        <f>+D186</f>
        <v>88.971557520623804</v>
      </c>
      <c r="I168" s="1143">
        <f>+G168/D3</f>
        <v>89.310939089162616</v>
      </c>
      <c r="L168" s="1221">
        <v>2596.5815205089998</v>
      </c>
      <c r="M168" s="492">
        <f t="shared" si="6"/>
        <v>-62.813926541616183</v>
      </c>
    </row>
    <row r="169" spans="2:13">
      <c r="B169" s="618" t="s">
        <v>481</v>
      </c>
      <c r="C169" s="756">
        <v>2442.6082141325769</v>
      </c>
      <c r="D169" s="377">
        <f>+C169*PROMIGAS!$G$6</f>
        <v>2433.3263029188734</v>
      </c>
      <c r="F169" s="357" t="s">
        <v>581</v>
      </c>
      <c r="G169" s="358">
        <f t="shared" ref="G169:G170" si="9">+D187</f>
        <v>130.09759577353375</v>
      </c>
      <c r="I169" s="1142"/>
      <c r="L169" s="1221">
        <v>1855.715121516</v>
      </c>
      <c r="M169" s="492">
        <f t="shared" si="6"/>
        <v>586.89309261657695</v>
      </c>
    </row>
    <row r="170" spans="2:13">
      <c r="B170" s="927" t="s">
        <v>485</v>
      </c>
      <c r="C170" s="756">
        <v>2190.6462146261151</v>
      </c>
      <c r="D170" s="377">
        <f>+C170*PROMIGAS!$G$6</f>
        <v>2182.321759010536</v>
      </c>
      <c r="F170" s="357" t="s">
        <v>582</v>
      </c>
      <c r="G170" s="358">
        <f t="shared" si="9"/>
        <v>114.09045513617359</v>
      </c>
      <c r="I170" s="1143">
        <f>+G170/D3</f>
        <v>114.52565261611481</v>
      </c>
      <c r="L170" s="1221">
        <v>2009.6889475999997</v>
      </c>
      <c r="M170" s="492">
        <f t="shared" si="6"/>
        <v>180.95726702611546</v>
      </c>
    </row>
    <row r="171" spans="2:13">
      <c r="B171" s="618" t="s">
        <v>461</v>
      </c>
      <c r="C171" s="894">
        <v>68560.470384615401</v>
      </c>
      <c r="D171" s="377">
        <f>+C171*PROMIGAS!$G$6</f>
        <v>68299.940597153865</v>
      </c>
      <c r="I171" s="1179">
        <f>SUM(I167:I170)</f>
        <v>378.02069128367532</v>
      </c>
      <c r="L171" s="1223">
        <v>33128.117205619812</v>
      </c>
      <c r="M171" s="492">
        <f t="shared" si="6"/>
        <v>35432.353178995589</v>
      </c>
    </row>
    <row r="172" spans="2:13">
      <c r="B172" s="666" t="s">
        <v>508</v>
      </c>
      <c r="C172" s="894">
        <v>7022.6407232094225</v>
      </c>
      <c r="D172" s="377">
        <f>+C172*PROMIGAS!$G$6</f>
        <v>6995.9546884612273</v>
      </c>
      <c r="I172" s="1142">
        <f>+C73-I171</f>
        <v>3020.9993087163248</v>
      </c>
      <c r="L172" s="1223">
        <v>6785.5013760479997</v>
      </c>
      <c r="M172" s="492">
        <f t="shared" si="6"/>
        <v>237.13934716142285</v>
      </c>
    </row>
    <row r="173" spans="2:13">
      <c r="B173" s="666" t="s">
        <v>509</v>
      </c>
      <c r="C173" s="894">
        <v>8314.0722885273826</v>
      </c>
      <c r="D173" s="377">
        <f>+C173*PROMIGAS!$G$6</f>
        <v>8282.4788138309796</v>
      </c>
      <c r="E173" s="928"/>
      <c r="L173" s="1223">
        <v>5971.2864136960006</v>
      </c>
      <c r="M173" s="492">
        <f t="shared" si="6"/>
        <v>2342.785874831382</v>
      </c>
    </row>
    <row r="174" spans="2:13">
      <c r="B174" s="988" t="s">
        <v>505</v>
      </c>
      <c r="C174" s="757">
        <v>0</v>
      </c>
      <c r="D174" s="377">
        <f>+C174*PROMIGAS!$G$6</f>
        <v>0</v>
      </c>
      <c r="G174" s="1007">
        <f>+G121/D3</f>
        <v>3020.901340664193</v>
      </c>
      <c r="I174" s="1007"/>
      <c r="L174" s="1222">
        <v>0</v>
      </c>
      <c r="M174" s="492">
        <f t="shared" si="6"/>
        <v>0</v>
      </c>
    </row>
    <row r="175" spans="2:13">
      <c r="B175" s="988" t="s">
        <v>506</v>
      </c>
      <c r="C175" s="757">
        <v>391.29058512926912</v>
      </c>
      <c r="D175" s="377">
        <f>+C175*PROMIGAS!$G$6</f>
        <v>389.80368090577792</v>
      </c>
      <c r="G175" s="1007">
        <f>+G98/D3</f>
        <v>1755.4391245695001</v>
      </c>
      <c r="I175" s="358"/>
      <c r="L175" s="1222">
        <v>348.83828062600003</v>
      </c>
      <c r="M175" s="492">
        <f t="shared" si="6"/>
        <v>42.45230450326909</v>
      </c>
    </row>
    <row r="176" spans="2:13">
      <c r="B176" s="988" t="s">
        <v>507</v>
      </c>
      <c r="C176" s="757">
        <v>1367.5591213185764</v>
      </c>
      <c r="D176" s="377">
        <f>+C176*PROMIGAS!$G$6</f>
        <v>1362.362396657566</v>
      </c>
      <c r="F176" s="358"/>
      <c r="L176" s="1222">
        <v>1044.5019058590001</v>
      </c>
      <c r="M176" s="492">
        <f t="shared" si="6"/>
        <v>323.05721545957635</v>
      </c>
    </row>
    <row r="177" spans="2:13">
      <c r="B177" s="988" t="s">
        <v>525</v>
      </c>
      <c r="C177" s="757">
        <v>0</v>
      </c>
      <c r="D177" s="377">
        <f>+C177*PROMIGAS!$G$6</f>
        <v>0</v>
      </c>
      <c r="F177" s="1019" t="s">
        <v>526</v>
      </c>
      <c r="G177" s="1018">
        <v>400</v>
      </c>
      <c r="I177" s="358"/>
      <c r="L177" s="1222">
        <v>401.73968592</v>
      </c>
      <c r="M177" s="492">
        <f t="shared" si="6"/>
        <v>-401.73968592</v>
      </c>
    </row>
    <row r="178" spans="2:13">
      <c r="B178" s="1081" t="s">
        <v>555</v>
      </c>
      <c r="C178" s="757">
        <v>160</v>
      </c>
      <c r="D178" s="377">
        <f>+C178*PROMIGAS!$G$6</f>
        <v>159.39200000000002</v>
      </c>
      <c r="F178" s="1071" t="s">
        <v>548</v>
      </c>
      <c r="G178" s="1045">
        <v>554.70000000000005</v>
      </c>
      <c r="I178" s="358"/>
      <c r="J178" s="618"/>
      <c r="L178" s="1222">
        <v>120.49365404000001</v>
      </c>
      <c r="M178" s="492">
        <f t="shared" si="6"/>
        <v>39.50634595999999</v>
      </c>
    </row>
    <row r="179" spans="2:13">
      <c r="B179" s="1081" t="s">
        <v>556</v>
      </c>
      <c r="C179" s="757">
        <v>429</v>
      </c>
      <c r="D179" s="377">
        <f>+C179*PROMIGAS!$G$6</f>
        <v>427.36980000000005</v>
      </c>
      <c r="F179" s="1071" t="s">
        <v>547</v>
      </c>
      <c r="G179" s="1045"/>
      <c r="I179" s="358"/>
      <c r="L179" s="1222">
        <v>360.77466872000008</v>
      </c>
      <c r="M179" s="492">
        <f t="shared" si="6"/>
        <v>68.225331279999921</v>
      </c>
    </row>
    <row r="180" spans="2:13">
      <c r="B180" s="1081" t="s">
        <v>557</v>
      </c>
      <c r="C180" s="757">
        <v>415</v>
      </c>
      <c r="D180" s="377">
        <f>+C180*PROMIGAS!$G$6</f>
        <v>413.42300000000006</v>
      </c>
      <c r="F180" s="358"/>
      <c r="G180" s="358" t="e">
        <f>+#REF!</f>
        <v>#REF!</v>
      </c>
      <c r="L180" s="1222">
        <v>217.25584984</v>
      </c>
      <c r="M180" s="492">
        <f t="shared" si="6"/>
        <v>197.74415016</v>
      </c>
    </row>
    <row r="181" spans="2:13">
      <c r="B181" s="618" t="s">
        <v>529</v>
      </c>
      <c r="C181" s="1059">
        <v>44174.767500000009</v>
      </c>
      <c r="D181" s="377">
        <f>+C181*PROMIGAS!$G$6</f>
        <v>44006.903383500015</v>
      </c>
      <c r="G181" s="358" t="e">
        <f>+#REF!</f>
        <v>#REF!</v>
      </c>
      <c r="L181" s="1223">
        <v>43018.849007899997</v>
      </c>
      <c r="M181" s="492">
        <f t="shared" si="6"/>
        <v>1155.9184921000124</v>
      </c>
    </row>
    <row r="182" spans="2:13">
      <c r="B182" s="618" t="s">
        <v>530</v>
      </c>
      <c r="C182" s="1059">
        <v>111.06556</v>
      </c>
      <c r="D182" s="377">
        <f>+C182*PROMIGAS!$G$6</f>
        <v>110.64351087200001</v>
      </c>
      <c r="G182" s="358" t="e">
        <f>+G180-G181</f>
        <v>#REF!</v>
      </c>
      <c r="L182" s="1223">
        <v>567</v>
      </c>
      <c r="M182" s="492">
        <f t="shared" si="6"/>
        <v>-455.93444</v>
      </c>
    </row>
    <row r="183" spans="2:13">
      <c r="B183" s="618" t="s">
        <v>553</v>
      </c>
      <c r="C183" s="1059">
        <v>48584.033598684757</v>
      </c>
      <c r="D183" s="377">
        <f>+C183*PROMIGAS!$G$6</f>
        <v>48399.414271009759</v>
      </c>
      <c r="G183" s="358"/>
      <c r="L183" s="1223">
        <v>36.939176199999999</v>
      </c>
      <c r="M183" s="492">
        <f t="shared" si="6"/>
        <v>48547.094422484755</v>
      </c>
    </row>
    <row r="184" spans="2:13">
      <c r="B184" s="1091" t="s">
        <v>575</v>
      </c>
      <c r="C184" s="1118">
        <f>10910/28.31684</f>
        <v>385.28310362314443</v>
      </c>
      <c r="D184" s="377">
        <f>+C184*PROMIGAS!$G$6</f>
        <v>383.81902782937652</v>
      </c>
      <c r="L184" s="1222">
        <v>169.15725713237978</v>
      </c>
      <c r="M184" s="492">
        <f t="shared" si="6"/>
        <v>216.12584649076464</v>
      </c>
    </row>
    <row r="185" spans="2:13">
      <c r="B185" s="1091" t="s">
        <v>577</v>
      </c>
      <c r="C185" s="1059">
        <v>1290.9262939285766</v>
      </c>
      <c r="D185" s="377">
        <f>+C185*PROMIGAS!$G$6</f>
        <v>1286.0207740116482</v>
      </c>
      <c r="E185" s="618"/>
      <c r="L185" s="1223">
        <v>1096.096634346</v>
      </c>
      <c r="M185" s="492">
        <f t="shared" si="6"/>
        <v>194.8296595825766</v>
      </c>
    </row>
    <row r="186" spans="2:13">
      <c r="B186" s="1141" t="s">
        <v>580</v>
      </c>
      <c r="C186" s="757">
        <f>2529/28.3168</f>
        <v>89.310939089162616</v>
      </c>
      <c r="D186" s="377">
        <f>+C186*PROMIGAS!$G$6</f>
        <v>88.971557520623804</v>
      </c>
      <c r="E186" s="666"/>
      <c r="L186" s="1223"/>
      <c r="M186" s="492"/>
    </row>
    <row r="187" spans="2:13">
      <c r="B187" s="1141" t="s">
        <v>581</v>
      </c>
      <c r="C187" s="757">
        <f>3698/28.3168</f>
        <v>130.59385241270201</v>
      </c>
      <c r="D187" s="377">
        <f>+C187*PROMIGAS!$G$6</f>
        <v>130.09759577353375</v>
      </c>
      <c r="E187" s="666"/>
      <c r="L187" s="1223"/>
      <c r="M187" s="492"/>
    </row>
    <row r="188" spans="2:13">
      <c r="B188" s="1141" t="s">
        <v>582</v>
      </c>
      <c r="C188" s="757">
        <f>3243/28.3168</f>
        <v>114.52565261611481</v>
      </c>
      <c r="D188" s="377">
        <f>+C188*PROMIGAS!$G$6</f>
        <v>114.09045513617359</v>
      </c>
      <c r="E188" s="666"/>
      <c r="L188" s="1223"/>
      <c r="M188" s="492"/>
    </row>
    <row r="189" spans="2:13">
      <c r="B189" s="1091"/>
      <c r="C189" s="757"/>
      <c r="D189" s="377"/>
      <c r="L189" s="1222"/>
      <c r="M189" s="492">
        <f t="shared" si="6"/>
        <v>0</v>
      </c>
    </row>
    <row r="190" spans="2:13">
      <c r="B190" s="618" t="s">
        <v>185</v>
      </c>
      <c r="C190" s="1139">
        <v>20641.189999999999</v>
      </c>
      <c r="D190" s="377">
        <f>+C190*PROMIGAS!$G$6</f>
        <v>20562.753477999999</v>
      </c>
      <c r="E190" s="666"/>
      <c r="L190" s="1223">
        <v>7791.53</v>
      </c>
      <c r="M190" s="492">
        <f t="shared" si="6"/>
        <v>12849.66</v>
      </c>
    </row>
    <row r="191" spans="2:13">
      <c r="B191" s="618" t="s">
        <v>469</v>
      </c>
      <c r="C191" s="1059">
        <v>0</v>
      </c>
      <c r="D191" s="377">
        <f>+C191*PROMIGAS!$G$6</f>
        <v>0</v>
      </c>
      <c r="E191" s="666"/>
      <c r="L191" s="1223">
        <v>0</v>
      </c>
      <c r="M191" s="492">
        <f t="shared" si="6"/>
        <v>0</v>
      </c>
    </row>
    <row r="192" spans="2:13" ht="12.75" customHeight="1">
      <c r="B192" s="1082" t="s">
        <v>562</v>
      </c>
      <c r="C192" s="1059">
        <v>23518.52</v>
      </c>
      <c r="D192" s="377">
        <f>+C192*PROMIGAS!$G$6</f>
        <v>23429.149624000001</v>
      </c>
      <c r="E192" s="666"/>
      <c r="L192" s="1223">
        <v>135304</v>
      </c>
      <c r="M192" s="492">
        <f t="shared" si="6"/>
        <v>-111785.48</v>
      </c>
    </row>
    <row r="193" spans="2:13" ht="12.75" customHeight="1">
      <c r="B193" s="1082" t="s">
        <v>563</v>
      </c>
      <c r="C193" s="1059">
        <v>4495.08</v>
      </c>
      <c r="D193" s="377">
        <f>+C193*PROMIGAS!$G$6</f>
        <v>4477.9986960000006</v>
      </c>
      <c r="E193" s="666"/>
      <c r="L193" s="1223">
        <v>203335</v>
      </c>
      <c r="M193" s="492">
        <f t="shared" si="6"/>
        <v>-198839.92</v>
      </c>
    </row>
    <row r="194" spans="2:13" ht="12.75" customHeight="1">
      <c r="B194" s="1082" t="s">
        <v>560</v>
      </c>
      <c r="C194" s="1059">
        <v>4730.6099999999997</v>
      </c>
      <c r="D194" s="377">
        <f>+C194*PROMIGAS!$G$6</f>
        <v>4712.6336819999997</v>
      </c>
      <c r="E194" s="666"/>
      <c r="L194" s="1223">
        <v>23000</v>
      </c>
      <c r="M194" s="492">
        <f t="shared" si="6"/>
        <v>-18269.39</v>
      </c>
    </row>
    <row r="195" spans="2:13" ht="12.75" customHeight="1">
      <c r="B195" s="1082" t="s">
        <v>561</v>
      </c>
      <c r="C195" s="1059">
        <v>6000</v>
      </c>
      <c r="D195" s="377">
        <f>+C195*PROMIGAS!$G$6</f>
        <v>5977.2000000000007</v>
      </c>
      <c r="E195" s="666"/>
      <c r="L195" s="1223">
        <v>59700</v>
      </c>
      <c r="M195" s="492">
        <f t="shared" si="6"/>
        <v>-53700</v>
      </c>
    </row>
    <row r="196" spans="2:13">
      <c r="B196" s="1187" t="s">
        <v>589</v>
      </c>
      <c r="C196" s="1059">
        <v>2599.7055102820773</v>
      </c>
      <c r="D196" s="377">
        <f>+C196*PROMIGAS!$G$6</f>
        <v>2589.8266293430056</v>
      </c>
      <c r="E196" s="666"/>
      <c r="F196" s="924"/>
      <c r="G196" s="924"/>
      <c r="H196" s="924"/>
      <c r="I196" s="924"/>
      <c r="J196" s="924"/>
      <c r="K196" s="1134"/>
      <c r="L196" s="1134"/>
      <c r="M196" s="1134"/>
    </row>
    <row r="197" spans="2:13">
      <c r="B197" s="618"/>
      <c r="C197" s="1108"/>
      <c r="D197" s="1109"/>
      <c r="F197" s="1097"/>
      <c r="G197" s="1097"/>
      <c r="H197" s="1097"/>
      <c r="I197" s="1097"/>
      <c r="J197" s="1097"/>
      <c r="K197" s="1134"/>
      <c r="L197" s="1134"/>
      <c r="M197" s="1134"/>
    </row>
    <row r="198" spans="2:13">
      <c r="E198" s="924"/>
      <c r="F198" s="1076"/>
      <c r="G198" s="1076"/>
      <c r="H198" s="1076"/>
      <c r="I198" s="1076"/>
      <c r="J198" s="1076"/>
      <c r="K198" s="1134"/>
      <c r="L198" s="1134"/>
      <c r="M198" s="1134"/>
    </row>
    <row r="199" spans="2:13">
      <c r="E199" s="1076"/>
      <c r="F199" s="1034"/>
      <c r="G199" s="1034"/>
      <c r="H199" s="1034"/>
      <c r="I199" s="1034"/>
      <c r="J199" s="1034"/>
      <c r="K199" s="1134"/>
      <c r="L199" s="1134"/>
      <c r="M199" s="1134"/>
    </row>
    <row r="200" spans="2:13">
      <c r="E200" s="1034"/>
      <c r="F200" s="924"/>
      <c r="G200" s="924"/>
      <c r="H200" s="924"/>
      <c r="I200" s="924"/>
      <c r="J200" s="924"/>
      <c r="K200" s="1134"/>
      <c r="L200" s="1134"/>
      <c r="M200" s="1134"/>
    </row>
  </sheetData>
  <phoneticPr fontId="26" type="noConversion"/>
  <printOptions horizontalCentered="1"/>
  <pageMargins left="0.74803149606299213" right="0.74803149606299213" top="0.59055118110236227" bottom="0.98425196850393704" header="0" footer="0"/>
  <pageSetup scale="27" orientation="portrait" r:id="rId1"/>
  <headerFooter alignWithMargins="0"/>
  <ignoredErrors>
    <ignoredError sqref="G108 G86 G156:G157 G158 J68" formula="1"/>
    <ignoredError sqref="C186:C188 C184" unlocked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>
  <sheetPr codeName="Hoja4"/>
  <dimension ref="B1:BB343"/>
  <sheetViews>
    <sheetView showGridLines="0" workbookViewId="0">
      <pane xSplit="4" ySplit="8" topLeftCell="AQ189" activePane="bottomRight" state="frozen"/>
      <selection pane="topRight" activeCell="D1" sqref="D1"/>
      <selection pane="bottomLeft" activeCell="A9" sqref="A9"/>
      <selection pane="bottomRight" activeCell="H4" sqref="H4"/>
    </sheetView>
  </sheetViews>
  <sheetFormatPr baseColWidth="10" defaultRowHeight="12.75"/>
  <cols>
    <col min="1" max="1" width="1.140625" customWidth="1"/>
    <col min="2" max="2" width="17.5703125" customWidth="1"/>
    <col min="3" max="3" width="3.7109375" style="141" customWidth="1"/>
    <col min="4" max="4" width="12.28515625" customWidth="1"/>
    <col min="5" max="6" width="12" style="213" customWidth="1"/>
    <col min="7" max="7" width="12.28515625" style="213" customWidth="1"/>
    <col min="8" max="9" width="12.42578125" customWidth="1"/>
    <col min="10" max="10" width="15.28515625" customWidth="1"/>
    <col min="11" max="11" width="16.28515625" customWidth="1"/>
    <col min="12" max="12" width="14.85546875" customWidth="1"/>
    <col min="13" max="13" width="15.42578125" customWidth="1"/>
    <col min="14" max="14" width="14.42578125" customWidth="1"/>
    <col min="15" max="15" width="13.85546875" customWidth="1"/>
    <col min="16" max="16" width="1.7109375" customWidth="1"/>
    <col min="17" max="17" width="3.28515625" style="252" customWidth="1"/>
    <col min="18" max="18" width="16.28515625" customWidth="1"/>
    <col min="19" max="20" width="14.28515625" style="252" customWidth="1"/>
    <col min="21" max="21" width="13.5703125" style="321" customWidth="1"/>
    <col min="22" max="22" width="12.140625" customWidth="1"/>
    <col min="23" max="23" width="14.28515625" bestFit="1" customWidth="1"/>
    <col min="24" max="26" width="14.28515625" customWidth="1"/>
    <col min="27" max="27" width="12.28515625" customWidth="1"/>
    <col min="28" max="28" width="1.7109375" customWidth="1"/>
    <col min="29" max="29" width="1.85546875" customWidth="1"/>
    <col min="30" max="33" width="16.28515625" customWidth="1"/>
    <col min="34" max="34" width="14.28515625" style="141" customWidth="1"/>
    <col min="35" max="37" width="16.28515625" customWidth="1"/>
    <col min="38" max="38" width="4.5703125" customWidth="1"/>
    <col min="39" max="39" width="16.5703125" customWidth="1"/>
    <col min="40" max="41" width="3.7109375" customWidth="1"/>
    <col min="42" max="43" width="14.7109375" customWidth="1"/>
    <col min="44" max="44" width="5.7109375" customWidth="1"/>
    <col min="45" max="45" width="14.28515625" customWidth="1"/>
    <col min="46" max="46" width="5" customWidth="1"/>
    <col min="47" max="47" width="16.5703125" customWidth="1"/>
    <col min="48" max="48" width="5" customWidth="1"/>
    <col min="49" max="49" width="15.7109375" customWidth="1"/>
    <col min="50" max="50" width="14.42578125" bestFit="1" customWidth="1"/>
    <col min="52" max="52" width="15.140625" customWidth="1"/>
    <col min="53" max="53" width="15.28515625" bestFit="1" customWidth="1"/>
  </cols>
  <sheetData>
    <row r="1" spans="2:53">
      <c r="B1" s="210" t="s">
        <v>0</v>
      </c>
      <c r="C1" s="599"/>
      <c r="P1" s="149"/>
      <c r="R1" s="277"/>
      <c r="S1" s="158" t="s">
        <v>600</v>
      </c>
      <c r="T1" s="158"/>
      <c r="U1" s="1225">
        <v>1716613337</v>
      </c>
      <c r="V1" s="252"/>
      <c r="W1" s="252"/>
      <c r="X1" s="252"/>
      <c r="Y1" s="252"/>
      <c r="Z1" s="252"/>
      <c r="AA1" s="252"/>
      <c r="AB1" s="258"/>
      <c r="AC1" s="259"/>
      <c r="AD1" s="273"/>
      <c r="AE1" s="158" t="s">
        <v>600</v>
      </c>
      <c r="AF1" s="1225">
        <v>369472453</v>
      </c>
      <c r="AG1" s="1225"/>
      <c r="AH1" s="1235"/>
      <c r="AI1" s="1225"/>
      <c r="AJ1" s="1225"/>
      <c r="AK1" s="1225"/>
      <c r="AM1" s="156"/>
      <c r="AP1" s="156"/>
      <c r="AQ1" s="156"/>
      <c r="AR1" s="275" t="s">
        <v>171</v>
      </c>
      <c r="AS1" s="1269">
        <f>+AF3</f>
        <v>1802.75</v>
      </c>
      <c r="AU1" s="156"/>
      <c r="AW1" s="156"/>
    </row>
    <row r="2" spans="2:53" ht="12.75" customHeight="1">
      <c r="B2" s="101" t="s">
        <v>152</v>
      </c>
      <c r="C2" s="600"/>
      <c r="D2" s="99"/>
      <c r="E2" s="212"/>
      <c r="F2" s="212"/>
      <c r="G2" s="212"/>
      <c r="P2" s="220"/>
      <c r="R2" s="277"/>
      <c r="S2" s="158" t="s">
        <v>601</v>
      </c>
      <c r="T2" s="158"/>
      <c r="U2" s="1225">
        <v>794226</v>
      </c>
      <c r="AB2" s="258"/>
      <c r="AC2" s="259"/>
      <c r="AD2" s="274"/>
      <c r="AE2" s="158" t="s">
        <v>601</v>
      </c>
      <c r="AF2" s="1225">
        <v>213733.7</v>
      </c>
      <c r="AG2" s="1225"/>
      <c r="AH2" s="1235"/>
      <c r="AI2" s="1225"/>
      <c r="AJ2" s="1225"/>
      <c r="AK2" s="1225"/>
      <c r="AM2" s="268"/>
      <c r="AP2" s="268" t="s">
        <v>165</v>
      </c>
      <c r="AQ2" s="268" t="s">
        <v>120</v>
      </c>
      <c r="AR2" s="275" t="s">
        <v>170</v>
      </c>
      <c r="AS2" s="295">
        <f>+'INPUT II'!F10</f>
        <v>0.01</v>
      </c>
      <c r="AU2" s="268" t="s">
        <v>129</v>
      </c>
      <c r="AW2" s="268"/>
    </row>
    <row r="3" spans="2:53" ht="12.75" customHeight="1">
      <c r="D3" s="99"/>
      <c r="E3" s="212"/>
      <c r="F3" s="343"/>
      <c r="G3" s="212"/>
      <c r="P3" s="220"/>
      <c r="R3" s="278"/>
      <c r="S3" s="287" t="s">
        <v>8</v>
      </c>
      <c r="T3" s="287"/>
      <c r="U3" s="1226">
        <v>1802.75</v>
      </c>
      <c r="AB3" s="258"/>
      <c r="AC3" s="259"/>
      <c r="AD3" s="273"/>
      <c r="AE3" s="287" t="s">
        <v>8</v>
      </c>
      <c r="AF3" s="1226">
        <v>1802.75</v>
      </c>
      <c r="AG3" s="1226"/>
      <c r="AH3" s="1236"/>
      <c r="AI3" s="1226"/>
      <c r="AJ3" s="1226"/>
      <c r="AK3" s="1226"/>
      <c r="AM3" s="268" t="s">
        <v>11</v>
      </c>
      <c r="AP3" s="268" t="s">
        <v>166</v>
      </c>
      <c r="AQ3" s="268" t="s">
        <v>10</v>
      </c>
      <c r="AR3" s="276" t="s">
        <v>126</v>
      </c>
      <c r="AS3" s="268">
        <v>6.0399000000000003</v>
      </c>
      <c r="AU3" s="268" t="s">
        <v>11</v>
      </c>
      <c r="AW3" s="268"/>
    </row>
    <row r="4" spans="2:53" ht="12.75" customHeight="1">
      <c r="B4" s="101"/>
      <c r="C4" s="600"/>
      <c r="D4" s="99"/>
      <c r="E4" s="212"/>
      <c r="F4" s="212"/>
      <c r="G4" s="212"/>
      <c r="P4" s="220"/>
      <c r="R4" s="279"/>
      <c r="S4" s="288" t="s">
        <v>602</v>
      </c>
      <c r="T4" s="288"/>
      <c r="U4" s="1224">
        <f>+(U1/U2)/U3</f>
        <v>1.1989273791466768</v>
      </c>
      <c r="AB4" s="258"/>
      <c r="AC4" s="259"/>
      <c r="AD4" s="272"/>
      <c r="AE4" s="288" t="s">
        <v>602</v>
      </c>
      <c r="AF4" s="1224">
        <f>+(AF1/AF2)/AF3</f>
        <v>0.95890052348307997</v>
      </c>
      <c r="AG4" s="1224"/>
      <c r="AH4" s="1237"/>
      <c r="AI4" s="1224"/>
      <c r="AJ4" s="1224"/>
      <c r="AK4" s="1224"/>
      <c r="AM4" s="267"/>
      <c r="AP4" s="267"/>
      <c r="AQ4" s="267"/>
      <c r="AR4" s="275"/>
      <c r="AS4" s="268">
        <f>+'INPUT II'!F49/1000</f>
        <v>0.99620000000000009</v>
      </c>
      <c r="AU4" s="268" t="s">
        <v>132</v>
      </c>
      <c r="AW4" s="267"/>
    </row>
    <row r="5" spans="2:53" ht="12.75" customHeight="1">
      <c r="B5" s="210"/>
      <c r="C5" s="599"/>
      <c r="D5" s="99"/>
      <c r="E5" s="212"/>
      <c r="F5" s="212"/>
      <c r="G5" s="1032">
        <f>+'INPUT II'!F51/1000</f>
        <v>0.99620000000000009</v>
      </c>
      <c r="P5" s="220"/>
      <c r="R5" s="256" t="s">
        <v>11</v>
      </c>
      <c r="S5" s="269"/>
      <c r="T5" s="269"/>
      <c r="U5" s="318"/>
      <c r="AB5" s="258"/>
      <c r="AC5" s="259"/>
      <c r="AD5" s="256" t="s">
        <v>11</v>
      </c>
      <c r="AE5" s="269"/>
      <c r="AF5" s="269"/>
      <c r="AG5" s="269"/>
      <c r="AH5" s="269"/>
      <c r="AI5" s="269"/>
      <c r="AJ5" s="269"/>
      <c r="AK5" s="269"/>
      <c r="AM5" s="256"/>
      <c r="AP5" s="1268">
        <v>2.1999999999999999E-2</v>
      </c>
      <c r="AQ5" s="619">
        <v>4.4999999999999998E-2</v>
      </c>
      <c r="AS5" s="284">
        <f>+AS3</f>
        <v>6.0399000000000003</v>
      </c>
      <c r="AU5" s="256"/>
      <c r="AW5" s="256" t="s">
        <v>195</v>
      </c>
    </row>
    <row r="6" spans="2:53" ht="13.5" thickBot="1">
      <c r="D6" s="102"/>
      <c r="G6" s="456">
        <f>+'INPUT II'!F49/1000</f>
        <v>0.99620000000000009</v>
      </c>
      <c r="H6" s="214"/>
      <c r="P6" s="220"/>
      <c r="R6" s="257" t="s">
        <v>172</v>
      </c>
      <c r="S6" s="289"/>
      <c r="T6" s="289"/>
      <c r="U6" s="289"/>
      <c r="V6" s="565"/>
      <c r="W6" s="565"/>
      <c r="X6" s="565"/>
      <c r="Y6" s="565"/>
      <c r="Z6" s="565"/>
      <c r="AA6" s="565"/>
      <c r="AB6" s="258"/>
      <c r="AC6" s="259"/>
      <c r="AD6" s="257" t="s">
        <v>164</v>
      </c>
      <c r="AE6" s="270"/>
      <c r="AF6" s="270"/>
      <c r="AG6" s="270"/>
      <c r="AH6" s="270"/>
      <c r="AI6" s="270"/>
      <c r="AJ6" s="270"/>
      <c r="AK6" s="270"/>
      <c r="AM6" s="257"/>
      <c r="AP6" s="257"/>
      <c r="AQ6" s="257"/>
      <c r="AS6" s="284">
        <f>+'INPUT II'!F50/1000</f>
        <v>0</v>
      </c>
      <c r="AU6" s="257"/>
      <c r="AW6" s="257"/>
    </row>
    <row r="7" spans="2:53">
      <c r="B7" s="211" t="s">
        <v>2</v>
      </c>
      <c r="C7" s="598"/>
      <c r="D7" s="216"/>
      <c r="E7" s="217" t="s">
        <v>153</v>
      </c>
      <c r="F7" s="217" t="s">
        <v>174</v>
      </c>
      <c r="G7" s="217" t="s">
        <v>154</v>
      </c>
      <c r="H7" s="217" t="s">
        <v>155</v>
      </c>
      <c r="I7" s="217" t="s">
        <v>157</v>
      </c>
      <c r="J7" s="217" t="s">
        <v>158</v>
      </c>
      <c r="K7" s="217" t="s">
        <v>159</v>
      </c>
      <c r="L7" s="217" t="s">
        <v>160</v>
      </c>
      <c r="M7" s="217" t="s">
        <v>162</v>
      </c>
      <c r="N7" s="217" t="s">
        <v>161</v>
      </c>
      <c r="O7" s="217" t="s">
        <v>163</v>
      </c>
      <c r="P7" s="220"/>
      <c r="R7" s="217"/>
      <c r="S7" s="261"/>
      <c r="T7" s="261"/>
      <c r="U7" s="319"/>
      <c r="V7" s="1240">
        <f>SUM(S9:S81)</f>
        <v>386070.76321405492</v>
      </c>
      <c r="W7" s="1229">
        <f>+U1-U192</f>
        <v>803649160.19834006</v>
      </c>
      <c r="X7" s="1229"/>
      <c r="Y7" s="1229"/>
      <c r="Z7" s="1229"/>
      <c r="AB7" s="258"/>
      <c r="AC7" s="259"/>
      <c r="AD7" s="217"/>
      <c r="AE7" s="715"/>
      <c r="AF7" s="715"/>
      <c r="AG7" s="715"/>
      <c r="AH7" s="715"/>
      <c r="AI7" s="1233">
        <f>+AF1-AG192</f>
        <v>-141376267.0484978</v>
      </c>
      <c r="AJ7" s="1233"/>
      <c r="AK7" s="1233"/>
      <c r="AM7" s="217"/>
      <c r="AP7" s="326">
        <f>+AP196</f>
        <v>4.6994686126708984E-3</v>
      </c>
      <c r="AQ7" s="326">
        <f>+AQ196</f>
        <v>2.3398250341415405E-3</v>
      </c>
      <c r="AS7" s="217" t="s">
        <v>169</v>
      </c>
      <c r="AU7" s="326">
        <f>+AS196</f>
        <v>-3.092646598815918E-3</v>
      </c>
      <c r="AW7" s="217"/>
    </row>
    <row r="8" spans="2:53" ht="13.5" thickBot="1">
      <c r="B8" s="215"/>
      <c r="C8" s="601"/>
      <c r="D8" s="218" t="s">
        <v>7</v>
      </c>
      <c r="E8" s="219" t="s">
        <v>112</v>
      </c>
      <c r="F8" s="219" t="s">
        <v>112</v>
      </c>
      <c r="G8" s="219" t="s">
        <v>112</v>
      </c>
      <c r="H8" s="219" t="s">
        <v>112</v>
      </c>
      <c r="I8" s="219" t="s">
        <v>112</v>
      </c>
      <c r="J8" s="219" t="s">
        <v>112</v>
      </c>
      <c r="K8" s="219" t="s">
        <v>112</v>
      </c>
      <c r="L8" s="219" t="s">
        <v>112</v>
      </c>
      <c r="M8" s="219" t="s">
        <v>112</v>
      </c>
      <c r="N8" s="219" t="s">
        <v>112</v>
      </c>
      <c r="O8" s="219" t="s">
        <v>112</v>
      </c>
      <c r="P8" s="220"/>
      <c r="R8" s="219"/>
      <c r="S8" s="262" t="s">
        <v>139</v>
      </c>
      <c r="T8" s="262"/>
      <c r="U8" s="320" t="s">
        <v>372</v>
      </c>
      <c r="V8" s="617" t="s">
        <v>603</v>
      </c>
      <c r="W8" s="565" t="s">
        <v>604</v>
      </c>
      <c r="X8" s="565" t="s">
        <v>605</v>
      </c>
      <c r="Y8" s="565" t="s">
        <v>606</v>
      </c>
      <c r="Z8" s="565" t="s">
        <v>607</v>
      </c>
      <c r="AA8" s="565"/>
      <c r="AB8" s="258"/>
      <c r="AC8" s="259"/>
      <c r="AD8" s="219" t="s">
        <v>131</v>
      </c>
      <c r="AE8" s="1234" t="s">
        <v>608</v>
      </c>
      <c r="AF8" s="1234" t="s">
        <v>609</v>
      </c>
      <c r="AG8" s="1234" t="s">
        <v>348</v>
      </c>
      <c r="AH8" s="1234" t="s">
        <v>610</v>
      </c>
      <c r="AI8" s="565" t="s">
        <v>604</v>
      </c>
      <c r="AJ8" s="565" t="s">
        <v>605</v>
      </c>
      <c r="AK8" s="565" t="s">
        <v>611</v>
      </c>
      <c r="AM8" s="219" t="s">
        <v>131</v>
      </c>
      <c r="AP8" s="219" t="s">
        <v>131</v>
      </c>
      <c r="AQ8" s="219" t="s">
        <v>131</v>
      </c>
      <c r="AS8" s="283" t="s">
        <v>9</v>
      </c>
      <c r="AU8" s="219"/>
      <c r="AW8" s="219"/>
    </row>
    <row r="9" spans="2:53">
      <c r="B9" s="339" t="s">
        <v>181</v>
      </c>
      <c r="C9" s="602">
        <v>1</v>
      </c>
      <c r="D9" s="226">
        <f>+'INPUT VOL'!J4</f>
        <v>75586.168087461541</v>
      </c>
      <c r="E9" s="229">
        <f>+D9/$G$6</f>
        <v>75874.491153846146</v>
      </c>
      <c r="F9" s="229"/>
      <c r="G9" s="229"/>
      <c r="H9" s="229"/>
      <c r="I9" s="229"/>
      <c r="J9" s="229"/>
      <c r="K9" s="229"/>
      <c r="L9" s="229"/>
      <c r="M9" s="229"/>
      <c r="N9" s="229"/>
      <c r="O9" s="229"/>
      <c r="P9" s="224"/>
      <c r="Q9" s="253"/>
      <c r="R9" s="227">
        <f>+Z9</f>
        <v>250953440.37461185</v>
      </c>
      <c r="S9" s="1241">
        <f t="shared" ref="S9:S40" si="0">SUM(E9:O9)</f>
        <v>75874.491153846146</v>
      </c>
      <c r="T9" s="1242">
        <v>0.68</v>
      </c>
      <c r="U9" s="1243">
        <f>+S9*T9*$U$3</f>
        <v>93012262.470765382</v>
      </c>
      <c r="V9" s="1244">
        <f>+S9/$V$7</f>
        <v>0.19653001051462146</v>
      </c>
      <c r="W9" s="1245">
        <f>+$W$7*V9</f>
        <v>157941177.90384647</v>
      </c>
      <c r="X9" s="1245"/>
      <c r="Y9" s="1245"/>
      <c r="Z9" s="1245">
        <f>+U9+W9+X9+Y9</f>
        <v>250953440.37461185</v>
      </c>
      <c r="AA9" s="595">
        <f>+Z9/S9</f>
        <v>3307.4810329306674</v>
      </c>
      <c r="AB9" s="258"/>
      <c r="AC9" s="259"/>
      <c r="AD9" s="227"/>
      <c r="AE9" s="1250"/>
      <c r="AF9" s="1254"/>
      <c r="AG9" s="1254"/>
      <c r="AH9" s="1251"/>
      <c r="AI9" s="1254"/>
      <c r="AJ9" s="1254"/>
      <c r="AK9" s="1254"/>
      <c r="AM9" s="227">
        <f>+R9+AD9</f>
        <v>250953440.37461185</v>
      </c>
      <c r="AP9" s="227">
        <f>+AM9*$AP$5-AP198</f>
        <v>5464341.5082414607</v>
      </c>
      <c r="AQ9" s="346">
        <f>+AM9*$AQ$5-AQ198</f>
        <v>9896385.0235242005</v>
      </c>
      <c r="AS9" s="227">
        <f>+(D9/$AS$4)*$AS$2*$AS$3*$AS$1</f>
        <v>8261540.6484878799</v>
      </c>
      <c r="AU9" s="223">
        <f t="shared" ref="AU9:AU20" si="1">+AM9+AP9+AQ9+AS9</f>
        <v>274575707.55486542</v>
      </c>
      <c r="AW9" s="223">
        <f t="shared" ref="AW9:AW40" si="2">+AM9+AP9+AQ9</f>
        <v>266314166.90637752</v>
      </c>
      <c r="AX9" s="457">
        <f t="shared" ref="AX9:AX40" si="3">+AW9+AS9</f>
        <v>274575707.55486542</v>
      </c>
      <c r="AY9" s="54"/>
      <c r="AZ9" s="54">
        <v>29563868</v>
      </c>
      <c r="BA9" s="54"/>
    </row>
    <row r="10" spans="2:53">
      <c r="B10" s="339" t="s">
        <v>59</v>
      </c>
      <c r="C10" s="602">
        <v>1</v>
      </c>
      <c r="D10" s="226">
        <f>+'INPUT VOL'!J5</f>
        <v>12838.240379400948</v>
      </c>
      <c r="E10" s="229"/>
      <c r="F10" s="229"/>
      <c r="G10" s="229">
        <f>+D10/$G$6</f>
        <v>12887.211784180834</v>
      </c>
      <c r="H10" s="229"/>
      <c r="I10" s="229"/>
      <c r="J10" s="229"/>
      <c r="K10" s="229"/>
      <c r="L10" s="229"/>
      <c r="M10" s="229"/>
      <c r="N10" s="229"/>
      <c r="O10" s="229"/>
      <c r="P10" s="224"/>
      <c r="Q10" s="253"/>
      <c r="R10" s="227">
        <f t="shared" ref="R10:R73" si="4">+Z10</f>
        <v>42624208.543538697</v>
      </c>
      <c r="S10" s="1241">
        <f t="shared" si="0"/>
        <v>12887.211784180834</v>
      </c>
      <c r="T10" s="1242">
        <v>0.68</v>
      </c>
      <c r="U10" s="1243">
        <f t="shared" ref="U10:U73" si="5">+S10*T10*$U$3</f>
        <v>15798046.309873758</v>
      </c>
      <c r="V10" s="1244">
        <f t="shared" ref="V10:V73" si="6">+S10/$V$7</f>
        <v>3.3380439577693655E-2</v>
      </c>
      <c r="W10" s="1245">
        <f t="shared" ref="W10:W73" si="7">+$W$7*V10</f>
        <v>26826162.233664937</v>
      </c>
      <c r="X10" s="1245"/>
      <c r="Y10" s="1245"/>
      <c r="Z10" s="1245">
        <f t="shared" ref="Z10:Z73" si="8">+U10+W10+X10+Y10</f>
        <v>42624208.543538697</v>
      </c>
      <c r="AA10" s="595"/>
      <c r="AB10" s="258"/>
      <c r="AC10" s="259"/>
      <c r="AD10" s="227"/>
      <c r="AE10" s="1250"/>
      <c r="AF10" s="1254"/>
      <c r="AG10" s="1254"/>
      <c r="AH10" s="1251"/>
      <c r="AI10" s="1254"/>
      <c r="AJ10" s="1254"/>
      <c r="AK10" s="1254"/>
      <c r="AM10" s="227">
        <f t="shared" ref="AM10:AM73" si="9">+R10+AD10</f>
        <v>42624208.543538697</v>
      </c>
      <c r="AP10" s="227">
        <f>+AM10*$AP$5-AP199</f>
        <v>881098.40795785119</v>
      </c>
      <c r="AQ10" s="498">
        <f>+(AM10)*$AQ$5</f>
        <v>1918089.3844592413</v>
      </c>
      <c r="AS10" s="227">
        <f>+(D10/$AS$4)*$AS$2*$AS$3*$AS$1</f>
        <v>1403214.998632449</v>
      </c>
      <c r="AU10" s="223">
        <f t="shared" si="1"/>
        <v>46826611.334588237</v>
      </c>
      <c r="AW10" s="223">
        <f t="shared" si="2"/>
        <v>45423396.335955791</v>
      </c>
      <c r="AX10" s="457">
        <f t="shared" si="3"/>
        <v>46826611.334588237</v>
      </c>
      <c r="AY10" s="54"/>
      <c r="AZ10" s="54">
        <v>2079830</v>
      </c>
      <c r="BA10" s="54"/>
    </row>
    <row r="11" spans="2:53">
      <c r="B11" s="339" t="s">
        <v>60</v>
      </c>
      <c r="C11" s="602">
        <v>1</v>
      </c>
      <c r="D11" s="226">
        <f>+'INPUT VOL'!J6</f>
        <v>13192.044396153842</v>
      </c>
      <c r="E11" s="229"/>
      <c r="F11" s="229"/>
      <c r="G11" s="229">
        <f>+D11/G6</f>
        <v>13242.365384615379</v>
      </c>
      <c r="H11" s="229"/>
      <c r="I11" s="229"/>
      <c r="J11" s="229"/>
      <c r="K11" s="229"/>
      <c r="L11" s="229"/>
      <c r="M11" s="229"/>
      <c r="N11" s="229"/>
      <c r="O11" s="229"/>
      <c r="P11" s="224"/>
      <c r="Q11" s="253"/>
      <c r="R11" s="227">
        <f t="shared" si="4"/>
        <v>43798872.340752989</v>
      </c>
      <c r="S11" s="1241">
        <f t="shared" si="0"/>
        <v>13242.365384615379</v>
      </c>
      <c r="T11" s="1242">
        <v>0.68</v>
      </c>
      <c r="U11" s="1243">
        <f t="shared" si="5"/>
        <v>16233418.454038454</v>
      </c>
      <c r="V11" s="1244">
        <f t="shared" si="6"/>
        <v>3.4300357981972382E-2</v>
      </c>
      <c r="W11" s="1245">
        <f t="shared" si="7"/>
        <v>27565453.886714537</v>
      </c>
      <c r="X11" s="1245"/>
      <c r="Y11" s="1245"/>
      <c r="Z11" s="1245">
        <f t="shared" si="8"/>
        <v>43798872.340752989</v>
      </c>
      <c r="AA11" s="595"/>
      <c r="AB11" s="258"/>
      <c r="AC11" s="259"/>
      <c r="AD11" s="227"/>
      <c r="AE11" s="1250"/>
      <c r="AF11" s="1254"/>
      <c r="AG11" s="1254"/>
      <c r="AH11" s="1251"/>
      <c r="AI11" s="1254"/>
      <c r="AJ11" s="1254"/>
      <c r="AK11" s="1254"/>
      <c r="AM11" s="227">
        <f t="shared" si="9"/>
        <v>43798872.340752989</v>
      </c>
      <c r="AP11" s="227">
        <f t="shared" ref="AP11:AP42" si="10">+AM11*$AP$5</f>
        <v>963575.19149656571</v>
      </c>
      <c r="AQ11" s="223">
        <f t="shared" ref="AQ11:AQ20" si="11">+AM11*$AQ$5</f>
        <v>1970949.2553338844</v>
      </c>
      <c r="AS11" s="331">
        <f>+(D11/$AS$4)*$AS$2*$AS$3*$AS$1-AS200-AS206</f>
        <v>15554480.108831573</v>
      </c>
      <c r="AU11" s="223">
        <f t="shared" si="1"/>
        <v>62287876.89641501</v>
      </c>
      <c r="AW11" s="223">
        <f t="shared" si="2"/>
        <v>46733396.787583441</v>
      </c>
      <c r="AX11" s="457">
        <f t="shared" si="3"/>
        <v>62287876.89641501</v>
      </c>
      <c r="AY11" s="54"/>
      <c r="AZ11" s="54">
        <v>4588761</v>
      </c>
      <c r="BA11" s="54"/>
    </row>
    <row r="12" spans="2:53">
      <c r="B12" s="339" t="s">
        <v>57</v>
      </c>
      <c r="C12" s="602">
        <v>1</v>
      </c>
      <c r="D12" s="226">
        <f>+'INPUT VOL'!J7</f>
        <v>14929.904567846155</v>
      </c>
      <c r="E12" s="234">
        <f t="shared" ref="E12:E20" si="12">+D12/$G$6</f>
        <v>14986.854615384616</v>
      </c>
      <c r="F12" s="234"/>
      <c r="G12" s="234"/>
      <c r="H12" s="234"/>
      <c r="I12" s="234"/>
      <c r="J12" s="234"/>
      <c r="K12" s="234"/>
      <c r="L12" s="234"/>
      <c r="M12" s="234"/>
      <c r="N12" s="234"/>
      <c r="O12" s="234"/>
      <c r="P12" s="224"/>
      <c r="Q12" s="253"/>
      <c r="R12" s="227">
        <f t="shared" si="4"/>
        <v>49568737.383674055</v>
      </c>
      <c r="S12" s="1241">
        <f t="shared" si="0"/>
        <v>14986.854615384616</v>
      </c>
      <c r="T12" s="1242">
        <v>0.68</v>
      </c>
      <c r="U12" s="1243">
        <f t="shared" si="5"/>
        <v>18371935.467361543</v>
      </c>
      <c r="V12" s="1244">
        <f t="shared" si="6"/>
        <v>3.8818931769446716E-2</v>
      </c>
      <c r="W12" s="1245">
        <f t="shared" si="7"/>
        <v>31196801.916312516</v>
      </c>
      <c r="X12" s="1245"/>
      <c r="Y12" s="1245"/>
      <c r="Z12" s="1245">
        <f t="shared" si="8"/>
        <v>49568737.383674055</v>
      </c>
      <c r="AA12" s="595"/>
      <c r="AB12" s="258"/>
      <c r="AC12" s="259"/>
      <c r="AD12" s="227"/>
      <c r="AE12" s="1250"/>
      <c r="AF12" s="1254"/>
      <c r="AG12" s="1254"/>
      <c r="AH12" s="1251"/>
      <c r="AI12" s="1254"/>
      <c r="AJ12" s="1254"/>
      <c r="AK12" s="1254"/>
      <c r="AM12" s="227">
        <f t="shared" si="9"/>
        <v>49568737.383674055</v>
      </c>
      <c r="AP12" s="227">
        <f t="shared" si="10"/>
        <v>1090512.2224408293</v>
      </c>
      <c r="AQ12" s="223">
        <f t="shared" si="11"/>
        <v>2230593.1822653324</v>
      </c>
      <c r="AS12" s="227">
        <f t="shared" ref="AS12:AS40" si="13">+(D12/$AS$4)*$AS$2*$AS$3*$AS$1</f>
        <v>1631833.132784073</v>
      </c>
      <c r="AU12" s="223">
        <f t="shared" si="1"/>
        <v>54521675.921164297</v>
      </c>
      <c r="AW12" s="223">
        <f t="shared" si="2"/>
        <v>52889842.788380221</v>
      </c>
      <c r="AX12" s="457">
        <f t="shared" si="3"/>
        <v>54521675.921164297</v>
      </c>
      <c r="AY12" s="54"/>
      <c r="AZ12" s="54">
        <v>11303424</v>
      </c>
      <c r="BA12" s="54"/>
    </row>
    <row r="13" spans="2:53">
      <c r="B13" s="339" t="s">
        <v>463</v>
      </c>
      <c r="C13" s="602">
        <v>1</v>
      </c>
      <c r="D13" s="226">
        <f>+'INPUT VOL'!J146</f>
        <v>20562.753477999999</v>
      </c>
      <c r="E13" s="234">
        <f>+D13/$G$6</f>
        <v>20641.189999999999</v>
      </c>
      <c r="F13" s="234"/>
      <c r="G13" s="234"/>
      <c r="H13" s="234"/>
      <c r="I13" s="234"/>
      <c r="J13" s="234"/>
      <c r="K13" s="234"/>
      <c r="L13" s="234"/>
      <c r="M13" s="234"/>
      <c r="N13" s="234"/>
      <c r="O13" s="234"/>
      <c r="P13" s="224"/>
      <c r="Q13" s="253"/>
      <c r="R13" s="227">
        <f t="shared" si="4"/>
        <v>68270344.422118172</v>
      </c>
      <c r="S13" s="1241">
        <f t="shared" si="0"/>
        <v>20641.189999999999</v>
      </c>
      <c r="T13" s="1242">
        <v>0.68</v>
      </c>
      <c r="U13" s="1243">
        <f t="shared" si="5"/>
        <v>25303415.585300002</v>
      </c>
      <c r="V13" s="1244">
        <f t="shared" si="6"/>
        <v>5.3464784093364769E-2</v>
      </c>
      <c r="W13" s="1245">
        <f t="shared" si="7"/>
        <v>42966928.836818166</v>
      </c>
      <c r="X13" s="1245"/>
      <c r="Y13" s="1245"/>
      <c r="Z13" s="1245">
        <f t="shared" si="8"/>
        <v>68270344.422118172</v>
      </c>
      <c r="AA13" s="595"/>
      <c r="AB13" s="258"/>
      <c r="AC13" s="259"/>
      <c r="AD13" s="227"/>
      <c r="AE13" s="1250"/>
      <c r="AF13" s="1254"/>
      <c r="AG13" s="1254"/>
      <c r="AH13" s="1251"/>
      <c r="AI13" s="1254"/>
      <c r="AJ13" s="1254"/>
      <c r="AK13" s="1254"/>
      <c r="AM13" s="227">
        <f t="shared" si="9"/>
        <v>68270344.422118172</v>
      </c>
      <c r="AP13" s="227">
        <f t="shared" si="10"/>
        <v>1501947.5772865997</v>
      </c>
      <c r="AQ13" s="223">
        <f>+AM13*$AQ$5</f>
        <v>3072165.4989953176</v>
      </c>
      <c r="AS13" s="227">
        <f t="shared" si="13"/>
        <v>2247501.4675537278</v>
      </c>
      <c r="AU13" s="223">
        <f>+AM13+AP13+AQ13+AS13</f>
        <v>75091958.965953827</v>
      </c>
      <c r="AW13" s="223">
        <f t="shared" si="2"/>
        <v>72844457.498400092</v>
      </c>
      <c r="AX13" s="457">
        <f t="shared" si="3"/>
        <v>75091958.965953827</v>
      </c>
      <c r="AY13" s="54"/>
      <c r="AZ13" s="54">
        <v>11321896</v>
      </c>
      <c r="BA13" s="54"/>
    </row>
    <row r="14" spans="2:53">
      <c r="B14" s="338" t="s">
        <v>37</v>
      </c>
      <c r="C14" s="603">
        <v>7</v>
      </c>
      <c r="D14" s="226">
        <f>+'INPUT VOL'!J8</f>
        <v>9228.7131192000052</v>
      </c>
      <c r="E14" s="223">
        <f t="shared" si="12"/>
        <v>9263.9160000000047</v>
      </c>
      <c r="F14" s="223"/>
      <c r="G14" s="223"/>
      <c r="H14" s="223"/>
      <c r="I14" s="223"/>
      <c r="J14" s="223"/>
      <c r="K14" s="223"/>
      <c r="L14" s="223"/>
      <c r="M14" s="223"/>
      <c r="N14" s="223"/>
      <c r="O14" s="223"/>
      <c r="P14" s="224"/>
      <c r="Q14" s="253"/>
      <c r="R14" s="227">
        <f t="shared" si="4"/>
        <v>30640226.460662954</v>
      </c>
      <c r="S14" s="1241">
        <f t="shared" si="0"/>
        <v>9263.9160000000047</v>
      </c>
      <c r="T14" s="1242">
        <v>0.68</v>
      </c>
      <c r="U14" s="1243">
        <f t="shared" si="5"/>
        <v>11356356.706920007</v>
      </c>
      <c r="V14" s="1244">
        <f t="shared" si="6"/>
        <v>2.3995383444417092E-2</v>
      </c>
      <c r="W14" s="1245">
        <f t="shared" si="7"/>
        <v>19283869.753742948</v>
      </c>
      <c r="X14" s="1245"/>
      <c r="Y14" s="1245"/>
      <c r="Z14" s="1245">
        <f t="shared" si="8"/>
        <v>30640226.460662954</v>
      </c>
      <c r="AA14" s="595"/>
      <c r="AB14" s="258"/>
      <c r="AC14" s="259"/>
      <c r="AD14" s="223"/>
      <c r="AE14" s="1250"/>
      <c r="AF14" s="1254"/>
      <c r="AG14" s="1254"/>
      <c r="AH14" s="1251"/>
      <c r="AI14" s="1254"/>
      <c r="AJ14" s="1254"/>
      <c r="AK14" s="1254"/>
      <c r="AM14" s="227">
        <f t="shared" si="9"/>
        <v>30640226.460662954</v>
      </c>
      <c r="AP14" s="227">
        <f t="shared" si="10"/>
        <v>674084.98213458492</v>
      </c>
      <c r="AQ14" s="223">
        <f t="shared" si="11"/>
        <v>1378810.190729833</v>
      </c>
      <c r="AS14" s="223">
        <f t="shared" si="13"/>
        <v>1008694.9834430316</v>
      </c>
      <c r="AU14" s="223">
        <f t="shared" si="1"/>
        <v>33701816.616970405</v>
      </c>
      <c r="AW14" s="223">
        <f t="shared" si="2"/>
        <v>32693121.633527372</v>
      </c>
      <c r="AX14" s="457">
        <f t="shared" si="3"/>
        <v>33701816.616970405</v>
      </c>
      <c r="AY14" s="54"/>
      <c r="AZ14" s="54">
        <v>325073</v>
      </c>
      <c r="BA14" s="54"/>
    </row>
    <row r="15" spans="2:53">
      <c r="B15" s="339" t="s">
        <v>38</v>
      </c>
      <c r="C15" s="602">
        <v>10</v>
      </c>
      <c r="D15" s="226">
        <f>+'INPUT VOL'!J9</f>
        <v>6003.9878180000005</v>
      </c>
      <c r="E15" s="227">
        <f t="shared" si="12"/>
        <v>6026.89</v>
      </c>
      <c r="F15" s="227"/>
      <c r="G15" s="227"/>
      <c r="H15" s="227"/>
      <c r="I15" s="227"/>
      <c r="J15" s="227"/>
      <c r="K15" s="227"/>
      <c r="L15" s="227"/>
      <c r="M15" s="227"/>
      <c r="N15" s="227"/>
      <c r="O15" s="227"/>
      <c r="P15" s="224"/>
      <c r="Q15" s="253"/>
      <c r="R15" s="227">
        <f t="shared" si="4"/>
        <v>19933824.362559512</v>
      </c>
      <c r="S15" s="1241">
        <f t="shared" si="0"/>
        <v>6026.89</v>
      </c>
      <c r="T15" s="1242">
        <v>0.68</v>
      </c>
      <c r="U15" s="1243">
        <f t="shared" si="5"/>
        <v>7388183.6443000007</v>
      </c>
      <c r="V15" s="1244">
        <f t="shared" si="6"/>
        <v>1.5610842814995609E-2</v>
      </c>
      <c r="W15" s="1245">
        <f t="shared" si="7"/>
        <v>12545640.718259512</v>
      </c>
      <c r="X15" s="1245"/>
      <c r="Y15" s="1245"/>
      <c r="Z15" s="1245">
        <f t="shared" si="8"/>
        <v>19933824.362559512</v>
      </c>
      <c r="AA15" s="595"/>
      <c r="AB15" s="258"/>
      <c r="AC15" s="259"/>
      <c r="AD15" s="227"/>
      <c r="AE15" s="1250"/>
      <c r="AF15" s="1254"/>
      <c r="AG15" s="1254"/>
      <c r="AH15" s="1251"/>
      <c r="AI15" s="1254"/>
      <c r="AJ15" s="1254"/>
      <c r="AK15" s="1254"/>
      <c r="AM15" s="227">
        <f t="shared" si="9"/>
        <v>19933824.362559512</v>
      </c>
      <c r="AP15" s="227">
        <f t="shared" si="10"/>
        <v>438544.13597630925</v>
      </c>
      <c r="AQ15" s="223">
        <f t="shared" si="11"/>
        <v>897022.09631517797</v>
      </c>
      <c r="AS15" s="227">
        <f t="shared" si="13"/>
        <v>656233.68225305248</v>
      </c>
      <c r="AU15" s="223">
        <f t="shared" si="1"/>
        <v>21925624.277104054</v>
      </c>
      <c r="AW15" s="223">
        <f t="shared" si="2"/>
        <v>21269390.594851002</v>
      </c>
      <c r="AX15" s="457">
        <f t="shared" si="3"/>
        <v>21925624.277104054</v>
      </c>
      <c r="AY15" s="54"/>
      <c r="AZ15" s="54">
        <v>40278</v>
      </c>
      <c r="BA15" s="54"/>
    </row>
    <row r="16" spans="2:53">
      <c r="B16" s="339" t="s">
        <v>51</v>
      </c>
      <c r="C16" s="602">
        <v>43</v>
      </c>
      <c r="D16" s="226">
        <f>+'INPUT VOL'!J10</f>
        <v>701.06729210963249</v>
      </c>
      <c r="E16" s="227">
        <f t="shared" si="12"/>
        <v>703.74150984705125</v>
      </c>
      <c r="F16" s="227"/>
      <c r="G16" s="227"/>
      <c r="H16" s="227"/>
      <c r="I16" s="227"/>
      <c r="J16" s="227"/>
      <c r="K16" s="227"/>
      <c r="L16" s="227"/>
      <c r="M16" s="227"/>
      <c r="N16" s="227"/>
      <c r="O16" s="227"/>
      <c r="P16" s="224"/>
      <c r="Q16" s="253"/>
      <c r="R16" s="227">
        <f t="shared" si="4"/>
        <v>2327611.6959051127</v>
      </c>
      <c r="S16" s="1241">
        <f t="shared" si="0"/>
        <v>703.74150984705125</v>
      </c>
      <c r="T16" s="1242">
        <v>0.68</v>
      </c>
      <c r="U16" s="1243">
        <f t="shared" si="5"/>
        <v>862695.60467620485</v>
      </c>
      <c r="V16" s="1244">
        <f t="shared" si="6"/>
        <v>1.8228303640202494E-3</v>
      </c>
      <c r="W16" s="1245">
        <f t="shared" si="7"/>
        <v>1464916.0912289079</v>
      </c>
      <c r="X16" s="1245"/>
      <c r="Y16" s="1245"/>
      <c r="Z16" s="1245">
        <f t="shared" si="8"/>
        <v>2327611.6959051127</v>
      </c>
      <c r="AA16" s="595"/>
      <c r="AB16" s="258"/>
      <c r="AC16" s="259"/>
      <c r="AD16" s="227"/>
      <c r="AE16" s="1250"/>
      <c r="AF16" s="1254"/>
      <c r="AG16" s="1254"/>
      <c r="AH16" s="1251"/>
      <c r="AI16" s="1254"/>
      <c r="AJ16" s="1254"/>
      <c r="AK16" s="1254"/>
      <c r="AM16" s="227">
        <f t="shared" si="9"/>
        <v>2327611.6959051127</v>
      </c>
      <c r="AP16" s="227">
        <f t="shared" si="10"/>
        <v>51207.457309912475</v>
      </c>
      <c r="AQ16" s="223">
        <f t="shared" si="11"/>
        <v>104742.52631573007</v>
      </c>
      <c r="AS16" s="227">
        <f t="shared" si="13"/>
        <v>76626.399745350136</v>
      </c>
      <c r="AU16" s="223">
        <f t="shared" si="1"/>
        <v>2560188.0792761054</v>
      </c>
      <c r="AW16" s="223">
        <f t="shared" si="2"/>
        <v>2483561.6795307552</v>
      </c>
      <c r="AX16" s="457">
        <f t="shared" si="3"/>
        <v>2560188.0792761054</v>
      </c>
      <c r="AY16" s="54"/>
      <c r="AZ16" s="54">
        <v>59431</v>
      </c>
      <c r="BA16" s="54"/>
    </row>
    <row r="17" spans="2:53">
      <c r="B17" s="339" t="s">
        <v>55</v>
      </c>
      <c r="C17" s="602">
        <v>44</v>
      </c>
      <c r="D17" s="226">
        <f>+'INPUT VOL'!J11</f>
        <v>422.46849600000002</v>
      </c>
      <c r="E17" s="227">
        <f t="shared" si="12"/>
        <v>424.08</v>
      </c>
      <c r="F17" s="227"/>
      <c r="G17" s="227"/>
      <c r="H17" s="227"/>
      <c r="I17" s="227"/>
      <c r="J17" s="227"/>
      <c r="K17" s="227"/>
      <c r="L17" s="227"/>
      <c r="M17" s="227"/>
      <c r="N17" s="227"/>
      <c r="O17" s="227"/>
      <c r="P17" s="224"/>
      <c r="Q17" s="253"/>
      <c r="R17" s="227">
        <f t="shared" si="4"/>
        <v>1402636.5564452377</v>
      </c>
      <c r="S17" s="1241">
        <f t="shared" si="0"/>
        <v>424.08</v>
      </c>
      <c r="T17" s="1242">
        <v>0.68</v>
      </c>
      <c r="U17" s="1243">
        <f t="shared" si="5"/>
        <v>519866.94960000005</v>
      </c>
      <c r="V17" s="1244">
        <f t="shared" si="6"/>
        <v>1.0984514767953849E-3</v>
      </c>
      <c r="W17" s="1245">
        <f t="shared" si="7"/>
        <v>882769.60684523755</v>
      </c>
      <c r="X17" s="1245"/>
      <c r="Y17" s="1245"/>
      <c r="Z17" s="1245">
        <f t="shared" si="8"/>
        <v>1402636.5564452377</v>
      </c>
      <c r="AA17" s="595"/>
      <c r="AB17" s="258"/>
      <c r="AC17" s="259"/>
      <c r="AD17" s="227"/>
      <c r="AE17" s="1250"/>
      <c r="AF17" s="1254"/>
      <c r="AG17" s="1254"/>
      <c r="AH17" s="1251"/>
      <c r="AI17" s="1254"/>
      <c r="AJ17" s="1254"/>
      <c r="AK17" s="1254"/>
      <c r="AM17" s="227">
        <f t="shared" si="9"/>
        <v>1402636.5564452377</v>
      </c>
      <c r="AP17" s="227">
        <f t="shared" si="10"/>
        <v>30858.004241795228</v>
      </c>
      <c r="AQ17" s="223">
        <f t="shared" si="11"/>
        <v>63118.645040035692</v>
      </c>
      <c r="AS17" s="227">
        <f t="shared" si="13"/>
        <v>46175.652777780007</v>
      </c>
      <c r="AU17" s="223">
        <f t="shared" si="1"/>
        <v>1542788.8585048488</v>
      </c>
      <c r="AW17" s="223">
        <f t="shared" si="2"/>
        <v>1496613.2057270687</v>
      </c>
      <c r="AX17" s="457">
        <f t="shared" si="3"/>
        <v>1542788.8585048488</v>
      </c>
      <c r="AY17" s="54"/>
      <c r="AZ17" s="54">
        <v>125411</v>
      </c>
      <c r="BA17" s="54"/>
    </row>
    <row r="18" spans="2:53">
      <c r="B18" s="339" t="s">
        <v>56</v>
      </c>
      <c r="C18" s="602">
        <v>46</v>
      </c>
      <c r="D18" s="226">
        <f>+'INPUT VOL'!J12</f>
        <v>2515.740020781398</v>
      </c>
      <c r="E18" s="228">
        <f t="shared" si="12"/>
        <v>2525.3362987165206</v>
      </c>
      <c r="F18" s="228"/>
      <c r="G18" s="228"/>
      <c r="H18" s="228"/>
      <c r="I18" s="228"/>
      <c r="J18" s="228"/>
      <c r="K18" s="228"/>
      <c r="L18" s="228"/>
      <c r="M18" s="228"/>
      <c r="N18" s="228"/>
      <c r="O18" s="228"/>
      <c r="P18" s="224"/>
      <c r="Q18" s="253"/>
      <c r="R18" s="227">
        <f t="shared" si="4"/>
        <v>8352501.9097762257</v>
      </c>
      <c r="S18" s="1241">
        <f t="shared" si="0"/>
        <v>2525.3362987165206</v>
      </c>
      <c r="T18" s="1242">
        <v>0.68</v>
      </c>
      <c r="U18" s="1243">
        <f t="shared" si="5"/>
        <v>3095734.008507621</v>
      </c>
      <c r="V18" s="1244">
        <f t="shared" si="6"/>
        <v>6.5411228700484655E-3</v>
      </c>
      <c r="W18" s="1245">
        <f t="shared" si="7"/>
        <v>5256767.9012686051</v>
      </c>
      <c r="X18" s="1245"/>
      <c r="Y18" s="1245"/>
      <c r="Z18" s="1245">
        <f t="shared" si="8"/>
        <v>8352501.9097762257</v>
      </c>
      <c r="AA18" s="595"/>
      <c r="AB18" s="258"/>
      <c r="AC18" s="259"/>
      <c r="AD18" s="227"/>
      <c r="AE18" s="1250"/>
      <c r="AF18" s="1254"/>
      <c r="AG18" s="1254"/>
      <c r="AH18" s="1251"/>
      <c r="AI18" s="1254"/>
      <c r="AJ18" s="1254"/>
      <c r="AK18" s="1254"/>
      <c r="AM18" s="227">
        <f t="shared" si="9"/>
        <v>8352501.9097762257</v>
      </c>
      <c r="AP18" s="227">
        <f t="shared" si="10"/>
        <v>183755.04201507696</v>
      </c>
      <c r="AQ18" s="223">
        <f t="shared" si="11"/>
        <v>375862.58593993017</v>
      </c>
      <c r="AS18" s="227">
        <f t="shared" si="13"/>
        <v>274969.46820566448</v>
      </c>
      <c r="AU18" s="223">
        <f t="shared" si="1"/>
        <v>9187089.0059368983</v>
      </c>
      <c r="AW18" s="223">
        <f t="shared" si="2"/>
        <v>8912119.537731234</v>
      </c>
      <c r="AX18" s="457">
        <f t="shared" si="3"/>
        <v>9187089.0059368983</v>
      </c>
      <c r="AY18" s="54"/>
      <c r="AZ18" s="54">
        <v>17117</v>
      </c>
      <c r="BA18" s="54"/>
    </row>
    <row r="19" spans="2:53">
      <c r="B19" s="339" t="s">
        <v>58</v>
      </c>
      <c r="C19" s="602">
        <v>1</v>
      </c>
      <c r="D19" s="226">
        <f>+'INPUT VOL'!J13</f>
        <v>10600.766505230766</v>
      </c>
      <c r="E19" s="223">
        <f t="shared" si="12"/>
        <v>10641.203076923073</v>
      </c>
      <c r="F19" s="228"/>
      <c r="G19" s="228"/>
      <c r="H19" s="228"/>
      <c r="I19" s="228"/>
      <c r="J19" s="228"/>
      <c r="K19" s="228"/>
      <c r="L19" s="228"/>
      <c r="M19" s="228"/>
      <c r="N19" s="228"/>
      <c r="O19" s="228"/>
      <c r="P19" s="224"/>
      <c r="Q19" s="253"/>
      <c r="R19" s="227">
        <f t="shared" si="4"/>
        <v>35195577.344486527</v>
      </c>
      <c r="S19" s="1241">
        <f t="shared" si="0"/>
        <v>10641.203076923073</v>
      </c>
      <c r="T19" s="1242">
        <v>0.68</v>
      </c>
      <c r="U19" s="1243">
        <f t="shared" si="5"/>
        <v>13044731.61590769</v>
      </c>
      <c r="V19" s="1244">
        <f t="shared" si="6"/>
        <v>2.7562830679885266E-2</v>
      </c>
      <c r="W19" s="1245">
        <f t="shared" si="7"/>
        <v>22150845.728578836</v>
      </c>
      <c r="X19" s="1245"/>
      <c r="Y19" s="1245"/>
      <c r="Z19" s="1245">
        <f t="shared" si="8"/>
        <v>35195577.344486527</v>
      </c>
      <c r="AA19" s="595"/>
      <c r="AB19" s="258"/>
      <c r="AC19" s="259"/>
      <c r="AD19" s="227"/>
      <c r="AE19" s="1250"/>
      <c r="AF19" s="1254"/>
      <c r="AG19" s="1254"/>
      <c r="AH19" s="1251"/>
      <c r="AI19" s="1254"/>
      <c r="AJ19" s="1254"/>
      <c r="AK19" s="1254"/>
      <c r="AM19" s="227">
        <f t="shared" si="9"/>
        <v>35195577.344486527</v>
      </c>
      <c r="AP19" s="227">
        <f t="shared" si="10"/>
        <v>774302.70157870359</v>
      </c>
      <c r="AQ19" s="223">
        <f t="shared" si="11"/>
        <v>1583800.9805018937</v>
      </c>
      <c r="AS19" s="227">
        <f t="shared" si="13"/>
        <v>1158659.9189253068</v>
      </c>
      <c r="AU19" s="223">
        <f t="shared" si="1"/>
        <v>38712340.945492432</v>
      </c>
      <c r="AW19" s="223">
        <f t="shared" si="2"/>
        <v>37553681.026567124</v>
      </c>
      <c r="AX19" s="457">
        <f t="shared" si="3"/>
        <v>38712340.945492432</v>
      </c>
      <c r="AY19" s="54"/>
      <c r="AZ19" s="54">
        <v>89617</v>
      </c>
      <c r="BA19" s="54"/>
    </row>
    <row r="20" spans="2:53">
      <c r="B20" s="339" t="s">
        <v>183</v>
      </c>
      <c r="C20" s="602">
        <v>1</v>
      </c>
      <c r="D20" s="226">
        <f>+'INPUT VOL'!J14</f>
        <v>1368.6373396000001</v>
      </c>
      <c r="E20" s="229">
        <f t="shared" si="12"/>
        <v>1373.8579999999999</v>
      </c>
      <c r="F20" s="223"/>
      <c r="G20" s="223"/>
      <c r="H20" s="223"/>
      <c r="I20" s="223"/>
      <c r="J20" s="223"/>
      <c r="K20" s="223"/>
      <c r="L20" s="223"/>
      <c r="M20" s="228"/>
      <c r="N20" s="228"/>
      <c r="O20" s="228"/>
      <c r="P20" s="224"/>
      <c r="Q20" s="253"/>
      <c r="R20" s="227">
        <f t="shared" si="4"/>
        <v>4544009.2769400608</v>
      </c>
      <c r="S20" s="1241">
        <f t="shared" si="0"/>
        <v>1373.8579999999999</v>
      </c>
      <c r="T20" s="1242">
        <v>0.68</v>
      </c>
      <c r="U20" s="1243">
        <f t="shared" si="5"/>
        <v>1684171.3064599999</v>
      </c>
      <c r="V20" s="1244">
        <f t="shared" si="6"/>
        <v>3.5585652447820077E-3</v>
      </c>
      <c r="W20" s="1245">
        <f t="shared" si="7"/>
        <v>2859837.9704800607</v>
      </c>
      <c r="X20" s="1245"/>
      <c r="Y20" s="1245"/>
      <c r="Z20" s="1245">
        <f t="shared" si="8"/>
        <v>4544009.2769400608</v>
      </c>
      <c r="AA20" s="595"/>
      <c r="AB20" s="258"/>
      <c r="AC20" s="259"/>
      <c r="AD20" s="323"/>
      <c r="AE20" s="1250"/>
      <c r="AF20" s="1254"/>
      <c r="AG20" s="1254"/>
      <c r="AH20" s="1251"/>
      <c r="AI20" s="1254"/>
      <c r="AJ20" s="1254"/>
      <c r="AK20" s="1254"/>
      <c r="AM20" s="227">
        <f t="shared" si="9"/>
        <v>4544009.2769400608</v>
      </c>
      <c r="AP20" s="227">
        <f t="shared" si="10"/>
        <v>99968.204092681335</v>
      </c>
      <c r="AQ20" s="223">
        <f t="shared" si="11"/>
        <v>204480.41746230272</v>
      </c>
      <c r="AS20" s="227">
        <f t="shared" si="13"/>
        <v>149591.56285129051</v>
      </c>
      <c r="AU20" s="223">
        <f t="shared" si="1"/>
        <v>4998049.4613463348</v>
      </c>
      <c r="AW20" s="223">
        <f t="shared" si="2"/>
        <v>4848457.8984950446</v>
      </c>
      <c r="AX20" s="457">
        <f t="shared" si="3"/>
        <v>4998049.4613463348</v>
      </c>
      <c r="AY20" s="54"/>
      <c r="AZ20" s="54">
        <v>266541</v>
      </c>
      <c r="BA20" s="54"/>
    </row>
    <row r="21" spans="2:53">
      <c r="B21" s="991" t="s">
        <v>505</v>
      </c>
      <c r="C21" s="602">
        <v>80</v>
      </c>
      <c r="D21" s="226">
        <f>+'INPUT VOL'!J156</f>
        <v>0</v>
      </c>
      <c r="E21" s="229">
        <f>+D21/$G$6</f>
        <v>0</v>
      </c>
      <c r="F21" s="229"/>
      <c r="G21" s="229"/>
      <c r="H21" s="229"/>
      <c r="I21" s="229"/>
      <c r="J21" s="229"/>
      <c r="K21" s="229"/>
      <c r="L21" s="229"/>
      <c r="M21" s="228"/>
      <c r="N21" s="228"/>
      <c r="O21" s="228"/>
      <c r="P21" s="224"/>
      <c r="Q21" s="253"/>
      <c r="R21" s="227">
        <f t="shared" si="4"/>
        <v>0</v>
      </c>
      <c r="S21" s="1241">
        <f t="shared" si="0"/>
        <v>0</v>
      </c>
      <c r="T21" s="1246">
        <v>0.85</v>
      </c>
      <c r="U21" s="1243">
        <f t="shared" si="5"/>
        <v>0</v>
      </c>
      <c r="V21" s="1244">
        <f t="shared" si="6"/>
        <v>0</v>
      </c>
      <c r="W21" s="1245">
        <f t="shared" si="7"/>
        <v>0</v>
      </c>
      <c r="X21" s="1245"/>
      <c r="Y21" s="1245"/>
      <c r="Z21" s="1245">
        <f t="shared" si="8"/>
        <v>0</v>
      </c>
      <c r="AA21" s="595"/>
      <c r="AB21" s="258"/>
      <c r="AC21" s="259"/>
      <c r="AD21" s="323"/>
      <c r="AE21" s="1250"/>
      <c r="AF21" s="1254"/>
      <c r="AG21" s="1254"/>
      <c r="AH21" s="1251"/>
      <c r="AI21" s="1254"/>
      <c r="AJ21" s="1254"/>
      <c r="AK21" s="1254"/>
      <c r="AM21" s="227">
        <f t="shared" si="9"/>
        <v>0</v>
      </c>
      <c r="AP21" s="227">
        <f t="shared" si="10"/>
        <v>0</v>
      </c>
      <c r="AQ21" s="223">
        <f>+AM21*$AQ$5</f>
        <v>0</v>
      </c>
      <c r="AS21" s="227">
        <f t="shared" si="13"/>
        <v>0</v>
      </c>
      <c r="AU21" s="223">
        <f>+AM21+AP21+AQ21+AS21</f>
        <v>0</v>
      </c>
      <c r="AW21" s="223">
        <f t="shared" si="2"/>
        <v>0</v>
      </c>
      <c r="AX21" s="457">
        <f t="shared" si="3"/>
        <v>0</v>
      </c>
      <c r="AY21" s="54"/>
      <c r="AZ21" s="54">
        <v>58250706</v>
      </c>
      <c r="BA21" s="54"/>
    </row>
    <row r="22" spans="2:53">
      <c r="B22" s="991" t="s">
        <v>506</v>
      </c>
      <c r="C22" s="602">
        <v>76</v>
      </c>
      <c r="D22" s="226">
        <f>+'INPUT VOL'!J157</f>
        <v>0</v>
      </c>
      <c r="E22" s="229">
        <f>+D22/$G$6</f>
        <v>0</v>
      </c>
      <c r="F22" s="229"/>
      <c r="G22" s="229"/>
      <c r="H22" s="229"/>
      <c r="I22" s="229"/>
      <c r="J22" s="229"/>
      <c r="K22" s="229"/>
      <c r="L22" s="229"/>
      <c r="M22" s="228"/>
      <c r="N22" s="228"/>
      <c r="O22" s="228"/>
      <c r="P22" s="224"/>
      <c r="Q22" s="253"/>
      <c r="R22" s="227">
        <f t="shared" si="4"/>
        <v>0</v>
      </c>
      <c r="S22" s="1241">
        <f t="shared" si="0"/>
        <v>0</v>
      </c>
      <c r="T22" s="1246">
        <v>0.85</v>
      </c>
      <c r="U22" s="1243">
        <f t="shared" si="5"/>
        <v>0</v>
      </c>
      <c r="V22" s="1244">
        <f t="shared" si="6"/>
        <v>0</v>
      </c>
      <c r="W22" s="1245">
        <f t="shared" si="7"/>
        <v>0</v>
      </c>
      <c r="X22" s="1245"/>
      <c r="Y22" s="1245"/>
      <c r="Z22" s="1245">
        <f t="shared" si="8"/>
        <v>0</v>
      </c>
      <c r="AA22" s="595"/>
      <c r="AB22" s="258"/>
      <c r="AC22" s="259"/>
      <c r="AD22" s="323"/>
      <c r="AE22" s="1250"/>
      <c r="AF22" s="1254"/>
      <c r="AG22" s="1254"/>
      <c r="AH22" s="1251"/>
      <c r="AI22" s="1254"/>
      <c r="AJ22" s="1254"/>
      <c r="AK22" s="1254"/>
      <c r="AM22" s="227">
        <f t="shared" si="9"/>
        <v>0</v>
      </c>
      <c r="AP22" s="227">
        <f t="shared" si="10"/>
        <v>0</v>
      </c>
      <c r="AQ22" s="223">
        <f>+AM22*$AQ$5</f>
        <v>0</v>
      </c>
      <c r="AS22" s="227">
        <f t="shared" si="13"/>
        <v>0</v>
      </c>
      <c r="AU22" s="223">
        <f>+AM22+AP22+AQ22+AS22</f>
        <v>0</v>
      </c>
      <c r="AW22" s="223">
        <f t="shared" si="2"/>
        <v>0</v>
      </c>
      <c r="AX22" s="457">
        <f t="shared" si="3"/>
        <v>0</v>
      </c>
      <c r="AY22" s="54"/>
      <c r="AZ22" s="54">
        <v>345596</v>
      </c>
      <c r="BA22" s="54"/>
    </row>
    <row r="23" spans="2:53">
      <c r="B23" s="991" t="s">
        <v>507</v>
      </c>
      <c r="C23" s="602"/>
      <c r="D23" s="226">
        <f>+'INPUT VOL'!J158</f>
        <v>2589.8266293430056</v>
      </c>
      <c r="E23" s="229">
        <f>+D23/$G$6</f>
        <v>2599.7055102820773</v>
      </c>
      <c r="F23" s="223"/>
      <c r="G23" s="223"/>
      <c r="H23" s="223"/>
      <c r="I23" s="223"/>
      <c r="J23" s="223"/>
      <c r="K23" s="223"/>
      <c r="L23" s="228"/>
      <c r="M23" s="228"/>
      <c r="N23" s="228"/>
      <c r="O23" s="228"/>
      <c r="P23" s="224"/>
      <c r="Q23" s="253"/>
      <c r="R23" s="227">
        <f t="shared" si="4"/>
        <v>9395201.9149356857</v>
      </c>
      <c r="S23" s="1241">
        <f t="shared" si="0"/>
        <v>2599.7055102820773</v>
      </c>
      <c r="T23" s="1246">
        <v>0.85</v>
      </c>
      <c r="U23" s="1243">
        <f t="shared" si="5"/>
        <v>3983626.2423618627</v>
      </c>
      <c r="V23" s="1244">
        <f t="shared" si="6"/>
        <v>6.7337539072874165E-3</v>
      </c>
      <c r="W23" s="1245">
        <f t="shared" si="7"/>
        <v>5411575.6725738235</v>
      </c>
      <c r="X23" s="1245"/>
      <c r="Y23" s="1245"/>
      <c r="Z23" s="1245">
        <f t="shared" si="8"/>
        <v>9395201.9149356857</v>
      </c>
      <c r="AA23" s="595"/>
      <c r="AB23" s="258"/>
      <c r="AC23" s="259"/>
      <c r="AD23" s="323"/>
      <c r="AE23" s="1250"/>
      <c r="AF23" s="1254"/>
      <c r="AG23" s="1254"/>
      <c r="AH23" s="1251"/>
      <c r="AI23" s="1254"/>
      <c r="AJ23" s="1254"/>
      <c r="AK23" s="1254"/>
      <c r="AM23" s="227">
        <f t="shared" si="9"/>
        <v>9395201.9149356857</v>
      </c>
      <c r="AP23" s="227">
        <f t="shared" si="10"/>
        <v>206694.44212858507</v>
      </c>
      <c r="AQ23" s="223">
        <f>+AM23*$AQ$5</f>
        <v>422784.08617210586</v>
      </c>
      <c r="AS23" s="227">
        <f t="shared" si="13"/>
        <v>283067.10754401668</v>
      </c>
      <c r="AU23" s="223">
        <f>+AM23+AP23+AQ23+AS23</f>
        <v>10307747.550780393</v>
      </c>
      <c r="AW23" s="223">
        <f t="shared" si="2"/>
        <v>10024680.443236377</v>
      </c>
      <c r="AX23" s="457">
        <f t="shared" si="3"/>
        <v>10307747.550780393</v>
      </c>
      <c r="AY23" s="54"/>
      <c r="AZ23" s="54">
        <v>1842625</v>
      </c>
      <c r="BA23" s="54"/>
    </row>
    <row r="24" spans="2:53">
      <c r="B24" s="340" t="s">
        <v>39</v>
      </c>
      <c r="C24" s="604">
        <v>28</v>
      </c>
      <c r="D24" s="226">
        <f>+'INPUT VOL'!J15</f>
        <v>3098.2517340000004</v>
      </c>
      <c r="E24" s="229"/>
      <c r="F24" s="229"/>
      <c r="G24" s="229"/>
      <c r="H24" s="229"/>
      <c r="I24" s="229"/>
      <c r="J24" s="229">
        <f t="shared" ref="J24:J40" si="14">+D24/$G$6</f>
        <v>3110.07</v>
      </c>
      <c r="K24" s="229"/>
      <c r="M24" s="229"/>
      <c r="N24" s="229"/>
      <c r="O24" s="229"/>
      <c r="P24" s="238"/>
      <c r="Q24" s="263"/>
      <c r="R24" s="227">
        <f t="shared" si="4"/>
        <v>11239632.91381168</v>
      </c>
      <c r="S24" s="1241">
        <f t="shared" si="0"/>
        <v>3110.07</v>
      </c>
      <c r="T24" s="1246">
        <v>0.85</v>
      </c>
      <c r="U24" s="1243">
        <f t="shared" si="5"/>
        <v>4765676.8886249997</v>
      </c>
      <c r="V24" s="1244">
        <f t="shared" si="6"/>
        <v>8.0556993596421021E-3</v>
      </c>
      <c r="W24" s="1245">
        <f t="shared" si="7"/>
        <v>6473956.0251866812</v>
      </c>
      <c r="X24" s="1245"/>
      <c r="Y24" s="1245"/>
      <c r="Z24" s="1245">
        <f t="shared" si="8"/>
        <v>11239632.91381168</v>
      </c>
      <c r="AA24" s="595"/>
      <c r="AB24" s="258"/>
      <c r="AC24" s="259"/>
      <c r="AD24" s="227"/>
      <c r="AE24" s="1250"/>
      <c r="AF24" s="1254"/>
      <c r="AG24" s="1254"/>
      <c r="AH24" s="1251"/>
      <c r="AI24" s="1254"/>
      <c r="AJ24" s="1254"/>
      <c r="AK24" s="1254"/>
      <c r="AM24" s="227">
        <f t="shared" si="9"/>
        <v>11239632.91381168</v>
      </c>
      <c r="AP24" s="227">
        <f t="shared" si="10"/>
        <v>247271.92410385693</v>
      </c>
      <c r="AQ24" s="223">
        <f t="shared" ref="AQ24:AQ40" si="15">+AM24*$AQ$5</f>
        <v>505783.48112152558</v>
      </c>
      <c r="AS24" s="285">
        <f t="shared" si="13"/>
        <v>338637.78634830751</v>
      </c>
      <c r="AU24" s="223">
        <f t="shared" ref="AU24:AU40" si="16">+AM24+AP24+AQ24+AS24</f>
        <v>12331326.105385369</v>
      </c>
      <c r="AW24" s="223">
        <f t="shared" si="2"/>
        <v>11992688.319037061</v>
      </c>
      <c r="AX24" s="457">
        <f t="shared" si="3"/>
        <v>12331326.105385369</v>
      </c>
      <c r="AY24" s="54"/>
      <c r="AZ24" s="54">
        <v>20307202</v>
      </c>
      <c r="BA24" s="54"/>
    </row>
    <row r="25" spans="2:53">
      <c r="B25" s="340" t="s">
        <v>40</v>
      </c>
      <c r="C25" s="604">
        <v>29</v>
      </c>
      <c r="D25" s="226">
        <f>+'INPUT VOL'!J16</f>
        <v>1850.3219560000002</v>
      </c>
      <c r="E25" s="229"/>
      <c r="F25" s="229"/>
      <c r="G25" s="229"/>
      <c r="H25" s="229"/>
      <c r="I25" s="229"/>
      <c r="J25" s="229">
        <f t="shared" si="14"/>
        <v>1857.38</v>
      </c>
      <c r="K25" s="229"/>
      <c r="L25" s="229"/>
      <c r="M25" s="229"/>
      <c r="N25" s="229"/>
      <c r="O25" s="229"/>
      <c r="P25" s="238"/>
      <c r="Q25" s="263"/>
      <c r="R25" s="227">
        <f t="shared" si="4"/>
        <v>6712475.7260947637</v>
      </c>
      <c r="S25" s="1241">
        <f t="shared" si="0"/>
        <v>1857.38</v>
      </c>
      <c r="T25" s="1246">
        <v>0.85</v>
      </c>
      <c r="U25" s="1243">
        <f t="shared" si="5"/>
        <v>2846133.02575</v>
      </c>
      <c r="V25" s="1244">
        <f t="shared" si="6"/>
        <v>4.8109833143987271E-3</v>
      </c>
      <c r="W25" s="1245">
        <f t="shared" si="7"/>
        <v>3866342.7003447637</v>
      </c>
      <c r="X25" s="1245"/>
      <c r="Y25" s="1245"/>
      <c r="Z25" s="1245">
        <f t="shared" si="8"/>
        <v>6712475.7260947637</v>
      </c>
      <c r="AA25" s="595"/>
      <c r="AB25" s="258"/>
      <c r="AC25" s="259"/>
      <c r="AD25" s="227"/>
      <c r="AE25" s="1250"/>
      <c r="AF25" s="1254"/>
      <c r="AG25" s="1254"/>
      <c r="AH25" s="1251"/>
      <c r="AI25" s="1254"/>
      <c r="AJ25" s="1254"/>
      <c r="AK25" s="1254"/>
      <c r="AM25" s="227">
        <f t="shared" si="9"/>
        <v>6712475.7260947637</v>
      </c>
      <c r="AP25" s="227">
        <f t="shared" si="10"/>
        <v>147674.4659740848</v>
      </c>
      <c r="AQ25" s="223">
        <f t="shared" si="15"/>
        <v>302061.40767426434</v>
      </c>
      <c r="AS25" s="285">
        <f t="shared" si="13"/>
        <v>202239.51602620503</v>
      </c>
      <c r="AU25" s="223">
        <f t="shared" si="16"/>
        <v>7364451.1157693183</v>
      </c>
      <c r="AW25" s="223">
        <f t="shared" si="2"/>
        <v>7162211.5997431129</v>
      </c>
      <c r="AX25" s="457">
        <f t="shared" si="3"/>
        <v>7364451.1157693183</v>
      </c>
      <c r="AY25" s="54"/>
      <c r="AZ25" s="54">
        <v>19929839</v>
      </c>
      <c r="BA25" s="54"/>
    </row>
    <row r="26" spans="2:53">
      <c r="B26" s="340" t="s">
        <v>41</v>
      </c>
      <c r="C26" s="604">
        <v>26</v>
      </c>
      <c r="D26" s="226">
        <f>+'INPUT VOL'!J17</f>
        <v>5597.1434299883522</v>
      </c>
      <c r="E26" s="229"/>
      <c r="F26" s="229"/>
      <c r="G26" s="229"/>
      <c r="H26" s="229"/>
      <c r="I26" s="229"/>
      <c r="J26" s="229">
        <f t="shared" si="14"/>
        <v>5618.4937060714228</v>
      </c>
      <c r="K26" s="229"/>
      <c r="L26" s="229"/>
      <c r="M26" s="229"/>
      <c r="N26" s="229"/>
      <c r="O26" s="229"/>
      <c r="P26" s="238"/>
      <c r="Q26" s="263"/>
      <c r="R26" s="227">
        <f t="shared" si="4"/>
        <v>20304947.086337008</v>
      </c>
      <c r="S26" s="1241">
        <f t="shared" si="0"/>
        <v>5618.4937060714228</v>
      </c>
      <c r="T26" s="1246">
        <v>0.85</v>
      </c>
      <c r="U26" s="1243">
        <f t="shared" si="5"/>
        <v>8609428.5993272197</v>
      </c>
      <c r="V26" s="1244">
        <f t="shared" si="6"/>
        <v>1.4553015253725075E-2</v>
      </c>
      <c r="W26" s="1245">
        <f t="shared" si="7"/>
        <v>11695518.48700979</v>
      </c>
      <c r="X26" s="1245"/>
      <c r="Y26" s="1245"/>
      <c r="Z26" s="1245">
        <f t="shared" si="8"/>
        <v>20304947.086337008</v>
      </c>
      <c r="AA26" s="595"/>
      <c r="AB26" s="258"/>
      <c r="AC26" s="259"/>
      <c r="AD26" s="227"/>
      <c r="AE26" s="1250"/>
      <c r="AF26" s="1254"/>
      <c r="AG26" s="1254"/>
      <c r="AH26" s="1251"/>
      <c r="AI26" s="1254"/>
      <c r="AJ26" s="1254"/>
      <c r="AK26" s="1254"/>
      <c r="AM26" s="227">
        <f t="shared" si="9"/>
        <v>20304947.086337008</v>
      </c>
      <c r="AP26" s="227">
        <f t="shared" si="10"/>
        <v>446708.83589941415</v>
      </c>
      <c r="AQ26" s="223">
        <f t="shared" si="15"/>
        <v>913722.61888516531</v>
      </c>
      <c r="AS26" s="285">
        <f t="shared" si="13"/>
        <v>611765.73878913489</v>
      </c>
      <c r="AU26" s="223">
        <f t="shared" si="16"/>
        <v>22277144.279910721</v>
      </c>
      <c r="AW26" s="223">
        <f t="shared" si="2"/>
        <v>21665378.541121587</v>
      </c>
      <c r="AX26" s="457">
        <f t="shared" si="3"/>
        <v>22277144.279910721</v>
      </c>
      <c r="AY26" s="54"/>
      <c r="AZ26" s="54">
        <v>1696133</v>
      </c>
      <c r="BA26" s="54"/>
    </row>
    <row r="27" spans="2:53">
      <c r="B27" s="340" t="s">
        <v>42</v>
      </c>
      <c r="C27" s="604">
        <v>37</v>
      </c>
      <c r="D27" s="226">
        <f>+'INPUT VOL'!J18</f>
        <v>1178.4647520000001</v>
      </c>
      <c r="E27" s="229"/>
      <c r="F27" s="229"/>
      <c r="G27" s="229"/>
      <c r="H27" s="229"/>
      <c r="I27" s="229"/>
      <c r="J27" s="229">
        <f t="shared" si="14"/>
        <v>1182.96</v>
      </c>
      <c r="K27" s="229"/>
      <c r="L27" s="229"/>
      <c r="M27" s="229"/>
      <c r="N27" s="229"/>
      <c r="O27" s="229"/>
      <c r="P27" s="238"/>
      <c r="Q27" s="263"/>
      <c r="R27" s="227">
        <f t="shared" si="4"/>
        <v>4275156.5565156629</v>
      </c>
      <c r="S27" s="1241">
        <f t="shared" si="0"/>
        <v>1182.96</v>
      </c>
      <c r="T27" s="1246">
        <v>0.85</v>
      </c>
      <c r="U27" s="1243">
        <f t="shared" si="5"/>
        <v>1812693.969</v>
      </c>
      <c r="V27" s="1244">
        <f t="shared" si="6"/>
        <v>3.064101487902916E-3</v>
      </c>
      <c r="W27" s="1245">
        <f t="shared" si="7"/>
        <v>2462462.5875156629</v>
      </c>
      <c r="X27" s="1245"/>
      <c r="Y27" s="1245"/>
      <c r="Z27" s="1245">
        <f t="shared" si="8"/>
        <v>4275156.5565156629</v>
      </c>
      <c r="AA27" s="595"/>
      <c r="AB27" s="258"/>
      <c r="AC27" s="259"/>
      <c r="AD27" s="227"/>
      <c r="AE27" s="1250"/>
      <c r="AF27" s="1254"/>
      <c r="AG27" s="1254"/>
      <c r="AH27" s="1251"/>
      <c r="AI27" s="1254"/>
      <c r="AJ27" s="1254"/>
      <c r="AK27" s="1254"/>
      <c r="AM27" s="227">
        <f t="shared" si="9"/>
        <v>4275156.5565156629</v>
      </c>
      <c r="AP27" s="227">
        <f t="shared" si="10"/>
        <v>94053.44424334458</v>
      </c>
      <c r="AQ27" s="223">
        <f t="shared" si="15"/>
        <v>192382.04504320482</v>
      </c>
      <c r="AS27" s="285">
        <f t="shared" si="13"/>
        <v>128805.76827486001</v>
      </c>
      <c r="AU27" s="223">
        <f t="shared" si="16"/>
        <v>4690397.8140770728</v>
      </c>
      <c r="AW27" s="223">
        <f t="shared" si="2"/>
        <v>4561592.0458022123</v>
      </c>
      <c r="AX27" s="457">
        <f t="shared" si="3"/>
        <v>4690397.8140770728</v>
      </c>
      <c r="AY27" s="54"/>
      <c r="AZ27" s="54">
        <v>4182936</v>
      </c>
      <c r="BA27" s="54"/>
    </row>
    <row r="28" spans="2:53">
      <c r="B28" s="340" t="s">
        <v>43</v>
      </c>
      <c r="C28" s="604">
        <v>15</v>
      </c>
      <c r="D28" s="226">
        <f>+'INPUT VOL'!J19</f>
        <v>1736.8149280000002</v>
      </c>
      <c r="E28" s="229"/>
      <c r="F28" s="229"/>
      <c r="G28" s="229"/>
      <c r="H28" s="229"/>
      <c r="I28" s="229"/>
      <c r="J28" s="229">
        <f t="shared" si="14"/>
        <v>1743.44</v>
      </c>
      <c r="K28" s="229"/>
      <c r="L28" s="229"/>
      <c r="M28" s="229"/>
      <c r="N28" s="229"/>
      <c r="O28" s="229"/>
      <c r="P28" s="238"/>
      <c r="Q28" s="263"/>
      <c r="R28" s="227">
        <f t="shared" si="4"/>
        <v>6300702.4302526433</v>
      </c>
      <c r="S28" s="1241">
        <f t="shared" si="0"/>
        <v>1743.44</v>
      </c>
      <c r="T28" s="1246">
        <v>0.85</v>
      </c>
      <c r="U28" s="1243">
        <f t="shared" si="5"/>
        <v>2671538.4909999999</v>
      </c>
      <c r="V28" s="1244">
        <f t="shared" si="6"/>
        <v>4.5158560712699157E-3</v>
      </c>
      <c r="W28" s="1245">
        <f t="shared" si="7"/>
        <v>3629163.9392526429</v>
      </c>
      <c r="X28" s="1245"/>
      <c r="Y28" s="1245"/>
      <c r="Z28" s="1245">
        <f t="shared" si="8"/>
        <v>6300702.4302526433</v>
      </c>
      <c r="AA28" s="595"/>
      <c r="AB28" s="258"/>
      <c r="AC28" s="259"/>
      <c r="AD28" s="227"/>
      <c r="AE28" s="1250"/>
      <c r="AF28" s="1254"/>
      <c r="AG28" s="1254"/>
      <c r="AH28" s="1251"/>
      <c r="AI28" s="1254"/>
      <c r="AJ28" s="1254"/>
      <c r="AK28" s="1254"/>
      <c r="AM28" s="227">
        <f t="shared" si="9"/>
        <v>6300702.4302526433</v>
      </c>
      <c r="AP28" s="227">
        <f t="shared" si="10"/>
        <v>138615.45346555815</v>
      </c>
      <c r="AQ28" s="223">
        <f t="shared" si="15"/>
        <v>283531.60936136893</v>
      </c>
      <c r="AS28" s="285">
        <f t="shared" si="13"/>
        <v>189833.23919754001</v>
      </c>
      <c r="AU28" s="223">
        <f t="shared" si="16"/>
        <v>6912682.7322771112</v>
      </c>
      <c r="AW28" s="223">
        <f t="shared" si="2"/>
        <v>6722849.4930795711</v>
      </c>
      <c r="AX28" s="457">
        <f t="shared" si="3"/>
        <v>6912682.7322771112</v>
      </c>
      <c r="AY28" s="54"/>
      <c r="AZ28" s="54">
        <v>9052797</v>
      </c>
      <c r="BA28" s="54"/>
    </row>
    <row r="29" spans="2:53">
      <c r="B29" s="340" t="s">
        <v>44</v>
      </c>
      <c r="C29" s="604">
        <v>17</v>
      </c>
      <c r="D29" s="226">
        <f>+'INPUT VOL'!J20</f>
        <v>1226.6409840000001</v>
      </c>
      <c r="E29" s="229"/>
      <c r="F29" s="229"/>
      <c r="G29" s="229"/>
      <c r="H29" s="229"/>
      <c r="I29" s="229"/>
      <c r="J29" s="229">
        <f t="shared" si="14"/>
        <v>1231.32</v>
      </c>
      <c r="K29" s="229"/>
      <c r="L29" s="229"/>
      <c r="M29" s="229"/>
      <c r="N29" s="229"/>
      <c r="O29" s="229"/>
      <c r="P29" s="238"/>
      <c r="Q29" s="263"/>
      <c r="R29" s="227">
        <f t="shared" si="4"/>
        <v>4449927.1075681895</v>
      </c>
      <c r="S29" s="1241">
        <f t="shared" si="0"/>
        <v>1231.32</v>
      </c>
      <c r="T29" s="1246">
        <v>0.85</v>
      </c>
      <c r="U29" s="1243">
        <f t="shared" si="5"/>
        <v>1886797.8104999997</v>
      </c>
      <c r="V29" s="1244">
        <f t="shared" si="6"/>
        <v>3.18936349841467E-3</v>
      </c>
      <c r="W29" s="1245">
        <f t="shared" si="7"/>
        <v>2563129.2970681894</v>
      </c>
      <c r="X29" s="1245"/>
      <c r="Y29" s="1245"/>
      <c r="Z29" s="1245">
        <f t="shared" si="8"/>
        <v>4449927.1075681895</v>
      </c>
      <c r="AA29" s="595"/>
      <c r="AB29" s="258"/>
      <c r="AC29" s="259"/>
      <c r="AD29" s="227"/>
      <c r="AE29" s="1250"/>
      <c r="AF29" s="1254"/>
      <c r="AG29" s="1254"/>
      <c r="AH29" s="1251"/>
      <c r="AI29" s="1254"/>
      <c r="AJ29" s="1254"/>
      <c r="AK29" s="1254"/>
      <c r="AM29" s="227">
        <f t="shared" si="9"/>
        <v>4449927.1075681895</v>
      </c>
      <c r="AP29" s="227">
        <f t="shared" si="10"/>
        <v>97898.396366500165</v>
      </c>
      <c r="AQ29" s="223">
        <f t="shared" si="15"/>
        <v>200246.71984056852</v>
      </c>
      <c r="AS29" s="285">
        <f t="shared" si="13"/>
        <v>134071.41288987</v>
      </c>
      <c r="AU29" s="223">
        <f t="shared" si="16"/>
        <v>4882143.6366651282</v>
      </c>
      <c r="AW29" s="223">
        <f t="shared" si="2"/>
        <v>4748072.2237752583</v>
      </c>
      <c r="AX29" s="457">
        <f t="shared" si="3"/>
        <v>4882143.6366651282</v>
      </c>
      <c r="AZ29" s="54">
        <v>3803353</v>
      </c>
      <c r="BA29" s="54"/>
    </row>
    <row r="30" spans="2:53">
      <c r="B30" s="340" t="s">
        <v>45</v>
      </c>
      <c r="C30" s="604">
        <v>17</v>
      </c>
      <c r="D30" s="226">
        <f>+'INPUT VOL'!J21</f>
        <v>228.84945488000005</v>
      </c>
      <c r="E30" s="229"/>
      <c r="F30" s="229"/>
      <c r="G30" s="229"/>
      <c r="H30" s="229"/>
      <c r="I30" s="229"/>
      <c r="J30" s="229">
        <f t="shared" si="14"/>
        <v>229.72240000000002</v>
      </c>
      <c r="K30" s="229"/>
      <c r="L30" s="229"/>
      <c r="M30" s="229"/>
      <c r="N30" s="229"/>
      <c r="O30" s="229"/>
      <c r="P30" s="238"/>
      <c r="Q30" s="263"/>
      <c r="R30" s="227">
        <f t="shared" si="4"/>
        <v>830204.93046131206</v>
      </c>
      <c r="S30" s="1241">
        <f t="shared" si="0"/>
        <v>229.72240000000002</v>
      </c>
      <c r="T30" s="1246">
        <v>0.85</v>
      </c>
      <c r="U30" s="1243">
        <f t="shared" si="5"/>
        <v>352012.24811000004</v>
      </c>
      <c r="V30" s="1244">
        <f t="shared" si="6"/>
        <v>5.9502666839506729E-4</v>
      </c>
      <c r="W30" s="1245">
        <f t="shared" si="7"/>
        <v>478192.68235131202</v>
      </c>
      <c r="X30" s="1245"/>
      <c r="Y30" s="1245"/>
      <c r="Z30" s="1245">
        <f t="shared" si="8"/>
        <v>830204.93046131206</v>
      </c>
      <c r="AA30" s="595"/>
      <c r="AB30" s="258"/>
      <c r="AC30" s="259"/>
      <c r="AD30" s="227"/>
      <c r="AE30" s="1250"/>
      <c r="AF30" s="1254"/>
      <c r="AG30" s="1254"/>
      <c r="AH30" s="1251"/>
      <c r="AI30" s="1254"/>
      <c r="AJ30" s="1254"/>
      <c r="AK30" s="1254"/>
      <c r="AM30" s="227">
        <f t="shared" si="9"/>
        <v>830204.93046131206</v>
      </c>
      <c r="AP30" s="227">
        <f t="shared" si="10"/>
        <v>18264.508470148863</v>
      </c>
      <c r="AQ30" s="223">
        <f t="shared" si="15"/>
        <v>37359.221870759044</v>
      </c>
      <c r="AS30" s="285">
        <f t="shared" si="13"/>
        <v>25013.162086583405</v>
      </c>
      <c r="AU30" s="223">
        <f t="shared" si="16"/>
        <v>910841.82288880344</v>
      </c>
      <c r="AW30" s="223">
        <f t="shared" si="2"/>
        <v>885828.66080221999</v>
      </c>
      <c r="AX30" s="457">
        <f t="shared" si="3"/>
        <v>910841.82288880344</v>
      </c>
      <c r="AZ30" s="54">
        <v>429961</v>
      </c>
      <c r="BA30" s="54"/>
    </row>
    <row r="31" spans="2:53">
      <c r="B31" s="340" t="s">
        <v>46</v>
      </c>
      <c r="C31" s="604">
        <v>16</v>
      </c>
      <c r="D31" s="226">
        <f>+'INPUT VOL'!J22</f>
        <v>5738.1518480000004</v>
      </c>
      <c r="E31" s="229"/>
      <c r="F31" s="229"/>
      <c r="G31" s="229"/>
      <c r="H31" s="229"/>
      <c r="I31" s="229"/>
      <c r="J31" s="229">
        <f t="shared" si="14"/>
        <v>5760.04</v>
      </c>
      <c r="K31" s="229"/>
      <c r="L31" s="229"/>
      <c r="M31" s="229"/>
      <c r="N31" s="229"/>
      <c r="O31" s="229"/>
      <c r="P31" s="238"/>
      <c r="Q31" s="263"/>
      <c r="R31" s="227">
        <f t="shared" si="4"/>
        <v>20816488.10762196</v>
      </c>
      <c r="S31" s="1241">
        <f t="shared" si="0"/>
        <v>5760.04</v>
      </c>
      <c r="T31" s="1246">
        <v>0.85</v>
      </c>
      <c r="U31" s="1243">
        <f t="shared" si="5"/>
        <v>8826325.2934999987</v>
      </c>
      <c r="V31" s="1244">
        <f t="shared" si="6"/>
        <v>1.4919648284287136E-2</v>
      </c>
      <c r="W31" s="1245">
        <f t="shared" si="7"/>
        <v>11990162.814121962</v>
      </c>
      <c r="X31" s="1245"/>
      <c r="Y31" s="1245"/>
      <c r="Z31" s="1245">
        <f t="shared" si="8"/>
        <v>20816488.10762196</v>
      </c>
      <c r="AA31" s="595"/>
      <c r="AB31" s="258"/>
      <c r="AC31" s="259"/>
      <c r="AD31" s="227"/>
      <c r="AE31" s="1250"/>
      <c r="AF31" s="1254"/>
      <c r="AG31" s="1254"/>
      <c r="AH31" s="1251"/>
      <c r="AI31" s="1254"/>
      <c r="AJ31" s="1254"/>
      <c r="AK31" s="1254"/>
      <c r="AM31" s="227">
        <f t="shared" si="9"/>
        <v>20816488.10762196</v>
      </c>
      <c r="AP31" s="227">
        <f t="shared" si="10"/>
        <v>457962.73836768308</v>
      </c>
      <c r="AQ31" s="223">
        <f t="shared" si="15"/>
        <v>936741.96484298818</v>
      </c>
      <c r="AS31" s="285">
        <f t="shared" si="13"/>
        <v>627177.90753188997</v>
      </c>
      <c r="AU31" s="223">
        <f t="shared" si="16"/>
        <v>22838370.718364526</v>
      </c>
      <c r="AW31" s="223">
        <f t="shared" si="2"/>
        <v>22211192.810832635</v>
      </c>
      <c r="AX31" s="457">
        <f t="shared" si="3"/>
        <v>22838370.718364526</v>
      </c>
      <c r="AY31" s="54"/>
      <c r="AZ31" s="54">
        <v>8616215</v>
      </c>
      <c r="BA31" s="54"/>
    </row>
    <row r="32" spans="2:53">
      <c r="B32" s="340" t="s">
        <v>47</v>
      </c>
      <c r="C32" s="604">
        <v>16</v>
      </c>
      <c r="D32" s="226">
        <f>+'INPUT VOL'!J23</f>
        <v>4482.9000000000005</v>
      </c>
      <c r="E32" s="229"/>
      <c r="F32" s="229"/>
      <c r="G32" s="229"/>
      <c r="H32" s="229"/>
      <c r="I32" s="229"/>
      <c r="J32" s="229">
        <f t="shared" si="14"/>
        <v>4500</v>
      </c>
      <c r="K32" s="229"/>
      <c r="L32" s="229"/>
      <c r="M32" s="229"/>
      <c r="N32" s="229"/>
      <c r="O32" s="229"/>
      <c r="P32" s="238"/>
      <c r="Q32" s="263"/>
      <c r="R32" s="227">
        <f t="shared" si="4"/>
        <v>16262768.398188004</v>
      </c>
      <c r="S32" s="1241">
        <f t="shared" si="0"/>
        <v>4500</v>
      </c>
      <c r="T32" s="1246">
        <v>0.85</v>
      </c>
      <c r="U32" s="1243">
        <f t="shared" si="5"/>
        <v>6895518.75</v>
      </c>
      <c r="V32" s="1244">
        <f t="shared" si="6"/>
        <v>1.1655894278389058E-2</v>
      </c>
      <c r="W32" s="1245">
        <f t="shared" si="7"/>
        <v>9367249.6481880043</v>
      </c>
      <c r="X32" s="1245"/>
      <c r="Y32" s="1245"/>
      <c r="Z32" s="1245">
        <f t="shared" si="8"/>
        <v>16262768.398188004</v>
      </c>
      <c r="AA32" s="595"/>
      <c r="AB32" s="258"/>
      <c r="AC32" s="259"/>
      <c r="AD32" s="227"/>
      <c r="AE32" s="1250"/>
      <c r="AF32" s="1254"/>
      <c r="AG32" s="1254"/>
      <c r="AH32" s="1251"/>
      <c r="AI32" s="1254"/>
      <c r="AJ32" s="1254"/>
      <c r="AK32" s="1254"/>
      <c r="AM32" s="227">
        <f t="shared" si="9"/>
        <v>16262768.398188004</v>
      </c>
      <c r="AP32" s="227">
        <f t="shared" si="10"/>
        <v>357780.90476013609</v>
      </c>
      <c r="AQ32" s="223">
        <f t="shared" si="15"/>
        <v>731824.57791846013</v>
      </c>
      <c r="AS32" s="285">
        <f t="shared" si="13"/>
        <v>489979.33762499999</v>
      </c>
      <c r="AU32" s="223">
        <f t="shared" si="16"/>
        <v>17842353.218491599</v>
      </c>
      <c r="AW32" s="223">
        <f t="shared" si="2"/>
        <v>17352373.880866598</v>
      </c>
      <c r="AX32" s="457">
        <f t="shared" si="3"/>
        <v>17842353.218491599</v>
      </c>
      <c r="AY32" s="54"/>
      <c r="AZ32" s="54">
        <v>3402208</v>
      </c>
      <c r="BA32" s="54"/>
    </row>
    <row r="33" spans="2:53">
      <c r="B33" s="340" t="s">
        <v>48</v>
      </c>
      <c r="C33" s="604">
        <v>31</v>
      </c>
      <c r="D33" s="226">
        <f>+'INPUT VOL'!J24</f>
        <v>549.70316000000003</v>
      </c>
      <c r="E33" s="229"/>
      <c r="F33" s="229"/>
      <c r="G33" s="229"/>
      <c r="H33" s="229"/>
      <c r="I33" s="229"/>
      <c r="J33" s="229">
        <f t="shared" si="14"/>
        <v>551.79999999999995</v>
      </c>
      <c r="K33" s="229"/>
      <c r="L33" s="229"/>
      <c r="M33" s="229"/>
      <c r="N33" s="229"/>
      <c r="O33" s="229"/>
      <c r="P33" s="238"/>
      <c r="Q33" s="263"/>
      <c r="R33" s="227">
        <f t="shared" si="4"/>
        <v>1994176.8004711419</v>
      </c>
      <c r="S33" s="1241">
        <f t="shared" si="0"/>
        <v>551.79999999999995</v>
      </c>
      <c r="T33" s="1246">
        <v>0.85</v>
      </c>
      <c r="U33" s="1243">
        <f t="shared" si="5"/>
        <v>845543.8324999999</v>
      </c>
      <c r="V33" s="1244">
        <f t="shared" si="6"/>
        <v>1.4292716584033516E-3</v>
      </c>
      <c r="W33" s="1245">
        <f t="shared" si="7"/>
        <v>1148632.9679711421</v>
      </c>
      <c r="X33" s="1245"/>
      <c r="Y33" s="1245"/>
      <c r="Z33" s="1245">
        <f t="shared" si="8"/>
        <v>1994176.8004711419</v>
      </c>
      <c r="AA33" s="595"/>
      <c r="AB33" s="258"/>
      <c r="AC33" s="259"/>
      <c r="AD33" s="227"/>
      <c r="AE33" s="1250"/>
      <c r="AF33" s="1254"/>
      <c r="AG33" s="1254"/>
      <c r="AH33" s="1251"/>
      <c r="AI33" s="1254"/>
      <c r="AJ33" s="1254"/>
      <c r="AK33" s="1254"/>
      <c r="AM33" s="227">
        <f t="shared" si="9"/>
        <v>1994176.8004711419</v>
      </c>
      <c r="AP33" s="227">
        <f t="shared" si="10"/>
        <v>43871.88961036512</v>
      </c>
      <c r="AQ33" s="223">
        <f t="shared" si="15"/>
        <v>89737.956021201389</v>
      </c>
      <c r="AS33" s="285">
        <f t="shared" si="13"/>
        <v>60082.355222550003</v>
      </c>
      <c r="AU33" s="223">
        <f t="shared" si="16"/>
        <v>2187869.0013252585</v>
      </c>
      <c r="AW33" s="223">
        <f t="shared" si="2"/>
        <v>2127786.6461027083</v>
      </c>
      <c r="AX33" s="457">
        <f t="shared" si="3"/>
        <v>2187869.0013252585</v>
      </c>
      <c r="AY33" s="54"/>
      <c r="AZ33" s="54">
        <v>432805</v>
      </c>
      <c r="BA33" s="54"/>
    </row>
    <row r="34" spans="2:53">
      <c r="B34" s="340" t="s">
        <v>49</v>
      </c>
      <c r="C34" s="604">
        <v>33</v>
      </c>
      <c r="D34" s="226">
        <f>+'INPUT VOL'!J25</f>
        <v>1636.7566000000002</v>
      </c>
      <c r="E34" s="229"/>
      <c r="F34" s="229"/>
      <c r="G34" s="229"/>
      <c r="H34" s="229"/>
      <c r="I34" s="229"/>
      <c r="J34" s="229">
        <f t="shared" si="14"/>
        <v>1643</v>
      </c>
      <c r="K34" s="229"/>
      <c r="L34" s="229"/>
      <c r="M34" s="229"/>
      <c r="N34" s="229"/>
      <c r="O34" s="229"/>
      <c r="P34" s="238"/>
      <c r="Q34" s="263"/>
      <c r="R34" s="227">
        <f t="shared" si="4"/>
        <v>5937717.439605087</v>
      </c>
      <c r="S34" s="1241">
        <f t="shared" si="0"/>
        <v>1643</v>
      </c>
      <c r="T34" s="1246">
        <v>0.85</v>
      </c>
      <c r="U34" s="1243">
        <f t="shared" si="5"/>
        <v>2517630.5124999997</v>
      </c>
      <c r="V34" s="1244">
        <f t="shared" si="6"/>
        <v>4.2556965109762724E-3</v>
      </c>
      <c r="W34" s="1245">
        <f t="shared" si="7"/>
        <v>3420086.9271050873</v>
      </c>
      <c r="X34" s="1245"/>
      <c r="Y34" s="1245"/>
      <c r="Z34" s="1245">
        <f t="shared" si="8"/>
        <v>5937717.439605087</v>
      </c>
      <c r="AA34" s="595"/>
      <c r="AB34" s="258"/>
      <c r="AC34" s="259"/>
      <c r="AD34" s="227"/>
      <c r="AE34" s="1250"/>
      <c r="AF34" s="1254"/>
      <c r="AG34" s="1254"/>
      <c r="AH34" s="1251"/>
      <c r="AI34" s="1254"/>
      <c r="AJ34" s="1254"/>
      <c r="AK34" s="1254"/>
      <c r="AM34" s="227">
        <f t="shared" si="9"/>
        <v>5937717.439605087</v>
      </c>
      <c r="AP34" s="227">
        <f t="shared" si="10"/>
        <v>130629.7836713119</v>
      </c>
      <c r="AQ34" s="223">
        <f t="shared" si="15"/>
        <v>267197.28478222893</v>
      </c>
      <c r="AS34" s="285">
        <f t="shared" si="13"/>
        <v>178896.90038174999</v>
      </c>
      <c r="AU34" s="223">
        <f t="shared" si="16"/>
        <v>6514441.4084403785</v>
      </c>
      <c r="AW34" s="223">
        <f t="shared" si="2"/>
        <v>6335544.5080586281</v>
      </c>
      <c r="AX34" s="457">
        <f t="shared" si="3"/>
        <v>6514441.4084403785</v>
      </c>
      <c r="AY34" s="54"/>
      <c r="AZ34" s="54">
        <v>748991</v>
      </c>
      <c r="BA34" s="54"/>
    </row>
    <row r="35" spans="2:53">
      <c r="B35" s="340" t="s">
        <v>50</v>
      </c>
      <c r="C35" s="604">
        <v>32</v>
      </c>
      <c r="D35" s="226">
        <f>+'INPUT VOL'!J26</f>
        <v>2789.2803040000003</v>
      </c>
      <c r="E35" s="229"/>
      <c r="F35" s="229"/>
      <c r="G35" s="229"/>
      <c r="H35" s="229"/>
      <c r="I35" s="229"/>
      <c r="J35" s="229">
        <f t="shared" si="14"/>
        <v>2799.92</v>
      </c>
      <c r="K35" s="229"/>
      <c r="L35" s="229"/>
      <c r="M35" s="229"/>
      <c r="N35" s="229"/>
      <c r="O35" s="229"/>
      <c r="P35" s="238"/>
      <c r="Q35" s="263"/>
      <c r="R35" s="227">
        <f t="shared" si="4"/>
        <v>10118766.776323235</v>
      </c>
      <c r="S35" s="1241">
        <f t="shared" si="0"/>
        <v>2799.92</v>
      </c>
      <c r="T35" s="1246">
        <v>0.85</v>
      </c>
      <c r="U35" s="1243">
        <f t="shared" si="5"/>
        <v>4290422.4129999997</v>
      </c>
      <c r="V35" s="1244">
        <f t="shared" si="6"/>
        <v>7.2523492239882437E-3</v>
      </c>
      <c r="W35" s="1245">
        <f t="shared" si="7"/>
        <v>5828344.363323235</v>
      </c>
      <c r="X35" s="1245"/>
      <c r="Y35" s="1245"/>
      <c r="Z35" s="1245">
        <f t="shared" si="8"/>
        <v>10118766.776323235</v>
      </c>
      <c r="AA35" s="595"/>
      <c r="AB35" s="258"/>
      <c r="AC35" s="259"/>
      <c r="AD35" s="227"/>
      <c r="AE35" s="1250"/>
      <c r="AF35" s="1254"/>
      <c r="AG35" s="1254"/>
      <c r="AH35" s="1251"/>
      <c r="AI35" s="1254"/>
      <c r="AJ35" s="1254"/>
      <c r="AK35" s="1254"/>
      <c r="AM35" s="227">
        <f t="shared" si="9"/>
        <v>10118766.776323235</v>
      </c>
      <c r="AP35" s="227">
        <f t="shared" si="10"/>
        <v>222612.86907911114</v>
      </c>
      <c r="AQ35" s="223">
        <f t="shared" si="15"/>
        <v>455344.50493454555</v>
      </c>
      <c r="AS35" s="285">
        <f t="shared" si="13"/>
        <v>304867.32155622001</v>
      </c>
      <c r="AU35" s="223">
        <f t="shared" si="16"/>
        <v>11101591.471893111</v>
      </c>
      <c r="AV35" s="54"/>
      <c r="AW35" s="223">
        <f t="shared" si="2"/>
        <v>10796724.150336891</v>
      </c>
      <c r="AX35" s="457">
        <f t="shared" si="3"/>
        <v>11101591.471893111</v>
      </c>
      <c r="AY35" s="54"/>
      <c r="AZ35" s="54">
        <v>1925913</v>
      </c>
      <c r="BA35" s="54"/>
    </row>
    <row r="36" spans="2:53">
      <c r="B36" s="340" t="s">
        <v>52</v>
      </c>
      <c r="C36" s="604">
        <v>35</v>
      </c>
      <c r="D36" s="226">
        <f>+'INPUT VOL'!J27</f>
        <v>1781.285296</v>
      </c>
      <c r="E36" s="229"/>
      <c r="F36" s="229"/>
      <c r="G36" s="229"/>
      <c r="H36" s="229"/>
      <c r="I36" s="229"/>
      <c r="J36" s="229">
        <f t="shared" si="14"/>
        <v>1788.08</v>
      </c>
      <c r="K36" s="229"/>
      <c r="L36" s="229"/>
      <c r="M36" s="229"/>
      <c r="N36" s="229"/>
      <c r="O36" s="229"/>
      <c r="P36" s="238"/>
      <c r="Q36" s="263"/>
      <c r="R36" s="227">
        <f t="shared" si="4"/>
        <v>6462029.0927626677</v>
      </c>
      <c r="S36" s="1241">
        <f t="shared" si="0"/>
        <v>1788.08</v>
      </c>
      <c r="T36" s="1246">
        <v>0.85</v>
      </c>
      <c r="U36" s="1243">
        <f t="shared" si="5"/>
        <v>2739942.037</v>
      </c>
      <c r="V36" s="1244">
        <f t="shared" si="6"/>
        <v>4.631482542511535E-3</v>
      </c>
      <c r="W36" s="1245">
        <f t="shared" si="7"/>
        <v>3722087.0557626677</v>
      </c>
      <c r="X36" s="1245"/>
      <c r="Y36" s="1245"/>
      <c r="Z36" s="1245">
        <f t="shared" si="8"/>
        <v>6462029.0927626677</v>
      </c>
      <c r="AA36" s="595"/>
      <c r="AB36" s="258"/>
      <c r="AC36" s="259"/>
      <c r="AD36" s="227"/>
      <c r="AE36" s="1250"/>
      <c r="AF36" s="1254"/>
      <c r="AG36" s="1254"/>
      <c r="AH36" s="1251"/>
      <c r="AI36" s="1254"/>
      <c r="AJ36" s="1254"/>
      <c r="AK36" s="1254"/>
      <c r="AM36" s="227">
        <f t="shared" si="9"/>
        <v>6462029.0927626677</v>
      </c>
      <c r="AP36" s="227">
        <f t="shared" si="10"/>
        <v>142164.64004077867</v>
      </c>
      <c r="AQ36" s="223">
        <f t="shared" si="15"/>
        <v>290791.30917432002</v>
      </c>
      <c r="AS36" s="227">
        <f t="shared" si="13"/>
        <v>194693.83422678002</v>
      </c>
      <c r="AU36" s="223">
        <f t="shared" si="16"/>
        <v>7089678.8762045456</v>
      </c>
      <c r="AW36" s="223">
        <f t="shared" si="2"/>
        <v>6894985.041977766</v>
      </c>
      <c r="AX36" s="457">
        <f t="shared" si="3"/>
        <v>7089678.8762045456</v>
      </c>
      <c r="AY36" s="54"/>
      <c r="AZ36" s="54">
        <v>151300</v>
      </c>
      <c r="BA36" s="54"/>
    </row>
    <row r="37" spans="2:53">
      <c r="B37" s="340" t="s">
        <v>342</v>
      </c>
      <c r="C37" s="604">
        <v>35</v>
      </c>
      <c r="D37" s="226">
        <f>+'INPUT VOL'!J28</f>
        <v>380.46870400000006</v>
      </c>
      <c r="E37" s="229"/>
      <c r="F37" s="229"/>
      <c r="G37" s="229"/>
      <c r="H37" s="229"/>
      <c r="I37" s="229"/>
      <c r="J37" s="229">
        <f>+D37/$G$6</f>
        <v>381.92</v>
      </c>
      <c r="K37" s="229"/>
      <c r="L37" s="229"/>
      <c r="M37" s="229"/>
      <c r="N37" s="229"/>
      <c r="O37" s="229"/>
      <c r="P37" s="238"/>
      <c r="Q37" s="263"/>
      <c r="R37" s="227">
        <f t="shared" si="4"/>
        <v>1380239.2236968805</v>
      </c>
      <c r="S37" s="1241">
        <f t="shared" si="0"/>
        <v>381.92</v>
      </c>
      <c r="T37" s="1246">
        <v>0.85</v>
      </c>
      <c r="U37" s="1243">
        <f t="shared" si="5"/>
        <v>585230.33799999999</v>
      </c>
      <c r="V37" s="1244">
        <f t="shared" si="6"/>
        <v>9.8924869840052217E-4</v>
      </c>
      <c r="W37" s="1245">
        <f t="shared" si="7"/>
        <v>795008.88569688064</v>
      </c>
      <c r="X37" s="1245"/>
      <c r="Y37" s="1245"/>
      <c r="Z37" s="1245">
        <f t="shared" si="8"/>
        <v>1380239.2236968805</v>
      </c>
      <c r="AA37" s="595"/>
      <c r="AB37" s="258"/>
      <c r="AC37" s="259"/>
      <c r="AD37" s="227"/>
      <c r="AE37" s="1250"/>
      <c r="AF37" s="1254"/>
      <c r="AG37" s="1254"/>
      <c r="AH37" s="1251"/>
      <c r="AI37" s="1254"/>
      <c r="AJ37" s="1254"/>
      <c r="AK37" s="1254"/>
      <c r="AM37" s="227">
        <f t="shared" si="9"/>
        <v>1380239.2236968805</v>
      </c>
      <c r="AP37" s="227">
        <f t="shared" si="10"/>
        <v>30365.26292133137</v>
      </c>
      <c r="AQ37" s="223">
        <f>+AM37*$AQ$5</f>
        <v>62110.765066359621</v>
      </c>
      <c r="AS37" s="227">
        <f t="shared" si="13"/>
        <v>41585.090805719999</v>
      </c>
      <c r="AU37" s="223">
        <f>+AM37+AP37+AQ37+AS37</f>
        <v>1514300.3424902917</v>
      </c>
      <c r="AW37" s="223">
        <f t="shared" si="2"/>
        <v>1472715.2516845716</v>
      </c>
      <c r="AX37" s="457">
        <f t="shared" si="3"/>
        <v>1514300.3424902917</v>
      </c>
      <c r="AY37" s="54"/>
      <c r="AZ37" s="54">
        <v>1029271</v>
      </c>
      <c r="BA37" s="54"/>
    </row>
    <row r="38" spans="2:53">
      <c r="B38" s="340" t="s">
        <v>150</v>
      </c>
      <c r="C38" s="604">
        <v>10</v>
      </c>
      <c r="D38" s="226">
        <f>+'INPUT VOL'!J29</f>
        <v>435.43866553846146</v>
      </c>
      <c r="E38" s="229"/>
      <c r="F38" s="229"/>
      <c r="G38" s="229"/>
      <c r="H38" s="229"/>
      <c r="I38" s="229"/>
      <c r="J38" s="229">
        <f t="shared" si="14"/>
        <v>437.09964418636963</v>
      </c>
      <c r="K38" s="229"/>
      <c r="L38" s="229"/>
      <c r="M38" s="229"/>
      <c r="N38" s="229"/>
      <c r="O38" s="229"/>
      <c r="P38" s="238"/>
      <c r="Q38" s="263"/>
      <c r="R38" s="227">
        <f t="shared" si="4"/>
        <v>1579655.6178518473</v>
      </c>
      <c r="S38" s="1241">
        <f t="shared" si="0"/>
        <v>437.09964418636963</v>
      </c>
      <c r="T38" s="1246">
        <v>0.85</v>
      </c>
      <c r="U38" s="1243">
        <f t="shared" si="5"/>
        <v>669784.17602343112</v>
      </c>
      <c r="V38" s="1244">
        <f t="shared" si="6"/>
        <v>1.1321749426128442E-3</v>
      </c>
      <c r="W38" s="1245">
        <f t="shared" si="7"/>
        <v>909871.44182841608</v>
      </c>
      <c r="X38" s="1245"/>
      <c r="Y38" s="1245"/>
      <c r="Z38" s="1245">
        <f t="shared" si="8"/>
        <v>1579655.6178518473</v>
      </c>
      <c r="AA38" s="595"/>
      <c r="AB38" s="258"/>
      <c r="AC38" s="259"/>
      <c r="AD38" s="227"/>
      <c r="AE38" s="1250"/>
      <c r="AF38" s="1254"/>
      <c r="AG38" s="1254"/>
      <c r="AH38" s="1251"/>
      <c r="AI38" s="1254"/>
      <c r="AJ38" s="1254"/>
      <c r="AK38" s="1254"/>
      <c r="AM38" s="227">
        <f t="shared" si="9"/>
        <v>1579655.6178518473</v>
      </c>
      <c r="AP38" s="227">
        <f t="shared" si="10"/>
        <v>34752.423592740641</v>
      </c>
      <c r="AQ38" s="223">
        <f t="shared" si="15"/>
        <v>71084.502803333133</v>
      </c>
      <c r="AS38" s="227">
        <f t="shared" si="13"/>
        <v>47593.287585457911</v>
      </c>
      <c r="AU38" s="223">
        <f t="shared" si="16"/>
        <v>1733085.8318333791</v>
      </c>
      <c r="AW38" s="455">
        <f t="shared" si="2"/>
        <v>1685492.5442479211</v>
      </c>
      <c r="AX38" s="457">
        <f t="shared" si="3"/>
        <v>1733085.8318333791</v>
      </c>
      <c r="AY38" s="54"/>
      <c r="AZ38" s="54">
        <v>1333283</v>
      </c>
      <c r="BA38" s="54"/>
    </row>
    <row r="39" spans="2:53">
      <c r="B39" s="340" t="s">
        <v>53</v>
      </c>
      <c r="C39" s="604">
        <v>16</v>
      </c>
      <c r="D39" s="226">
        <f>+'INPUT VOL'!J30</f>
        <v>125.99937600000001</v>
      </c>
      <c r="E39" s="229"/>
      <c r="F39" s="229"/>
      <c r="G39" s="229"/>
      <c r="H39" s="229"/>
      <c r="I39" s="229"/>
      <c r="J39" s="229">
        <f t="shared" si="14"/>
        <v>126.48</v>
      </c>
      <c r="K39" s="229"/>
      <c r="M39" s="229"/>
      <c r="N39" s="229"/>
      <c r="O39" s="229"/>
      <c r="P39" s="238"/>
      <c r="Q39" s="263"/>
      <c r="R39" s="227">
        <f t="shared" si="4"/>
        <v>457092.21044507087</v>
      </c>
      <c r="S39" s="1241">
        <f t="shared" si="0"/>
        <v>126.48</v>
      </c>
      <c r="T39" s="1246">
        <v>0.85</v>
      </c>
      <c r="U39" s="1243">
        <f t="shared" si="5"/>
        <v>193810.04699999999</v>
      </c>
      <c r="V39" s="1244">
        <f t="shared" si="6"/>
        <v>3.2760833518458848E-4</v>
      </c>
      <c r="W39" s="1245">
        <f t="shared" si="7"/>
        <v>263282.16344507085</v>
      </c>
      <c r="X39" s="1245"/>
      <c r="Y39" s="1245"/>
      <c r="Z39" s="1245">
        <f t="shared" si="8"/>
        <v>457092.21044507087</v>
      </c>
      <c r="AA39" s="595"/>
      <c r="AB39" s="258"/>
      <c r="AC39" s="259"/>
      <c r="AD39" s="227"/>
      <c r="AE39" s="1250"/>
      <c r="AF39" s="1254"/>
      <c r="AG39" s="1254"/>
      <c r="AH39" s="1251"/>
      <c r="AI39" s="1254"/>
      <c r="AJ39" s="1254"/>
      <c r="AK39" s="1254"/>
      <c r="AM39" s="227">
        <f t="shared" si="9"/>
        <v>457092.21044507087</v>
      </c>
      <c r="AP39" s="227">
        <f t="shared" si="10"/>
        <v>10056.028629791559</v>
      </c>
      <c r="AQ39" s="223">
        <f t="shared" si="15"/>
        <v>20569.149470028187</v>
      </c>
      <c r="AS39" s="285">
        <f t="shared" si="13"/>
        <v>13771.685916180002</v>
      </c>
      <c r="AU39" s="223">
        <f t="shared" si="16"/>
        <v>501489.07446107065</v>
      </c>
      <c r="AW39" s="223">
        <f t="shared" si="2"/>
        <v>487717.38854489062</v>
      </c>
      <c r="AX39" s="457">
        <f t="shared" si="3"/>
        <v>501489.07446107065</v>
      </c>
      <c r="AY39" s="54"/>
      <c r="AZ39" s="54">
        <v>96180214</v>
      </c>
      <c r="BA39" s="54"/>
    </row>
    <row r="40" spans="2:53">
      <c r="B40" s="340" t="s">
        <v>54</v>
      </c>
      <c r="C40" s="604">
        <v>45</v>
      </c>
      <c r="D40" s="226">
        <f>+'INPUT VOL'!J31</f>
        <v>1256.3731308720005</v>
      </c>
      <c r="E40" s="229"/>
      <c r="F40" s="229"/>
      <c r="G40" s="229"/>
      <c r="H40" s="229"/>
      <c r="I40" s="229"/>
      <c r="J40" s="229">
        <f t="shared" si="14"/>
        <v>1261.1655600000004</v>
      </c>
      <c r="K40" s="229"/>
      <c r="L40" s="229"/>
      <c r="M40" s="229"/>
      <c r="N40" s="229"/>
      <c r="O40" s="229"/>
      <c r="P40" s="238"/>
      <c r="Q40" s="263"/>
      <c r="R40" s="227">
        <f t="shared" si="4"/>
        <v>4557787.4253446851</v>
      </c>
      <c r="S40" s="1241">
        <f t="shared" si="0"/>
        <v>1261.1655600000004</v>
      </c>
      <c r="T40" s="1246">
        <v>0.85</v>
      </c>
      <c r="U40" s="1243">
        <f t="shared" si="5"/>
        <v>1932531.2812965005</v>
      </c>
      <c r="V40" s="1244">
        <f t="shared" si="6"/>
        <v>3.2666694299789641E-3</v>
      </c>
      <c r="W40" s="1245">
        <f t="shared" si="7"/>
        <v>2625256.1440481846</v>
      </c>
      <c r="X40" s="1245"/>
      <c r="Y40" s="1245"/>
      <c r="Z40" s="1245">
        <f t="shared" si="8"/>
        <v>4557787.4253446851</v>
      </c>
      <c r="AA40" s="595"/>
      <c r="AB40" s="258"/>
      <c r="AC40" s="259"/>
      <c r="AD40" s="227"/>
      <c r="AE40" s="1250"/>
      <c r="AF40" s="1254"/>
      <c r="AG40" s="1254"/>
      <c r="AH40" s="1251"/>
      <c r="AI40" s="1254"/>
      <c r="AJ40" s="1254"/>
      <c r="AK40" s="1254"/>
      <c r="AM40" s="227">
        <f t="shared" si="9"/>
        <v>4557787.4253446851</v>
      </c>
      <c r="AP40" s="227">
        <f t="shared" si="10"/>
        <v>100271.32335758307</v>
      </c>
      <c r="AQ40" s="223">
        <f t="shared" si="15"/>
        <v>205100.43414051083</v>
      </c>
      <c r="AS40" s="227">
        <f t="shared" si="13"/>
        <v>137321.12571650275</v>
      </c>
      <c r="AU40" s="223">
        <f t="shared" si="16"/>
        <v>5000480.3085592818</v>
      </c>
      <c r="AW40" s="223">
        <f t="shared" si="2"/>
        <v>4863159.182842779</v>
      </c>
      <c r="AX40" s="457">
        <f t="shared" si="3"/>
        <v>5000480.3085592818</v>
      </c>
      <c r="AZ40">
        <v>489334076</v>
      </c>
      <c r="BA40" s="54"/>
    </row>
    <row r="41" spans="2:53">
      <c r="B41" s="231"/>
      <c r="C41" s="605"/>
      <c r="D41" s="232"/>
      <c r="E41" s="233"/>
      <c r="F41" s="233"/>
      <c r="G41" s="233"/>
      <c r="H41" s="233"/>
      <c r="I41" s="233"/>
      <c r="J41" s="233"/>
      <c r="K41" s="233"/>
      <c r="L41" s="233"/>
      <c r="M41" s="233"/>
      <c r="N41" s="233"/>
      <c r="O41" s="233"/>
      <c r="P41" s="224"/>
      <c r="Q41" s="253"/>
      <c r="R41" s="227">
        <f t="shared" si="4"/>
        <v>0</v>
      </c>
      <c r="S41" s="1241"/>
      <c r="T41" s="1247"/>
      <c r="U41" s="1243">
        <f t="shared" si="5"/>
        <v>0</v>
      </c>
      <c r="V41" s="1244">
        <f t="shared" si="6"/>
        <v>0</v>
      </c>
      <c r="W41" s="1245">
        <f t="shared" si="7"/>
        <v>0</v>
      </c>
      <c r="X41" s="1245"/>
      <c r="Y41" s="1245"/>
      <c r="Z41" s="1245">
        <f t="shared" si="8"/>
        <v>0</v>
      </c>
      <c r="AA41" s="595"/>
      <c r="AB41" s="258"/>
      <c r="AC41" s="259"/>
      <c r="AD41" s="233"/>
      <c r="AE41" s="1250"/>
      <c r="AF41" s="1255"/>
      <c r="AG41" s="1255"/>
      <c r="AH41" s="1256"/>
      <c r="AI41" s="1255"/>
      <c r="AJ41" s="1255"/>
      <c r="AK41" s="1255"/>
      <c r="AM41" s="227">
        <f t="shared" si="9"/>
        <v>0</v>
      </c>
      <c r="AP41" s="227">
        <f t="shared" si="10"/>
        <v>0</v>
      </c>
      <c r="AQ41" s="233"/>
      <c r="AS41" s="233"/>
      <c r="AU41" s="233"/>
      <c r="AW41" s="233"/>
      <c r="AY41" s="54"/>
      <c r="AZ41" s="54">
        <v>6427967</v>
      </c>
      <c r="BA41" s="54"/>
    </row>
    <row r="42" spans="2:53">
      <c r="B42" s="340" t="s">
        <v>13</v>
      </c>
      <c r="C42" s="604">
        <v>4</v>
      </c>
      <c r="D42" s="226">
        <f>+'INPUT VOL'!J33</f>
        <v>36523.6806</v>
      </c>
      <c r="E42" s="229"/>
      <c r="F42" s="229"/>
      <c r="G42" s="229"/>
      <c r="H42" s="229"/>
      <c r="I42" s="229"/>
      <c r="J42" s="229"/>
      <c r="K42" s="229"/>
      <c r="L42" s="229"/>
      <c r="M42" s="229"/>
      <c r="N42" s="229">
        <f>+D42/$G$6</f>
        <v>36663</v>
      </c>
      <c r="O42" s="229"/>
      <c r="P42" s="238"/>
      <c r="Q42" s="263"/>
      <c r="R42" s="227">
        <f t="shared" si="4"/>
        <v>141090444.08533704</v>
      </c>
      <c r="S42" s="1241">
        <f t="shared" ref="S42:S64" si="17">SUM(E42:O42)</f>
        <v>36663</v>
      </c>
      <c r="T42" s="1246">
        <v>0.98</v>
      </c>
      <c r="U42" s="1243">
        <f t="shared" si="5"/>
        <v>64772338.784999996</v>
      </c>
      <c r="V42" s="1244">
        <f t="shared" si="6"/>
        <v>9.4964455984128462E-2</v>
      </c>
      <c r="W42" s="1245">
        <f t="shared" si="7"/>
        <v>76318105.300337061</v>
      </c>
      <c r="X42" s="1245"/>
      <c r="Y42" s="1245"/>
      <c r="Z42" s="1245">
        <f t="shared" si="8"/>
        <v>141090444.08533704</v>
      </c>
      <c r="AA42" s="595"/>
      <c r="AB42" s="258"/>
      <c r="AC42" s="259"/>
      <c r="AD42" s="227"/>
      <c r="AE42" s="1250"/>
      <c r="AF42" s="1254"/>
      <c r="AG42" s="1254"/>
      <c r="AH42" s="1251"/>
      <c r="AI42" s="1254"/>
      <c r="AJ42" s="1254"/>
      <c r="AK42" s="1254"/>
      <c r="AM42" s="227">
        <f t="shared" si="9"/>
        <v>141090444.08533704</v>
      </c>
      <c r="AP42" s="227">
        <f t="shared" si="10"/>
        <v>3103989.7698774147</v>
      </c>
      <c r="AQ42" s="223">
        <f>+AM42*$AQ$5-AQ198</f>
        <v>4952550.1905068336</v>
      </c>
      <c r="AS42" s="227">
        <f t="shared" ref="AS42:AS64" si="18">+(D42/$AS$4)*$AS$2*$AS$3*$AS$1</f>
        <v>3992024.9900767505</v>
      </c>
      <c r="AU42" s="223">
        <f t="shared" ref="AU42:AU56" si="19">+AM42+AP42+AQ42+AS42</f>
        <v>153139009.03579804</v>
      </c>
      <c r="AW42" s="223">
        <f t="shared" ref="AW42:AW64" si="20">+AM42+AP42+AQ42</f>
        <v>149146984.04572129</v>
      </c>
      <c r="AX42" s="457">
        <f t="shared" ref="AX42:AX64" si="21">+AW42+AS42</f>
        <v>153139009.03579804</v>
      </c>
      <c r="AY42" s="54"/>
      <c r="AZ42" s="54">
        <v>15168886</v>
      </c>
      <c r="BA42" s="54"/>
    </row>
    <row r="43" spans="2:53">
      <c r="B43" s="340" t="s">
        <v>351</v>
      </c>
      <c r="C43" s="604">
        <v>4</v>
      </c>
      <c r="D43" s="226">
        <f>+'INPUT VOL'!J34</f>
        <v>20454.974600000001</v>
      </c>
      <c r="E43" s="229"/>
      <c r="F43" s="229"/>
      <c r="G43" s="229"/>
      <c r="H43" s="229"/>
      <c r="I43" s="229"/>
      <c r="J43" s="229"/>
      <c r="K43" s="229"/>
      <c r="L43" s="229"/>
      <c r="M43" s="229"/>
      <c r="N43" s="229">
        <f>+D43/$G$6</f>
        <v>20533</v>
      </c>
      <c r="O43" s="229"/>
      <c r="P43" s="238"/>
      <c r="Q43" s="263"/>
      <c r="R43" s="227">
        <f t="shared" si="4"/>
        <v>79017267.774165392</v>
      </c>
      <c r="S43" s="1241">
        <f t="shared" si="17"/>
        <v>20533</v>
      </c>
      <c r="T43" s="1246">
        <v>0.98</v>
      </c>
      <c r="U43" s="1243">
        <f t="shared" si="5"/>
        <v>36275548.435000002</v>
      </c>
      <c r="V43" s="1244">
        <f t="shared" si="6"/>
        <v>5.318455049292501E-2</v>
      </c>
      <c r="W43" s="1245">
        <f t="shared" si="7"/>
        <v>42741719.339165397</v>
      </c>
      <c r="X43" s="1245"/>
      <c r="Y43" s="1245"/>
      <c r="Z43" s="1245">
        <f t="shared" si="8"/>
        <v>79017267.774165392</v>
      </c>
      <c r="AA43" s="595"/>
      <c r="AB43" s="258"/>
      <c r="AC43" s="259"/>
      <c r="AD43" s="227"/>
      <c r="AE43" s="1250"/>
      <c r="AF43" s="1254"/>
      <c r="AG43" s="1254"/>
      <c r="AH43" s="1251"/>
      <c r="AI43" s="1254"/>
      <c r="AJ43" s="1254"/>
      <c r="AK43" s="1254"/>
      <c r="AM43" s="227">
        <f t="shared" si="9"/>
        <v>79017267.774165392</v>
      </c>
      <c r="AP43" s="227">
        <f t="shared" ref="AP43:AP73" si="22">+AM43*$AP$5</f>
        <v>1738379.8910316385</v>
      </c>
      <c r="AQ43" s="223">
        <f>+AM43*$AQ$5</f>
        <v>3555777.0498374426</v>
      </c>
      <c r="AS43" s="227">
        <f t="shared" si="18"/>
        <v>2235721.27543425</v>
      </c>
      <c r="AU43" s="223">
        <f>+AM43+AP43+AQ43+AS43</f>
        <v>86547145.990468726</v>
      </c>
      <c r="AW43" s="223">
        <f t="shared" si="20"/>
        <v>84311424.71503447</v>
      </c>
      <c r="AX43" s="457">
        <f t="shared" si="21"/>
        <v>86547145.990468726</v>
      </c>
      <c r="AY43" s="54"/>
      <c r="AZ43" s="54">
        <v>14075348</v>
      </c>
      <c r="BA43" s="54"/>
    </row>
    <row r="44" spans="2:53">
      <c r="B44" s="340" t="s">
        <v>14</v>
      </c>
      <c r="C44" s="604">
        <v>5</v>
      </c>
      <c r="D44" s="226">
        <f>+'INPUT VOL'!J35</f>
        <v>9573.482</v>
      </c>
      <c r="E44" s="229"/>
      <c r="F44" s="229"/>
      <c r="G44" s="229"/>
      <c r="H44" s="229"/>
      <c r="I44" s="229"/>
      <c r="J44" s="229"/>
      <c r="K44" s="229"/>
      <c r="L44" s="229"/>
      <c r="M44" s="229"/>
      <c r="N44" s="229">
        <f t="shared" ref="N44:N59" si="23">+D44/$G$6</f>
        <v>9610</v>
      </c>
      <c r="O44" s="229"/>
      <c r="P44" s="238"/>
      <c r="Q44" s="263"/>
      <c r="R44" s="227">
        <f t="shared" si="4"/>
        <v>36982220.976463713</v>
      </c>
      <c r="S44" s="1241">
        <f t="shared" si="17"/>
        <v>9610</v>
      </c>
      <c r="T44" s="1246">
        <v>0.98</v>
      </c>
      <c r="U44" s="1243">
        <f t="shared" si="5"/>
        <v>16977938.949999999</v>
      </c>
      <c r="V44" s="1244">
        <f t="shared" si="6"/>
        <v>2.4891809781181967E-2</v>
      </c>
      <c r="W44" s="1245">
        <f t="shared" si="7"/>
        <v>20004282.026463713</v>
      </c>
      <c r="X44" s="1245"/>
      <c r="Y44" s="1245"/>
      <c r="Z44" s="1245">
        <f t="shared" si="8"/>
        <v>36982220.976463713</v>
      </c>
      <c r="AA44" s="595"/>
      <c r="AB44" s="258"/>
      <c r="AC44" s="259"/>
      <c r="AD44" s="227"/>
      <c r="AE44" s="1250"/>
      <c r="AF44" s="1254"/>
      <c r="AG44" s="1254"/>
      <c r="AH44" s="1251"/>
      <c r="AI44" s="1254"/>
      <c r="AJ44" s="1254"/>
      <c r="AK44" s="1254"/>
      <c r="AM44" s="227">
        <f t="shared" si="9"/>
        <v>36982220.976463713</v>
      </c>
      <c r="AP44" s="227">
        <f t="shared" si="22"/>
        <v>813608.86148220161</v>
      </c>
      <c r="AQ44" s="223">
        <f t="shared" ref="AQ44:AQ56" si="24">+AM44*$AQ$5</f>
        <v>1664199.943940867</v>
      </c>
      <c r="AS44" s="227">
        <f t="shared" si="18"/>
        <v>1046378.0965725002</v>
      </c>
      <c r="AU44" s="223">
        <f t="shared" si="19"/>
        <v>40506407.87845929</v>
      </c>
      <c r="AW44" s="223">
        <f t="shared" si="20"/>
        <v>39460029.781886786</v>
      </c>
      <c r="AX44" s="457">
        <f t="shared" si="21"/>
        <v>40506407.87845929</v>
      </c>
      <c r="AZ44">
        <v>14903405</v>
      </c>
      <c r="BA44" s="54"/>
    </row>
    <row r="45" spans="2:53">
      <c r="B45" s="340" t="s">
        <v>15</v>
      </c>
      <c r="C45" s="604">
        <v>5</v>
      </c>
      <c r="D45" s="226">
        <f>+'INPUT VOL'!J36</f>
        <v>204.221</v>
      </c>
      <c r="E45" s="229"/>
      <c r="F45" s="229"/>
      <c r="G45" s="229"/>
      <c r="H45" s="229"/>
      <c r="I45" s="229"/>
      <c r="J45" s="229"/>
      <c r="K45" s="229"/>
      <c r="L45" s="229"/>
      <c r="M45" s="229"/>
      <c r="N45" s="229">
        <f t="shared" si="23"/>
        <v>205</v>
      </c>
      <c r="O45" s="229"/>
      <c r="P45" s="238"/>
      <c r="Q45" s="263"/>
      <c r="R45" s="227">
        <f t="shared" si="4"/>
        <v>788902.73675078689</v>
      </c>
      <c r="S45" s="1241">
        <f t="shared" si="17"/>
        <v>205</v>
      </c>
      <c r="T45" s="1246">
        <v>0.98</v>
      </c>
      <c r="U45" s="1243">
        <f t="shared" si="5"/>
        <v>362172.47500000003</v>
      </c>
      <c r="V45" s="1244">
        <f t="shared" si="6"/>
        <v>5.3099073934883493E-4</v>
      </c>
      <c r="W45" s="1245">
        <f t="shared" si="7"/>
        <v>426730.26175078686</v>
      </c>
      <c r="X45" s="1245"/>
      <c r="Y45" s="1245"/>
      <c r="Z45" s="1245">
        <f t="shared" si="8"/>
        <v>788902.73675078689</v>
      </c>
      <c r="AA45" s="595"/>
      <c r="AB45" s="258"/>
      <c r="AC45" s="259"/>
      <c r="AD45" s="227"/>
      <c r="AE45" s="1250"/>
      <c r="AF45" s="1254"/>
      <c r="AG45" s="1254"/>
      <c r="AH45" s="1251"/>
      <c r="AI45" s="1254"/>
      <c r="AJ45" s="1254"/>
      <c r="AK45" s="1254"/>
      <c r="AM45" s="227">
        <f t="shared" si="9"/>
        <v>788902.73675078689</v>
      </c>
      <c r="AP45" s="227">
        <f t="shared" si="22"/>
        <v>17355.860208517312</v>
      </c>
      <c r="AQ45" s="223">
        <f t="shared" si="24"/>
        <v>35500.623153785411</v>
      </c>
      <c r="AS45" s="227">
        <f t="shared" si="18"/>
        <v>22321.280936250001</v>
      </c>
      <c r="AU45" s="223">
        <f t="shared" si="19"/>
        <v>864080.50104933954</v>
      </c>
      <c r="AW45" s="223">
        <f t="shared" si="20"/>
        <v>841759.22011308954</v>
      </c>
      <c r="AX45" s="457">
        <f t="shared" si="21"/>
        <v>864080.50104933954</v>
      </c>
      <c r="AY45" s="54"/>
      <c r="AZ45" s="54">
        <v>3396408</v>
      </c>
      <c r="BA45" s="54"/>
    </row>
    <row r="46" spans="2:53">
      <c r="B46" s="340" t="s">
        <v>16</v>
      </c>
      <c r="C46" s="604">
        <v>5</v>
      </c>
      <c r="D46" s="226">
        <f>+'INPUT VOL'!J37</f>
        <v>3955.9102000000003</v>
      </c>
      <c r="E46" s="229"/>
      <c r="F46" s="229"/>
      <c r="G46" s="229"/>
      <c r="H46" s="229"/>
      <c r="I46" s="229"/>
      <c r="J46" s="229"/>
      <c r="K46" s="229"/>
      <c r="L46" s="229"/>
      <c r="M46" s="229"/>
      <c r="N46" s="229">
        <f t="shared" si="23"/>
        <v>3971</v>
      </c>
      <c r="O46" s="229"/>
      <c r="P46" s="238"/>
      <c r="Q46" s="263"/>
      <c r="R46" s="227">
        <f t="shared" si="4"/>
        <v>15281623.256767679</v>
      </c>
      <c r="S46" s="1241">
        <f t="shared" si="17"/>
        <v>3971</v>
      </c>
      <c r="T46" s="1246">
        <v>0.98</v>
      </c>
      <c r="U46" s="1243">
        <f t="shared" si="5"/>
        <v>7015545.8449999997</v>
      </c>
      <c r="V46" s="1244">
        <f t="shared" si="6"/>
        <v>1.0285679150996211E-2</v>
      </c>
      <c r="W46" s="1245">
        <f t="shared" si="7"/>
        <v>8266077.4117676802</v>
      </c>
      <c r="X46" s="1245"/>
      <c r="Y46" s="1245"/>
      <c r="Z46" s="1245">
        <f t="shared" si="8"/>
        <v>15281623.256767679</v>
      </c>
      <c r="AA46" s="595"/>
      <c r="AB46" s="258"/>
      <c r="AC46" s="259"/>
      <c r="AD46" s="227"/>
      <c r="AE46" s="1250"/>
      <c r="AF46" s="1254"/>
      <c r="AG46" s="1254"/>
      <c r="AH46" s="1251"/>
      <c r="AI46" s="1254"/>
      <c r="AJ46" s="1254"/>
      <c r="AK46" s="1254"/>
      <c r="AM46" s="227">
        <f t="shared" si="9"/>
        <v>15281623.256767679</v>
      </c>
      <c r="AP46" s="227">
        <f t="shared" si="22"/>
        <v>336195.71164888894</v>
      </c>
      <c r="AQ46" s="223">
        <f t="shared" si="24"/>
        <v>687673.04655454552</v>
      </c>
      <c r="AS46" s="227">
        <f t="shared" si="18"/>
        <v>432379.54437975003</v>
      </c>
      <c r="AU46" s="223">
        <f t="shared" si="19"/>
        <v>16737871.559350863</v>
      </c>
      <c r="AW46" s="223">
        <f t="shared" si="20"/>
        <v>16305492.014971113</v>
      </c>
      <c r="AX46" s="457">
        <f t="shared" si="21"/>
        <v>16737871.559350863</v>
      </c>
      <c r="AY46" s="54"/>
      <c r="AZ46" s="54">
        <v>4178549</v>
      </c>
      <c r="BA46" s="54"/>
    </row>
    <row r="47" spans="2:53">
      <c r="B47" s="340" t="s">
        <v>17</v>
      </c>
      <c r="C47" s="604">
        <v>11</v>
      </c>
      <c r="D47" s="226">
        <f>+'INPUT VOL'!J38</f>
        <v>2500.462</v>
      </c>
      <c r="E47" s="229"/>
      <c r="F47" s="229"/>
      <c r="G47" s="229"/>
      <c r="H47" s="229"/>
      <c r="I47" s="229"/>
      <c r="J47" s="229"/>
      <c r="K47" s="229"/>
      <c r="L47" s="229"/>
      <c r="M47" s="229"/>
      <c r="N47" s="229">
        <f t="shared" si="23"/>
        <v>2510</v>
      </c>
      <c r="O47" s="229"/>
      <c r="P47" s="238"/>
      <c r="Q47" s="263"/>
      <c r="R47" s="227">
        <f t="shared" si="4"/>
        <v>9659248.1426559761</v>
      </c>
      <c r="S47" s="1241">
        <f t="shared" si="17"/>
        <v>2510</v>
      </c>
      <c r="T47" s="1246">
        <v>0.98</v>
      </c>
      <c r="U47" s="1243">
        <f t="shared" si="5"/>
        <v>4434404.45</v>
      </c>
      <c r="V47" s="1244">
        <f t="shared" si="6"/>
        <v>6.5013988086125643E-3</v>
      </c>
      <c r="W47" s="1245">
        <f t="shared" si="7"/>
        <v>5224843.6926559759</v>
      </c>
      <c r="X47" s="1245"/>
      <c r="Y47" s="1245"/>
      <c r="Z47" s="1245">
        <f t="shared" si="8"/>
        <v>9659248.1426559761</v>
      </c>
      <c r="AA47" s="595"/>
      <c r="AB47" s="258"/>
      <c r="AC47" s="259"/>
      <c r="AD47" s="227"/>
      <c r="AE47" s="1250"/>
      <c r="AF47" s="1254"/>
      <c r="AG47" s="1254"/>
      <c r="AH47" s="1251"/>
      <c r="AI47" s="1254"/>
      <c r="AJ47" s="1254"/>
      <c r="AK47" s="1254"/>
      <c r="AM47" s="227">
        <f t="shared" si="9"/>
        <v>9659248.1426559761</v>
      </c>
      <c r="AP47" s="227">
        <f t="shared" si="22"/>
        <v>212503.45913843147</v>
      </c>
      <c r="AQ47" s="223">
        <f t="shared" si="24"/>
        <v>434666.16641951894</v>
      </c>
      <c r="AS47" s="227">
        <f t="shared" si="18"/>
        <v>273299.5860975</v>
      </c>
      <c r="AU47" s="223">
        <f t="shared" si="19"/>
        <v>10579717.354311425</v>
      </c>
      <c r="AW47" s="223">
        <f t="shared" si="20"/>
        <v>10306417.768213926</v>
      </c>
      <c r="AX47" s="457">
        <f t="shared" si="21"/>
        <v>10579717.354311425</v>
      </c>
      <c r="AY47" s="54"/>
      <c r="AZ47" s="54">
        <v>5427385</v>
      </c>
      <c r="BA47" s="54"/>
    </row>
    <row r="48" spans="2:53">
      <c r="B48" s="340" t="s">
        <v>18</v>
      </c>
      <c r="C48" s="604">
        <v>13</v>
      </c>
      <c r="D48" s="226">
        <f>+'INPUT VOL'!J39</f>
        <v>6097.7402000000002</v>
      </c>
      <c r="E48" s="229"/>
      <c r="F48" s="229"/>
      <c r="G48" s="229"/>
      <c r="H48" s="229"/>
      <c r="I48" s="229"/>
      <c r="J48" s="229"/>
      <c r="K48" s="229"/>
      <c r="L48" s="229"/>
      <c r="M48" s="229"/>
      <c r="N48" s="229">
        <f t="shared" si="23"/>
        <v>6121</v>
      </c>
      <c r="O48" s="229"/>
      <c r="P48" s="238"/>
      <c r="Q48" s="263"/>
      <c r="R48" s="227">
        <f t="shared" si="4"/>
        <v>23555481.227568619</v>
      </c>
      <c r="S48" s="1241">
        <f t="shared" si="17"/>
        <v>6121</v>
      </c>
      <c r="T48" s="1246">
        <v>0.98</v>
      </c>
      <c r="U48" s="1243">
        <f t="shared" si="5"/>
        <v>10813940.095000001</v>
      </c>
      <c r="V48" s="1244">
        <f t="shared" si="6"/>
        <v>1.5854606417337651E-2</v>
      </c>
      <c r="W48" s="1245">
        <f t="shared" si="7"/>
        <v>12741541.132568616</v>
      </c>
      <c r="X48" s="1245"/>
      <c r="Y48" s="1245"/>
      <c r="Z48" s="1245">
        <f t="shared" si="8"/>
        <v>23555481.227568619</v>
      </c>
      <c r="AA48" s="595"/>
      <c r="AB48" s="258"/>
      <c r="AC48" s="259"/>
      <c r="AD48" s="227"/>
      <c r="AE48" s="1250"/>
      <c r="AF48" s="1254"/>
      <c r="AG48" s="1254"/>
      <c r="AH48" s="1251"/>
      <c r="AI48" s="1254"/>
      <c r="AJ48" s="1254"/>
      <c r="AK48" s="1254"/>
      <c r="AM48" s="227">
        <f t="shared" si="9"/>
        <v>23555481.227568619</v>
      </c>
      <c r="AP48" s="227">
        <f t="shared" si="22"/>
        <v>518220.5870065096</v>
      </c>
      <c r="AQ48" s="223">
        <f t="shared" si="24"/>
        <v>1059996.6552405879</v>
      </c>
      <c r="AS48" s="227">
        <f t="shared" si="18"/>
        <v>666480.78346725006</v>
      </c>
      <c r="AU48" s="223">
        <f t="shared" si="19"/>
        <v>25800179.253282968</v>
      </c>
      <c r="AW48" s="223">
        <f t="shared" si="20"/>
        <v>25133698.469815716</v>
      </c>
      <c r="AX48" s="457">
        <f t="shared" si="21"/>
        <v>25800179.253282968</v>
      </c>
      <c r="AY48" s="54"/>
      <c r="AZ48" s="54">
        <v>17136254</v>
      </c>
      <c r="BA48" s="54"/>
    </row>
    <row r="49" spans="2:53">
      <c r="B49" s="340" t="s">
        <v>19</v>
      </c>
      <c r="C49" s="604">
        <v>25</v>
      </c>
      <c r="D49" s="226">
        <f>+'INPUT VOL'!J40</f>
        <v>5001.9202000000023</v>
      </c>
      <c r="E49" s="229"/>
      <c r="F49" s="229"/>
      <c r="G49" s="229"/>
      <c r="H49" s="229"/>
      <c r="I49" s="229"/>
      <c r="J49" s="229"/>
      <c r="K49" s="229"/>
      <c r="L49" s="229"/>
      <c r="M49" s="229"/>
      <c r="N49" s="229">
        <f t="shared" si="23"/>
        <v>5021.0000000000018</v>
      </c>
      <c r="O49" s="229"/>
      <c r="P49" s="238"/>
      <c r="Q49" s="263"/>
      <c r="R49" s="227">
        <f t="shared" si="4"/>
        <v>19322344.591344889</v>
      </c>
      <c r="S49" s="1241">
        <f t="shared" si="17"/>
        <v>5021.0000000000018</v>
      </c>
      <c r="T49" s="1246">
        <v>0.98</v>
      </c>
      <c r="U49" s="1243">
        <f t="shared" si="5"/>
        <v>8870575.5950000025</v>
      </c>
      <c r="V49" s="1244">
        <f t="shared" si="6"/>
        <v>1.3005387815953664E-2</v>
      </c>
      <c r="W49" s="1245">
        <f t="shared" si="7"/>
        <v>10451768.996344887</v>
      </c>
      <c r="X49" s="1245"/>
      <c r="Y49" s="1245"/>
      <c r="Z49" s="1245">
        <f t="shared" si="8"/>
        <v>19322344.591344889</v>
      </c>
      <c r="AA49" s="595"/>
      <c r="AB49" s="258"/>
      <c r="AC49" s="259"/>
      <c r="AD49" s="227"/>
      <c r="AE49" s="1250"/>
      <c r="AF49" s="1254"/>
      <c r="AG49" s="1254"/>
      <c r="AH49" s="1251"/>
      <c r="AI49" s="1254"/>
      <c r="AJ49" s="1254"/>
      <c r="AK49" s="1254"/>
      <c r="AM49" s="227">
        <f t="shared" si="9"/>
        <v>19322344.591344889</v>
      </c>
      <c r="AP49" s="227">
        <f t="shared" si="22"/>
        <v>425091.58100958756</v>
      </c>
      <c r="AQ49" s="346">
        <f>+AM49*$AQ$5</f>
        <v>869505.50661051995</v>
      </c>
      <c r="AS49" s="227">
        <f t="shared" si="18"/>
        <v>546708.0564922503</v>
      </c>
      <c r="AU49" s="223">
        <f t="shared" si="19"/>
        <v>21163649.735457249</v>
      </c>
      <c r="AW49" s="455">
        <f t="shared" si="20"/>
        <v>20616941.678964999</v>
      </c>
      <c r="AX49" s="457">
        <f t="shared" si="21"/>
        <v>21163649.735457249</v>
      </c>
      <c r="AY49" s="54"/>
      <c r="AZ49" s="54">
        <v>1678830</v>
      </c>
      <c r="BA49" s="54"/>
    </row>
    <row r="50" spans="2:53">
      <c r="B50" s="340" t="s">
        <v>20</v>
      </c>
      <c r="C50" s="604">
        <v>42</v>
      </c>
      <c r="D50" s="226">
        <f>+'INPUT VOL'!J41</f>
        <v>6754.2360000000008</v>
      </c>
      <c r="E50" s="229"/>
      <c r="F50" s="229"/>
      <c r="G50" s="229"/>
      <c r="H50" s="229"/>
      <c r="I50" s="229"/>
      <c r="J50" s="229"/>
      <c r="K50" s="229"/>
      <c r="L50" s="229"/>
      <c r="M50" s="229"/>
      <c r="N50" s="229">
        <f t="shared" si="23"/>
        <v>6780</v>
      </c>
      <c r="O50" s="229"/>
      <c r="P50" s="238"/>
      <c r="Q50" s="263"/>
      <c r="R50" s="227">
        <f t="shared" si="4"/>
        <v>26091514.903269924</v>
      </c>
      <c r="S50" s="1241">
        <f t="shared" si="17"/>
        <v>6780</v>
      </c>
      <c r="T50" s="1246">
        <v>0.98</v>
      </c>
      <c r="U50" s="1243">
        <f t="shared" si="5"/>
        <v>11978192.1</v>
      </c>
      <c r="V50" s="1244">
        <f t="shared" si="6"/>
        <v>1.7561547379439515E-2</v>
      </c>
      <c r="W50" s="1245">
        <f t="shared" si="7"/>
        <v>14113322.803269926</v>
      </c>
      <c r="X50" s="1245"/>
      <c r="Y50" s="1245"/>
      <c r="Z50" s="1245">
        <f t="shared" si="8"/>
        <v>26091514.903269924</v>
      </c>
      <c r="AA50" s="595"/>
      <c r="AB50" s="258"/>
      <c r="AC50" s="259"/>
      <c r="AD50" s="227"/>
      <c r="AE50" s="1250"/>
      <c r="AF50" s="1254"/>
      <c r="AG50" s="1254"/>
      <c r="AH50" s="1251"/>
      <c r="AI50" s="1254"/>
      <c r="AJ50" s="1254"/>
      <c r="AK50" s="1254"/>
      <c r="AM50" s="227">
        <f t="shared" si="9"/>
        <v>26091514.903269924</v>
      </c>
      <c r="AP50" s="227">
        <f t="shared" si="22"/>
        <v>574013.32787193835</v>
      </c>
      <c r="AQ50" s="223">
        <f t="shared" si="24"/>
        <v>1174118.1706471466</v>
      </c>
      <c r="AS50" s="227">
        <f t="shared" si="18"/>
        <v>738235.53535500006</v>
      </c>
      <c r="AU50" s="223">
        <f t="shared" si="19"/>
        <v>28577881.937144011</v>
      </c>
      <c r="AW50" s="223">
        <f t="shared" si="20"/>
        <v>27839646.40178901</v>
      </c>
      <c r="AX50" s="457">
        <f t="shared" si="21"/>
        <v>28577881.937144011</v>
      </c>
      <c r="AY50" s="54"/>
      <c r="AZ50" s="54">
        <v>2805759</v>
      </c>
      <c r="BA50" s="54"/>
    </row>
    <row r="51" spans="2:53">
      <c r="B51" s="340" t="s">
        <v>21</v>
      </c>
      <c r="C51" s="604">
        <v>39</v>
      </c>
      <c r="D51" s="226">
        <f>+'INPUT VOL'!J42</f>
        <v>321.77260000000001</v>
      </c>
      <c r="E51" s="229"/>
      <c r="F51" s="229"/>
      <c r="G51" s="229"/>
      <c r="H51" s="229"/>
      <c r="I51" s="229"/>
      <c r="J51" s="229"/>
      <c r="K51" s="229"/>
      <c r="L51" s="229"/>
      <c r="M51" s="229"/>
      <c r="N51" s="229">
        <f t="shared" si="23"/>
        <v>323</v>
      </c>
      <c r="O51" s="229"/>
      <c r="P51" s="238"/>
      <c r="Q51" s="263"/>
      <c r="R51" s="227">
        <f t="shared" si="4"/>
        <v>1243002.8486366055</v>
      </c>
      <c r="S51" s="1241">
        <f t="shared" si="17"/>
        <v>323</v>
      </c>
      <c r="T51" s="1246">
        <v>0.98</v>
      </c>
      <c r="U51" s="1243">
        <f t="shared" si="5"/>
        <v>570642.48499999999</v>
      </c>
      <c r="V51" s="1244">
        <f t="shared" si="6"/>
        <v>8.3663418931548131E-4</v>
      </c>
      <c r="W51" s="1245">
        <f t="shared" si="7"/>
        <v>672360.36363660556</v>
      </c>
      <c r="X51" s="1245"/>
      <c r="Y51" s="1245"/>
      <c r="Z51" s="1245">
        <f t="shared" si="8"/>
        <v>1243002.8486366055</v>
      </c>
      <c r="AA51" s="595"/>
      <c r="AB51" s="258"/>
      <c r="AC51" s="259"/>
      <c r="AD51" s="227"/>
      <c r="AE51" s="1250"/>
      <c r="AF51" s="1254"/>
      <c r="AG51" s="1254"/>
      <c r="AH51" s="1251"/>
      <c r="AI51" s="1254"/>
      <c r="AJ51" s="1254"/>
      <c r="AK51" s="1254"/>
      <c r="AM51" s="227">
        <f t="shared" si="9"/>
        <v>1243002.8486366055</v>
      </c>
      <c r="AP51" s="227">
        <f t="shared" si="22"/>
        <v>27346.062670005322</v>
      </c>
      <c r="AQ51" s="223">
        <f t="shared" si="24"/>
        <v>55935.12818864725</v>
      </c>
      <c r="AS51" s="227">
        <f t="shared" si="18"/>
        <v>35169.628011750006</v>
      </c>
      <c r="AU51" s="223">
        <f t="shared" si="19"/>
        <v>1361453.6675070082</v>
      </c>
      <c r="AW51" s="223">
        <f t="shared" si="20"/>
        <v>1326284.0394952581</v>
      </c>
      <c r="AX51" s="457">
        <f t="shared" si="21"/>
        <v>1361453.6675070082</v>
      </c>
      <c r="AY51" s="54"/>
      <c r="AZ51" s="54">
        <v>1186323</v>
      </c>
      <c r="BA51" s="54"/>
    </row>
    <row r="52" spans="2:53">
      <c r="B52" s="340" t="s">
        <v>22</v>
      </c>
      <c r="C52" s="604">
        <v>36</v>
      </c>
      <c r="D52" s="226">
        <f>+'INPUT VOL'!J43</f>
        <v>1282.1094000000001</v>
      </c>
      <c r="E52" s="229"/>
      <c r="F52" s="229"/>
      <c r="G52" s="229"/>
      <c r="H52" s="229"/>
      <c r="I52" s="229"/>
      <c r="J52" s="229"/>
      <c r="K52" s="229"/>
      <c r="L52" s="229"/>
      <c r="M52" s="229"/>
      <c r="N52" s="229">
        <f t="shared" si="23"/>
        <v>1287</v>
      </c>
      <c r="O52" s="229"/>
      <c r="P52" s="238"/>
      <c r="Q52" s="263"/>
      <c r="R52" s="227">
        <f t="shared" si="4"/>
        <v>4952769.8643817687</v>
      </c>
      <c r="S52" s="1241">
        <f t="shared" si="17"/>
        <v>1287</v>
      </c>
      <c r="T52" s="1246">
        <v>0.98</v>
      </c>
      <c r="U52" s="1243">
        <f t="shared" si="5"/>
        <v>2273736.4649999999</v>
      </c>
      <c r="V52" s="1244">
        <f t="shared" si="6"/>
        <v>3.3335857636192707E-3</v>
      </c>
      <c r="W52" s="1245">
        <f t="shared" si="7"/>
        <v>2679033.3993817689</v>
      </c>
      <c r="X52" s="1245"/>
      <c r="Y52" s="1245"/>
      <c r="Z52" s="1245">
        <f t="shared" si="8"/>
        <v>4952769.8643817687</v>
      </c>
      <c r="AA52" s="595"/>
      <c r="AB52" s="258"/>
      <c r="AC52" s="259"/>
      <c r="AD52" s="227"/>
      <c r="AE52" s="1250"/>
      <c r="AF52" s="1254"/>
      <c r="AG52" s="1254"/>
      <c r="AH52" s="1251"/>
      <c r="AI52" s="1254"/>
      <c r="AJ52" s="1254"/>
      <c r="AK52" s="1254"/>
      <c r="AM52" s="227">
        <f t="shared" si="9"/>
        <v>4952769.8643817687</v>
      </c>
      <c r="AP52" s="227">
        <f t="shared" si="22"/>
        <v>108960.93701639891</v>
      </c>
      <c r="AQ52" s="223">
        <f t="shared" si="24"/>
        <v>222874.64389717957</v>
      </c>
      <c r="AS52" s="227">
        <f t="shared" si="18"/>
        <v>140134.09056075002</v>
      </c>
      <c r="AU52" s="223">
        <f t="shared" si="19"/>
        <v>5424739.535856097</v>
      </c>
      <c r="AW52" s="223">
        <f t="shared" si="20"/>
        <v>5284605.4452953469</v>
      </c>
      <c r="AX52" s="457">
        <f t="shared" si="21"/>
        <v>5424739.535856097</v>
      </c>
      <c r="AY52" s="54"/>
      <c r="AZ52" s="54">
        <v>2997146</v>
      </c>
      <c r="BA52" s="54"/>
    </row>
    <row r="53" spans="2:53">
      <c r="B53" s="340" t="s">
        <v>23</v>
      </c>
      <c r="C53" s="604">
        <v>40</v>
      </c>
      <c r="D53" s="226">
        <f>+'INPUT VOL'!J44</f>
        <v>1026.086</v>
      </c>
      <c r="E53" s="229"/>
      <c r="F53" s="229"/>
      <c r="G53" s="229"/>
      <c r="H53" s="229"/>
      <c r="I53" s="229"/>
      <c r="J53" s="229"/>
      <c r="K53" s="229"/>
      <c r="L53" s="229"/>
      <c r="M53" s="229"/>
      <c r="N53" s="229">
        <f t="shared" si="23"/>
        <v>1030</v>
      </c>
      <c r="O53" s="229"/>
      <c r="P53" s="238"/>
      <c r="Q53" s="263"/>
      <c r="R53" s="227">
        <f t="shared" si="4"/>
        <v>3963755.2139185872</v>
      </c>
      <c r="S53" s="1241">
        <f t="shared" si="17"/>
        <v>1030</v>
      </c>
      <c r="T53" s="1246">
        <v>0.98</v>
      </c>
      <c r="U53" s="1243">
        <f t="shared" si="5"/>
        <v>1819695.8499999999</v>
      </c>
      <c r="V53" s="1244">
        <f t="shared" si="6"/>
        <v>2.6679046903868289E-3</v>
      </c>
      <c r="W53" s="1245">
        <f t="shared" si="7"/>
        <v>2144059.3639185876</v>
      </c>
      <c r="X53" s="1245"/>
      <c r="Y53" s="1245"/>
      <c r="Z53" s="1245">
        <f t="shared" si="8"/>
        <v>3963755.2139185872</v>
      </c>
      <c r="AA53" s="595"/>
      <c r="AB53" s="258"/>
      <c r="AC53" s="259"/>
      <c r="AD53" s="227"/>
      <c r="AE53" s="1250"/>
      <c r="AF53" s="1254"/>
      <c r="AG53" s="1254"/>
      <c r="AH53" s="1251"/>
      <c r="AI53" s="1254"/>
      <c r="AJ53" s="1254"/>
      <c r="AK53" s="1254"/>
      <c r="AM53" s="227">
        <f t="shared" si="9"/>
        <v>3963755.2139185872</v>
      </c>
      <c r="AP53" s="227">
        <f t="shared" si="22"/>
        <v>87202.614706208915</v>
      </c>
      <c r="AQ53" s="223">
        <f t="shared" si="24"/>
        <v>178368.98462633643</v>
      </c>
      <c r="AS53" s="227">
        <f t="shared" si="18"/>
        <v>112150.82616750002</v>
      </c>
      <c r="AU53" s="223">
        <f t="shared" si="19"/>
        <v>4341477.6394186318</v>
      </c>
      <c r="AW53" s="223">
        <f t="shared" si="20"/>
        <v>4229326.8132511321</v>
      </c>
      <c r="AX53" s="457">
        <f t="shared" si="21"/>
        <v>4341477.6394186318</v>
      </c>
      <c r="AZ53">
        <v>4755425</v>
      </c>
      <c r="BA53" s="54"/>
    </row>
    <row r="54" spans="2:53">
      <c r="B54" s="340" t="s">
        <v>24</v>
      </c>
      <c r="C54" s="604">
        <v>41</v>
      </c>
      <c r="D54" s="226">
        <f>+'INPUT VOL'!J45</f>
        <v>731.21080000000006</v>
      </c>
      <c r="E54" s="229"/>
      <c r="F54" s="229"/>
      <c r="G54" s="229"/>
      <c r="H54" s="229"/>
      <c r="I54" s="229"/>
      <c r="J54" s="229"/>
      <c r="K54" s="229"/>
      <c r="L54" s="229"/>
      <c r="M54" s="229"/>
      <c r="N54" s="229">
        <f t="shared" si="23"/>
        <v>734</v>
      </c>
      <c r="O54" s="229"/>
      <c r="P54" s="238"/>
      <c r="Q54" s="263"/>
      <c r="R54" s="227">
        <f t="shared" si="4"/>
        <v>2824656.6281711096</v>
      </c>
      <c r="S54" s="1241">
        <f t="shared" si="17"/>
        <v>734</v>
      </c>
      <c r="T54" s="1246">
        <v>0.98</v>
      </c>
      <c r="U54" s="1243">
        <f t="shared" si="5"/>
        <v>1296754.1299999999</v>
      </c>
      <c r="V54" s="1244">
        <f t="shared" si="6"/>
        <v>1.9012058667416821E-3</v>
      </c>
      <c r="W54" s="1245">
        <f t="shared" si="7"/>
        <v>1527902.4981711099</v>
      </c>
      <c r="X54" s="1245"/>
      <c r="Y54" s="1245"/>
      <c r="Z54" s="1245">
        <f t="shared" si="8"/>
        <v>2824656.6281711096</v>
      </c>
      <c r="AA54" s="595"/>
      <c r="AB54" s="258"/>
      <c r="AC54" s="259"/>
      <c r="AD54" s="227"/>
      <c r="AE54" s="1250"/>
      <c r="AF54" s="1254"/>
      <c r="AG54" s="1254"/>
      <c r="AH54" s="1251"/>
      <c r="AI54" s="1254"/>
      <c r="AJ54" s="1254"/>
      <c r="AK54" s="1254"/>
      <c r="AM54" s="227">
        <f t="shared" si="9"/>
        <v>2824656.6281711096</v>
      </c>
      <c r="AP54" s="227">
        <f t="shared" si="22"/>
        <v>62142.445819764405</v>
      </c>
      <c r="AQ54" s="223">
        <f t="shared" si="24"/>
        <v>127109.54826769992</v>
      </c>
      <c r="AS54" s="227">
        <f t="shared" si="18"/>
        <v>79921.074181500007</v>
      </c>
      <c r="AU54" s="223">
        <f t="shared" si="19"/>
        <v>3093829.6964400737</v>
      </c>
      <c r="AW54" s="223">
        <f t="shared" si="20"/>
        <v>3013908.6222585738</v>
      </c>
      <c r="AX54" s="457">
        <f t="shared" si="21"/>
        <v>3093829.6964400737</v>
      </c>
      <c r="AZ54">
        <v>2544783</v>
      </c>
      <c r="BA54" s="54"/>
    </row>
    <row r="55" spans="2:53">
      <c r="B55" s="340" t="s">
        <v>25</v>
      </c>
      <c r="C55" s="604">
        <v>38</v>
      </c>
      <c r="D55" s="226">
        <f>+'INPUT VOL'!J46</f>
        <v>964.3216000000001</v>
      </c>
      <c r="E55" s="229"/>
      <c r="F55" s="229"/>
      <c r="G55" s="229"/>
      <c r="H55" s="229"/>
      <c r="I55" s="229"/>
      <c r="J55" s="229"/>
      <c r="K55" s="229"/>
      <c r="L55" s="229"/>
      <c r="M55" s="229"/>
      <c r="N55" s="229">
        <f t="shared" si="23"/>
        <v>968</v>
      </c>
      <c r="O55" s="229"/>
      <c r="P55" s="238"/>
      <c r="Q55" s="263"/>
      <c r="R55" s="227">
        <f t="shared" si="4"/>
        <v>3725160.2398768859</v>
      </c>
      <c r="S55" s="1241">
        <f t="shared" si="17"/>
        <v>968</v>
      </c>
      <c r="T55" s="1246">
        <v>0.98</v>
      </c>
      <c r="U55" s="1243">
        <f t="shared" si="5"/>
        <v>1710160.76</v>
      </c>
      <c r="V55" s="1244">
        <f t="shared" si="6"/>
        <v>2.507312369217913E-3</v>
      </c>
      <c r="W55" s="1245">
        <f t="shared" si="7"/>
        <v>2014999.4798768861</v>
      </c>
      <c r="X55" s="1245"/>
      <c r="Y55" s="1245"/>
      <c r="Z55" s="1245">
        <f t="shared" si="8"/>
        <v>3725160.2398768859</v>
      </c>
      <c r="AA55" s="595"/>
      <c r="AB55" s="258"/>
      <c r="AC55" s="259"/>
      <c r="AD55" s="227"/>
      <c r="AE55" s="1250"/>
      <c r="AF55" s="1254"/>
      <c r="AG55" s="1254"/>
      <c r="AH55" s="1251"/>
      <c r="AI55" s="1254"/>
      <c r="AJ55" s="1254"/>
      <c r="AK55" s="1254"/>
      <c r="AM55" s="227">
        <f t="shared" si="9"/>
        <v>3725160.2398768859</v>
      </c>
      <c r="AP55" s="227">
        <f t="shared" si="22"/>
        <v>81953.525277291483</v>
      </c>
      <c r="AQ55" s="223">
        <f t="shared" si="24"/>
        <v>167632.21079445985</v>
      </c>
      <c r="AS55" s="227">
        <f t="shared" si="18"/>
        <v>105399.999738</v>
      </c>
      <c r="AU55" s="223">
        <f t="shared" si="19"/>
        <v>4080145.9756866372</v>
      </c>
      <c r="AW55" s="223">
        <f t="shared" si="20"/>
        <v>3974745.9759486374</v>
      </c>
      <c r="AX55" s="457">
        <f t="shared" si="21"/>
        <v>4080145.9756866372</v>
      </c>
      <c r="AY55" s="54"/>
      <c r="AZ55" s="54">
        <v>46593</v>
      </c>
      <c r="BA55" s="54"/>
    </row>
    <row r="56" spans="2:53">
      <c r="B56" s="340" t="s">
        <v>190</v>
      </c>
      <c r="C56" s="604">
        <v>50</v>
      </c>
      <c r="D56" s="226">
        <f>+'INPUT VOL'!J47</f>
        <v>6511.1632</v>
      </c>
      <c r="E56" s="229"/>
      <c r="F56" s="229"/>
      <c r="G56" s="229"/>
      <c r="H56" s="229"/>
      <c r="I56" s="229"/>
      <c r="J56" s="229"/>
      <c r="K56" s="229"/>
      <c r="L56" s="229"/>
      <c r="M56" s="229"/>
      <c r="N56" s="229">
        <f t="shared" si="23"/>
        <v>6535.9999999999991</v>
      </c>
      <c r="O56" s="229"/>
      <c r="P56" s="238"/>
      <c r="Q56" s="263"/>
      <c r="R56" s="227">
        <f t="shared" si="4"/>
        <v>25152528.231234841</v>
      </c>
      <c r="S56" s="1241">
        <f t="shared" si="17"/>
        <v>6535.9999999999991</v>
      </c>
      <c r="T56" s="1246">
        <v>0.98</v>
      </c>
      <c r="U56" s="1243">
        <f t="shared" si="5"/>
        <v>11547118.519999998</v>
      </c>
      <c r="V56" s="1244">
        <f t="shared" si="6"/>
        <v>1.6929538889677975E-2</v>
      </c>
      <c r="W56" s="1245">
        <f t="shared" si="7"/>
        <v>13605409.711234843</v>
      </c>
      <c r="X56" s="1245"/>
      <c r="Y56" s="1245"/>
      <c r="Z56" s="1245">
        <f t="shared" si="8"/>
        <v>25152528.231234841</v>
      </c>
      <c r="AA56" s="595"/>
      <c r="AB56" s="258"/>
      <c r="AC56" s="259"/>
      <c r="AD56" s="227"/>
      <c r="AE56" s="1250"/>
      <c r="AF56" s="1254"/>
      <c r="AG56" s="1254"/>
      <c r="AH56" s="1251"/>
      <c r="AI56" s="1254"/>
      <c r="AJ56" s="1254"/>
      <c r="AK56" s="1254"/>
      <c r="AM56" s="227">
        <f t="shared" si="9"/>
        <v>25152528.231234841</v>
      </c>
      <c r="AP56" s="227">
        <f t="shared" si="22"/>
        <v>553355.62108716648</v>
      </c>
      <c r="AQ56" s="223">
        <f t="shared" si="24"/>
        <v>1131863.7704055677</v>
      </c>
      <c r="AS56" s="227">
        <f t="shared" si="18"/>
        <v>711667.76682599983</v>
      </c>
      <c r="AU56" s="223">
        <f t="shared" si="19"/>
        <v>27549415.389553577</v>
      </c>
      <c r="AW56" s="223">
        <f t="shared" si="20"/>
        <v>26837747.622727577</v>
      </c>
      <c r="AX56" s="457">
        <f t="shared" si="21"/>
        <v>27549415.389553577</v>
      </c>
      <c r="AY56" s="54"/>
      <c r="AZ56" s="54">
        <v>57113</v>
      </c>
      <c r="BA56" s="54"/>
    </row>
    <row r="57" spans="2:53">
      <c r="B57" s="340" t="s">
        <v>215</v>
      </c>
      <c r="C57" s="604">
        <v>58</v>
      </c>
      <c r="D57" s="226">
        <f>+'INPUT VOL'!J48</f>
        <v>514.03920000000005</v>
      </c>
      <c r="E57" s="229"/>
      <c r="F57" s="229"/>
      <c r="G57" s="229"/>
      <c r="H57" s="229"/>
      <c r="I57" s="229"/>
      <c r="J57" s="229"/>
      <c r="K57" s="229"/>
      <c r="L57" s="229"/>
      <c r="M57" s="229"/>
      <c r="N57" s="229">
        <f t="shared" si="23"/>
        <v>516</v>
      </c>
      <c r="O57" s="229"/>
      <c r="P57" s="238"/>
      <c r="Q57" s="263"/>
      <c r="R57" s="227">
        <f t="shared" si="4"/>
        <v>1985725.9129922246</v>
      </c>
      <c r="S57" s="1241">
        <f t="shared" si="17"/>
        <v>516</v>
      </c>
      <c r="T57" s="1246">
        <v>0.98</v>
      </c>
      <c r="U57" s="1243">
        <f t="shared" si="5"/>
        <v>911614.62</v>
      </c>
      <c r="V57" s="1244">
        <f t="shared" si="6"/>
        <v>1.3365425439219455E-3</v>
      </c>
      <c r="W57" s="1245">
        <f t="shared" si="7"/>
        <v>1074111.2929922245</v>
      </c>
      <c r="X57" s="1245"/>
      <c r="Y57" s="1245"/>
      <c r="Z57" s="1245">
        <f t="shared" si="8"/>
        <v>1985725.9129922246</v>
      </c>
      <c r="AA57" s="595"/>
      <c r="AB57" s="258"/>
      <c r="AC57" s="259"/>
      <c r="AD57" s="227"/>
      <c r="AE57" s="1250"/>
      <c r="AF57" s="1254"/>
      <c r="AG57" s="1254"/>
      <c r="AH57" s="1251"/>
      <c r="AI57" s="1254"/>
      <c r="AJ57" s="1254"/>
      <c r="AK57" s="1254"/>
      <c r="AM57" s="227">
        <f t="shared" si="9"/>
        <v>1985725.9129922246</v>
      </c>
      <c r="AP57" s="227">
        <f t="shared" si="22"/>
        <v>43685.970085828936</v>
      </c>
      <c r="AQ57" s="223">
        <f>+AM57*$AQ$5</f>
        <v>89357.666084650104</v>
      </c>
      <c r="AS57" s="227">
        <f t="shared" si="18"/>
        <v>56184.297381000004</v>
      </c>
      <c r="AU57" s="223">
        <f>+AM57+AP57+AQ57+AS57</f>
        <v>2174953.8465437037</v>
      </c>
      <c r="AW57" s="223">
        <f t="shared" si="20"/>
        <v>2118769.5491627036</v>
      </c>
      <c r="AX57" s="457">
        <f t="shared" si="21"/>
        <v>2174953.8465437037</v>
      </c>
      <c r="AY57" s="54"/>
      <c r="AZ57" s="54">
        <v>323285</v>
      </c>
      <c r="BA57" s="54"/>
    </row>
    <row r="58" spans="2:53">
      <c r="B58" s="340" t="s">
        <v>350</v>
      </c>
      <c r="C58" s="604">
        <v>61</v>
      </c>
      <c r="D58" s="226">
        <f>+'INPUT VOL'!J49</f>
        <v>1541.1214000000002</v>
      </c>
      <c r="E58" s="229"/>
      <c r="F58" s="229"/>
      <c r="G58" s="229"/>
      <c r="H58" s="229"/>
      <c r="I58" s="229"/>
      <c r="J58" s="229"/>
      <c r="K58" s="229"/>
      <c r="L58" s="229"/>
      <c r="M58" s="229"/>
      <c r="N58" s="229">
        <f t="shared" si="23"/>
        <v>1547</v>
      </c>
      <c r="O58" s="229"/>
      <c r="P58" s="238"/>
      <c r="Q58" s="263"/>
      <c r="R58" s="227">
        <f t="shared" si="4"/>
        <v>5953329.4329437427</v>
      </c>
      <c r="S58" s="1241">
        <f t="shared" si="17"/>
        <v>1547</v>
      </c>
      <c r="T58" s="1246">
        <v>0.98</v>
      </c>
      <c r="U58" s="1243">
        <f t="shared" si="5"/>
        <v>2733077.165</v>
      </c>
      <c r="V58" s="1244">
        <f t="shared" si="6"/>
        <v>4.0070374330373054E-3</v>
      </c>
      <c r="W58" s="1245">
        <f t="shared" si="7"/>
        <v>3220252.2679437427</v>
      </c>
      <c r="X58" s="1245"/>
      <c r="Y58" s="1245"/>
      <c r="Z58" s="1245">
        <f t="shared" si="8"/>
        <v>5953329.4329437427</v>
      </c>
      <c r="AA58" s="595"/>
      <c r="AB58" s="258"/>
      <c r="AC58" s="259"/>
      <c r="AD58" s="227"/>
      <c r="AE58" s="1250"/>
      <c r="AF58" s="1254"/>
      <c r="AG58" s="1254"/>
      <c r="AH58" s="1251"/>
      <c r="AI58" s="1254"/>
      <c r="AJ58" s="1254"/>
      <c r="AK58" s="1254"/>
      <c r="AM58" s="227">
        <f t="shared" si="9"/>
        <v>5953329.4329437427</v>
      </c>
      <c r="AP58" s="227">
        <f t="shared" si="22"/>
        <v>130973.24752476234</v>
      </c>
      <c r="AQ58" s="223">
        <f>+AM58*$AQ$5</f>
        <v>267899.82448246842</v>
      </c>
      <c r="AS58" s="227">
        <f t="shared" si="18"/>
        <v>168444.00784575002</v>
      </c>
      <c r="AU58" s="223">
        <f>+AM58+AP58+AQ58+AS58</f>
        <v>6520646.5127967242</v>
      </c>
      <c r="AW58" s="223">
        <f t="shared" si="20"/>
        <v>6352202.5049509741</v>
      </c>
      <c r="AX58" s="457">
        <f t="shared" si="21"/>
        <v>6520646.5127967242</v>
      </c>
      <c r="AY58" s="54"/>
      <c r="AZ58" s="54">
        <v>32142230</v>
      </c>
      <c r="BA58" s="54"/>
    </row>
    <row r="59" spans="2:53">
      <c r="B59" s="340" t="s">
        <v>479</v>
      </c>
      <c r="C59" s="604"/>
      <c r="D59" s="226">
        <f>+'INPUT VOL'!J151</f>
        <v>0</v>
      </c>
      <c r="E59" s="229"/>
      <c r="F59" s="229"/>
      <c r="G59" s="229"/>
      <c r="H59" s="229"/>
      <c r="I59" s="229"/>
      <c r="J59" s="229"/>
      <c r="K59" s="229"/>
      <c r="L59" s="229"/>
      <c r="M59" s="229"/>
      <c r="N59" s="229">
        <f t="shared" si="23"/>
        <v>0</v>
      </c>
      <c r="O59" s="229"/>
      <c r="P59" s="238"/>
      <c r="Q59" s="263"/>
      <c r="R59" s="227">
        <f t="shared" si="4"/>
        <v>0</v>
      </c>
      <c r="S59" s="1241">
        <f t="shared" si="17"/>
        <v>0</v>
      </c>
      <c r="T59" s="1246">
        <v>0.98</v>
      </c>
      <c r="U59" s="1243">
        <f t="shared" si="5"/>
        <v>0</v>
      </c>
      <c r="V59" s="1244">
        <f t="shared" si="6"/>
        <v>0</v>
      </c>
      <c r="W59" s="1245">
        <f t="shared" si="7"/>
        <v>0</v>
      </c>
      <c r="X59" s="1245"/>
      <c r="Y59" s="1245"/>
      <c r="Z59" s="1245">
        <f t="shared" si="8"/>
        <v>0</v>
      </c>
      <c r="AA59" s="595"/>
      <c r="AB59" s="258"/>
      <c r="AC59" s="259"/>
      <c r="AD59" s="227"/>
      <c r="AE59" s="1250"/>
      <c r="AF59" s="1254"/>
      <c r="AG59" s="1254"/>
      <c r="AH59" s="1251"/>
      <c r="AI59" s="1254"/>
      <c r="AJ59" s="1254"/>
      <c r="AK59" s="1254"/>
      <c r="AM59" s="227">
        <f t="shared" si="9"/>
        <v>0</v>
      </c>
      <c r="AP59" s="227">
        <f t="shared" si="22"/>
        <v>0</v>
      </c>
      <c r="AQ59" s="223">
        <f>+AM59*$AQ$5</f>
        <v>0</v>
      </c>
      <c r="AS59" s="227">
        <f t="shared" si="18"/>
        <v>0</v>
      </c>
      <c r="AU59" s="223">
        <f>+AM59+AP59+AQ59+AS59</f>
        <v>0</v>
      </c>
      <c r="AW59" s="223">
        <f t="shared" si="20"/>
        <v>0</v>
      </c>
      <c r="AX59" s="457">
        <f t="shared" si="21"/>
        <v>0</v>
      </c>
      <c r="AY59" s="54"/>
      <c r="AZ59" s="54">
        <v>1119492</v>
      </c>
      <c r="BA59" s="54"/>
    </row>
    <row r="60" spans="2:53">
      <c r="B60" s="340" t="s">
        <v>488</v>
      </c>
      <c r="C60" s="604"/>
      <c r="D60" s="226">
        <f>+'INPUT VOL'!J152</f>
        <v>173.5222</v>
      </c>
      <c r="E60" s="229"/>
      <c r="F60" s="229"/>
      <c r="G60" s="229"/>
      <c r="H60" s="229"/>
      <c r="I60" s="229"/>
      <c r="J60" s="229"/>
      <c r="K60" s="229"/>
      <c r="L60" s="229"/>
      <c r="M60" s="229"/>
      <c r="N60" s="229">
        <f>+D60/$G$6</f>
        <v>174.18409957839791</v>
      </c>
      <c r="O60" s="229"/>
      <c r="P60" s="238"/>
      <c r="Q60" s="263"/>
      <c r="R60" s="227">
        <f t="shared" si="4"/>
        <v>670313.72124814487</v>
      </c>
      <c r="S60" s="1241">
        <f t="shared" si="17"/>
        <v>174.18409957839791</v>
      </c>
      <c r="T60" s="1246">
        <v>0.98</v>
      </c>
      <c r="U60" s="1243">
        <f t="shared" si="5"/>
        <v>307730.17780465772</v>
      </c>
      <c r="V60" s="1244">
        <f t="shared" si="6"/>
        <v>4.5117143325826628E-4</v>
      </c>
      <c r="W60" s="1245">
        <f t="shared" si="7"/>
        <v>362583.54344348714</v>
      </c>
      <c r="X60" s="1245"/>
      <c r="Y60" s="1245"/>
      <c r="Z60" s="1245">
        <f t="shared" si="8"/>
        <v>670313.72124814487</v>
      </c>
      <c r="AA60" s="595"/>
      <c r="AB60" s="258"/>
      <c r="AC60" s="259"/>
      <c r="AD60" s="227"/>
      <c r="AE60" s="1250"/>
      <c r="AF60" s="1254"/>
      <c r="AG60" s="1254"/>
      <c r="AH60" s="1251"/>
      <c r="AI60" s="1254"/>
      <c r="AJ60" s="1254"/>
      <c r="AK60" s="1254"/>
      <c r="AM60" s="227">
        <f t="shared" si="9"/>
        <v>670313.72124814487</v>
      </c>
      <c r="AP60" s="227">
        <f t="shared" si="22"/>
        <v>14746.901867459186</v>
      </c>
      <c r="AQ60" s="223">
        <f>+AM60*$AQ$5</f>
        <v>30164.117456166518</v>
      </c>
      <c r="AS60" s="227">
        <f t="shared" si="18"/>
        <v>18965.913274717877</v>
      </c>
      <c r="AU60" s="223">
        <f>+AM60+AP60+AQ60+AS60</f>
        <v>734190.65384648845</v>
      </c>
      <c r="AW60" s="223">
        <f t="shared" si="20"/>
        <v>715224.74057177058</v>
      </c>
      <c r="AX60" s="457">
        <f t="shared" si="21"/>
        <v>734190.65384648845</v>
      </c>
      <c r="AY60" s="54"/>
      <c r="AZ60" s="54">
        <v>76609</v>
      </c>
      <c r="BA60" s="54"/>
    </row>
    <row r="61" spans="2:53">
      <c r="B61" s="340" t="s">
        <v>489</v>
      </c>
      <c r="C61" s="604"/>
      <c r="D61" s="226">
        <f>+'INPUT VOL'!J153</f>
        <v>0</v>
      </c>
      <c r="E61" s="229"/>
      <c r="F61" s="229"/>
      <c r="G61" s="229"/>
      <c r="H61" s="229"/>
      <c r="I61" s="229"/>
      <c r="J61" s="229"/>
      <c r="K61" s="229"/>
      <c r="L61" s="229"/>
      <c r="M61" s="229"/>
      <c r="N61" s="229">
        <f>+D61/$G$6</f>
        <v>0</v>
      </c>
      <c r="O61" s="229"/>
      <c r="P61" s="238"/>
      <c r="Q61" s="263"/>
      <c r="R61" s="227">
        <f t="shared" si="4"/>
        <v>0</v>
      </c>
      <c r="S61" s="1241">
        <f t="shared" si="17"/>
        <v>0</v>
      </c>
      <c r="T61" s="1246">
        <v>0.98</v>
      </c>
      <c r="U61" s="1243">
        <f t="shared" si="5"/>
        <v>0</v>
      </c>
      <c r="V61" s="1244">
        <f t="shared" si="6"/>
        <v>0</v>
      </c>
      <c r="W61" s="1245">
        <f t="shared" si="7"/>
        <v>0</v>
      </c>
      <c r="X61" s="1245"/>
      <c r="Y61" s="1245"/>
      <c r="Z61" s="1245">
        <f t="shared" si="8"/>
        <v>0</v>
      </c>
      <c r="AA61" s="595"/>
      <c r="AB61" s="258"/>
      <c r="AC61" s="259"/>
      <c r="AD61" s="227"/>
      <c r="AE61" s="1250"/>
      <c r="AF61" s="1254"/>
      <c r="AG61" s="1254"/>
      <c r="AH61" s="1251"/>
      <c r="AI61" s="1254"/>
      <c r="AJ61" s="1254"/>
      <c r="AK61" s="1254"/>
      <c r="AM61" s="227">
        <f t="shared" si="9"/>
        <v>0</v>
      </c>
      <c r="AP61" s="227">
        <f t="shared" si="22"/>
        <v>0</v>
      </c>
      <c r="AQ61" s="223">
        <f>+AM61*$AQ$5</f>
        <v>0</v>
      </c>
      <c r="AS61" s="227">
        <f t="shared" si="18"/>
        <v>0</v>
      </c>
      <c r="AU61" s="223">
        <f>+AM61+AP61+AQ61+AS61</f>
        <v>0</v>
      </c>
      <c r="AW61" s="223">
        <f t="shared" si="20"/>
        <v>0</v>
      </c>
      <c r="AX61" s="457">
        <f t="shared" si="21"/>
        <v>0</v>
      </c>
      <c r="AY61" s="54"/>
      <c r="AZ61" s="54">
        <v>240126</v>
      </c>
      <c r="BA61" s="54"/>
    </row>
    <row r="62" spans="2:53">
      <c r="B62" s="1144" t="s">
        <v>580</v>
      </c>
      <c r="C62" s="604"/>
      <c r="D62" s="226">
        <f>+'INPUT VOL'!G168</f>
        <v>88.971557520623804</v>
      </c>
      <c r="E62" s="229"/>
      <c r="F62" s="229"/>
      <c r="G62" s="229"/>
      <c r="H62" s="229"/>
      <c r="I62" s="229"/>
      <c r="J62" s="229"/>
      <c r="K62" s="229"/>
      <c r="L62" s="229"/>
      <c r="M62" s="229"/>
      <c r="N62" s="229">
        <f t="shared" ref="N62:N64" si="25">+D62/$G$6</f>
        <v>89.310939089162616</v>
      </c>
      <c r="O62" s="229"/>
      <c r="P62" s="238"/>
      <c r="Q62" s="263"/>
      <c r="R62" s="227">
        <f t="shared" si="4"/>
        <v>343695.82570352789</v>
      </c>
      <c r="S62" s="1241">
        <f t="shared" si="17"/>
        <v>89.310939089162616</v>
      </c>
      <c r="T62" s="1246">
        <v>0.98</v>
      </c>
      <c r="U62" s="1243">
        <f t="shared" si="5"/>
        <v>157785.18953412815</v>
      </c>
      <c r="V62" s="1244">
        <f t="shared" si="6"/>
        <v>2.3133308087264985E-4</v>
      </c>
      <c r="W62" s="1245">
        <f t="shared" si="7"/>
        <v>185910.63616939975</v>
      </c>
      <c r="X62" s="1245"/>
      <c r="Y62" s="1245"/>
      <c r="Z62" s="1245">
        <f t="shared" si="8"/>
        <v>343695.82570352789</v>
      </c>
      <c r="AA62" s="595"/>
      <c r="AB62" s="258"/>
      <c r="AC62" s="259"/>
      <c r="AD62" s="227"/>
      <c r="AE62" s="1250"/>
      <c r="AF62" s="1254"/>
      <c r="AG62" s="1254"/>
      <c r="AH62" s="1251"/>
      <c r="AI62" s="1254"/>
      <c r="AJ62" s="1254"/>
      <c r="AK62" s="1254"/>
      <c r="AM62" s="227">
        <f t="shared" si="9"/>
        <v>343695.82570352789</v>
      </c>
      <c r="AP62" s="227">
        <f t="shared" si="22"/>
        <v>7561.3081654776133</v>
      </c>
      <c r="AQ62" s="223">
        <f t="shared" ref="AQ62:AQ64" si="26">+AM62*$AQ$5</f>
        <v>15466.312156658754</v>
      </c>
      <c r="AS62" s="227">
        <f t="shared" si="18"/>
        <v>9724.5588394610277</v>
      </c>
      <c r="AU62" s="1072">
        <f t="shared" ref="AU62:AU64" si="27">+AM62+AP62+AQ62+AS62</f>
        <v>376448.00486512523</v>
      </c>
      <c r="AW62" s="223">
        <f t="shared" si="20"/>
        <v>366723.44602566422</v>
      </c>
      <c r="AX62" s="457">
        <f t="shared" si="21"/>
        <v>376448.00486512523</v>
      </c>
      <c r="AY62" s="54"/>
      <c r="AZ62" s="54">
        <v>229</v>
      </c>
      <c r="BA62" s="54"/>
    </row>
    <row r="63" spans="2:53">
      <c r="B63" s="1144" t="s">
        <v>581</v>
      </c>
      <c r="C63" s="604"/>
      <c r="D63" s="226">
        <f>+'INPUT VOL'!G169</f>
        <v>130.09759577353375</v>
      </c>
      <c r="E63" s="229"/>
      <c r="F63" s="229"/>
      <c r="G63" s="229"/>
      <c r="H63" s="229"/>
      <c r="I63" s="229"/>
      <c r="J63" s="229"/>
      <c r="K63" s="229"/>
      <c r="L63" s="229"/>
      <c r="M63" s="229"/>
      <c r="N63" s="229">
        <f t="shared" si="25"/>
        <v>130.59385241270201</v>
      </c>
      <c r="O63" s="229"/>
      <c r="P63" s="238"/>
      <c r="Q63" s="263"/>
      <c r="R63" s="227">
        <f t="shared" si="4"/>
        <v>502565.1101034584</v>
      </c>
      <c r="S63" s="1241">
        <f t="shared" si="17"/>
        <v>130.59385241270201</v>
      </c>
      <c r="T63" s="1246">
        <v>0.98</v>
      </c>
      <c r="U63" s="1243">
        <f t="shared" si="5"/>
        <v>230719.50608825855</v>
      </c>
      <c r="V63" s="1244">
        <f t="shared" si="6"/>
        <v>3.3826403047333302E-4</v>
      </c>
      <c r="W63" s="1245">
        <f t="shared" si="7"/>
        <v>271845.60401519982</v>
      </c>
      <c r="X63" s="1245"/>
      <c r="Y63" s="1245"/>
      <c r="Z63" s="1245">
        <f t="shared" si="8"/>
        <v>502565.1101034584</v>
      </c>
      <c r="AA63" s="595"/>
      <c r="AB63" s="258"/>
      <c r="AC63" s="259"/>
      <c r="AD63" s="227"/>
      <c r="AE63" s="1250"/>
      <c r="AF63" s="1254"/>
      <c r="AG63" s="1254"/>
      <c r="AH63" s="1251"/>
      <c r="AI63" s="1254"/>
      <c r="AJ63" s="1254"/>
      <c r="AK63" s="1254"/>
      <c r="AM63" s="227">
        <f t="shared" si="9"/>
        <v>502565.1101034584</v>
      </c>
      <c r="AP63" s="227">
        <f t="shared" si="22"/>
        <v>11056.432422276084</v>
      </c>
      <c r="AQ63" s="223">
        <f t="shared" si="26"/>
        <v>22615.429954655629</v>
      </c>
      <c r="AS63" s="227">
        <f t="shared" si="18"/>
        <v>14219.619845127274</v>
      </c>
      <c r="AU63" s="1072">
        <f t="shared" si="27"/>
        <v>550456.59232551733</v>
      </c>
      <c r="AW63" s="223">
        <f t="shared" si="20"/>
        <v>536236.9724803901</v>
      </c>
      <c r="AX63" s="457">
        <f t="shared" si="21"/>
        <v>550456.59232551733</v>
      </c>
      <c r="AY63" s="54"/>
      <c r="AZ63" s="54">
        <v>25114</v>
      </c>
      <c r="BA63" s="54"/>
    </row>
    <row r="64" spans="2:53">
      <c r="B64" s="1144" t="s">
        <v>582</v>
      </c>
      <c r="C64" s="604"/>
      <c r="D64" s="226">
        <f>+'INPUT VOL'!G170</f>
        <v>114.09045513617359</v>
      </c>
      <c r="E64" s="229"/>
      <c r="F64" s="229"/>
      <c r="G64" s="229"/>
      <c r="H64" s="229"/>
      <c r="I64" s="229"/>
      <c r="J64" s="229"/>
      <c r="K64" s="229"/>
      <c r="L64" s="229"/>
      <c r="M64" s="229"/>
      <c r="N64" s="229">
        <f t="shared" si="25"/>
        <v>114.52565261611481</v>
      </c>
      <c r="O64" s="229"/>
      <c r="P64" s="238"/>
      <c r="Q64" s="263"/>
      <c r="R64" s="227">
        <f t="shared" si="4"/>
        <v>440729.7598879165</v>
      </c>
      <c r="S64" s="1241">
        <f t="shared" si="17"/>
        <v>114.52565261611481</v>
      </c>
      <c r="T64" s="1246">
        <v>0.98</v>
      </c>
      <c r="U64" s="1243">
        <f t="shared" si="5"/>
        <v>202331.89784862695</v>
      </c>
      <c r="V64" s="1244">
        <f t="shared" si="6"/>
        <v>2.9664419979043234E-4</v>
      </c>
      <c r="W64" s="1245">
        <f t="shared" si="7"/>
        <v>238397.86203928955</v>
      </c>
      <c r="X64" s="1245"/>
      <c r="Y64" s="1245"/>
      <c r="Z64" s="1245">
        <f t="shared" si="8"/>
        <v>440729.7598879165</v>
      </c>
      <c r="AA64" s="595"/>
      <c r="AB64" s="258"/>
      <c r="AC64" s="259"/>
      <c r="AD64" s="227"/>
      <c r="AE64" s="1250"/>
      <c r="AF64" s="1254"/>
      <c r="AG64" s="1254"/>
      <c r="AH64" s="1251"/>
      <c r="AI64" s="1254"/>
      <c r="AJ64" s="1254"/>
      <c r="AK64" s="1254"/>
      <c r="AM64" s="227">
        <f t="shared" si="9"/>
        <v>440729.7598879165</v>
      </c>
      <c r="AP64" s="227">
        <f t="shared" si="22"/>
        <v>9696.0547175341617</v>
      </c>
      <c r="AQ64" s="223">
        <f t="shared" si="26"/>
        <v>19832.839194956243</v>
      </c>
      <c r="AS64" s="227">
        <f t="shared" si="18"/>
        <v>12470.045202203284</v>
      </c>
      <c r="AU64" s="1072">
        <f t="shared" si="27"/>
        <v>482728.69900261017</v>
      </c>
      <c r="AW64" s="223">
        <f t="shared" si="20"/>
        <v>470258.6538004069</v>
      </c>
      <c r="AX64" s="457">
        <f t="shared" si="21"/>
        <v>482728.69900261017</v>
      </c>
      <c r="AY64" s="54"/>
      <c r="AZ64" s="54">
        <v>1636375</v>
      </c>
      <c r="BA64" s="54"/>
    </row>
    <row r="65" spans="2:53">
      <c r="B65" s="341"/>
      <c r="C65" s="606"/>
      <c r="D65" s="239"/>
      <c r="E65" s="239"/>
      <c r="F65" s="239"/>
      <c r="G65" s="239"/>
      <c r="H65" s="239"/>
      <c r="I65" s="239"/>
      <c r="J65" s="239"/>
      <c r="K65" s="239"/>
      <c r="L65" s="239"/>
      <c r="M65" s="239"/>
      <c r="N65" s="239"/>
      <c r="O65" s="239"/>
      <c r="P65" s="238"/>
      <c r="Q65" s="263"/>
      <c r="R65" s="227">
        <f t="shared" si="4"/>
        <v>0</v>
      </c>
      <c r="S65" s="1241"/>
      <c r="T65" s="1247"/>
      <c r="U65" s="1243">
        <f t="shared" si="5"/>
        <v>0</v>
      </c>
      <c r="V65" s="1244">
        <f t="shared" si="6"/>
        <v>0</v>
      </c>
      <c r="W65" s="1245">
        <f t="shared" si="7"/>
        <v>0</v>
      </c>
      <c r="X65" s="1245"/>
      <c r="Y65" s="1245"/>
      <c r="Z65" s="1245">
        <f t="shared" si="8"/>
        <v>0</v>
      </c>
      <c r="AA65" s="595"/>
      <c r="AB65" s="258"/>
      <c r="AC65" s="259"/>
      <c r="AD65" s="239"/>
      <c r="AE65" s="1250"/>
      <c r="AF65" s="1272"/>
      <c r="AG65" s="1272"/>
      <c r="AH65" s="1273"/>
      <c r="AI65" s="1272"/>
      <c r="AJ65" s="1272"/>
      <c r="AK65" s="1272"/>
      <c r="AM65" s="227">
        <f t="shared" si="9"/>
        <v>0</v>
      </c>
      <c r="AP65" s="227">
        <f t="shared" si="22"/>
        <v>0</v>
      </c>
      <c r="AQ65" s="239"/>
      <c r="AS65" s="239"/>
      <c r="AU65" s="239"/>
      <c r="AW65" s="239"/>
      <c r="AY65" s="54"/>
      <c r="AZ65" s="54">
        <v>381970</v>
      </c>
      <c r="BA65" s="54"/>
    </row>
    <row r="66" spans="2:53">
      <c r="B66" s="340" t="s">
        <v>61</v>
      </c>
      <c r="C66" s="604">
        <v>2</v>
      </c>
      <c r="D66" s="226">
        <f>+'INPUT VOL'!J51</f>
        <v>14533.974253005081</v>
      </c>
      <c r="E66" s="229"/>
      <c r="F66" s="229"/>
      <c r="G66" s="229"/>
      <c r="H66" s="229"/>
      <c r="I66" s="229"/>
      <c r="J66" s="229">
        <f>+D66/$G$6</f>
        <v>14589.414026305039</v>
      </c>
      <c r="K66" s="229"/>
      <c r="L66" s="229"/>
      <c r="M66" s="229"/>
      <c r="N66" s="229"/>
      <c r="O66" s="240"/>
      <c r="P66" s="238"/>
      <c r="Q66" s="263"/>
      <c r="R66" s="227">
        <f t="shared" si="4"/>
        <v>52725391.416683197</v>
      </c>
      <c r="S66" s="1241">
        <f t="shared" ref="S66:S80" si="28">SUM(E66:O66)</f>
        <v>14589.414026305039</v>
      </c>
      <c r="T66" s="1246">
        <v>0.85</v>
      </c>
      <c r="U66" s="1243">
        <f t="shared" si="5"/>
        <v>22355906.215533197</v>
      </c>
      <c r="V66" s="1244">
        <f t="shared" si="6"/>
        <v>3.7789481660946221E-2</v>
      </c>
      <c r="W66" s="1245">
        <f t="shared" si="7"/>
        <v>30369485.201150004</v>
      </c>
      <c r="X66" s="1245"/>
      <c r="Y66" s="1245"/>
      <c r="Z66" s="1245">
        <f t="shared" si="8"/>
        <v>52725391.416683197</v>
      </c>
      <c r="AA66" s="595"/>
      <c r="AB66" s="258"/>
      <c r="AC66" s="259"/>
      <c r="AD66" s="227"/>
      <c r="AE66" s="1250"/>
      <c r="AF66" s="1254"/>
      <c r="AG66" s="1254"/>
      <c r="AH66" s="1251"/>
      <c r="AI66" s="1254"/>
      <c r="AJ66" s="1254"/>
      <c r="AK66" s="1254"/>
      <c r="AM66" s="227">
        <f t="shared" si="9"/>
        <v>52725391.416683197</v>
      </c>
      <c r="AP66" s="227">
        <f t="shared" si="22"/>
        <v>1159958.6111670302</v>
      </c>
      <c r="AQ66" s="223">
        <f>+AM66*$AQ$5-AQ198</f>
        <v>976122.82041741046</v>
      </c>
      <c r="AS66" s="227">
        <f t="shared" ref="AS66:AS80" si="29">+(D66/$AS$4)*$AS$2*$AS$3*$AS$1</f>
        <v>1588558.0935435172</v>
      </c>
      <c r="AU66" s="223">
        <f t="shared" ref="AU66:AU80" si="30">+AM66+AP66+AQ66+AS66</f>
        <v>56450030.941811152</v>
      </c>
      <c r="AW66" s="223">
        <f t="shared" ref="AW66:AW80" si="31">+AM66+AP66+AQ66</f>
        <v>54861472.848267637</v>
      </c>
      <c r="AX66" s="457">
        <f t="shared" ref="AX66:AX80" si="32">+AW66+AS66</f>
        <v>56450030.941811152</v>
      </c>
      <c r="AY66" s="54"/>
      <c r="AZ66" s="54">
        <v>2504983984</v>
      </c>
      <c r="BA66" s="54"/>
    </row>
    <row r="67" spans="2:53">
      <c r="B67" s="340" t="s">
        <v>217</v>
      </c>
      <c r="C67" s="604">
        <v>2</v>
      </c>
      <c r="D67" s="226">
        <f>+'INPUT VOL'!J52</f>
        <v>26159.215800000002</v>
      </c>
      <c r="E67" s="229"/>
      <c r="F67" s="229"/>
      <c r="G67" s="229"/>
      <c r="H67" s="229"/>
      <c r="I67" s="229"/>
      <c r="J67" s="229">
        <f>+D67/$G$6</f>
        <v>26259</v>
      </c>
      <c r="K67" s="229"/>
      <c r="L67" s="229"/>
      <c r="M67" s="229"/>
      <c r="N67" s="229"/>
      <c r="O67" s="240"/>
      <c r="P67" s="238"/>
      <c r="Q67" s="263"/>
      <c r="R67" s="227">
        <f t="shared" si="4"/>
        <v>94898674.526226401</v>
      </c>
      <c r="S67" s="1241">
        <f t="shared" si="28"/>
        <v>26259</v>
      </c>
      <c r="T67" s="1246">
        <v>0.85</v>
      </c>
      <c r="U67" s="1243">
        <f t="shared" si="5"/>
        <v>40237650.412499994</v>
      </c>
      <c r="V67" s="1244">
        <f t="shared" si="6"/>
        <v>6.8016028412492963E-2</v>
      </c>
      <c r="W67" s="1245">
        <f t="shared" si="7"/>
        <v>54661024.113726407</v>
      </c>
      <c r="X67" s="1245"/>
      <c r="Y67" s="1245"/>
      <c r="Z67" s="1245">
        <f t="shared" si="8"/>
        <v>94898674.526226401</v>
      </c>
      <c r="AA67" s="595"/>
      <c r="AB67" s="258"/>
      <c r="AC67" s="259"/>
      <c r="AD67" s="227"/>
      <c r="AE67" s="1250"/>
      <c r="AF67" s="1254"/>
      <c r="AG67" s="1254"/>
      <c r="AH67" s="1251"/>
      <c r="AI67" s="1254"/>
      <c r="AJ67" s="1254"/>
      <c r="AK67" s="1254"/>
      <c r="AM67" s="227">
        <f t="shared" si="9"/>
        <v>94898674.526226401</v>
      </c>
      <c r="AP67" s="227">
        <f t="shared" si="22"/>
        <v>2087770.8395769808</v>
      </c>
      <c r="AQ67" s="223">
        <f>+AM67*$AQ$5</f>
        <v>4270440.3536801878</v>
      </c>
      <c r="AS67" s="227">
        <f t="shared" si="29"/>
        <v>2859192.7614877503</v>
      </c>
      <c r="AU67" s="223">
        <f>+AM67+AP67+AQ67+AS67</f>
        <v>104116078.48097132</v>
      </c>
      <c r="AW67" s="223">
        <f t="shared" si="31"/>
        <v>101256885.71948357</v>
      </c>
      <c r="AX67" s="457">
        <f t="shared" si="32"/>
        <v>104116078.48097132</v>
      </c>
      <c r="AY67" s="54"/>
      <c r="AZ67" s="54">
        <v>2808226</v>
      </c>
      <c r="BA67" s="54"/>
    </row>
    <row r="68" spans="2:53">
      <c r="B68" s="340" t="s">
        <v>26</v>
      </c>
      <c r="C68" s="604">
        <v>6</v>
      </c>
      <c r="D68" s="226">
        <f>+'INPUT VOL'!J53</f>
        <v>2204.5906</v>
      </c>
      <c r="E68" s="229"/>
      <c r="F68" s="229"/>
      <c r="G68" s="229"/>
      <c r="H68" s="229"/>
      <c r="I68" s="229"/>
      <c r="J68" s="229"/>
      <c r="K68" s="229"/>
      <c r="L68" s="229"/>
      <c r="M68" s="229"/>
      <c r="N68" s="229">
        <f>+D68/$G$6</f>
        <v>2213</v>
      </c>
      <c r="O68" s="229"/>
      <c r="P68" s="238"/>
      <c r="Q68" s="263"/>
      <c r="R68" s="227">
        <f t="shared" si="4"/>
        <v>7997668.1033755671</v>
      </c>
      <c r="S68" s="1241">
        <f t="shared" si="28"/>
        <v>2213</v>
      </c>
      <c r="T68" s="1246">
        <v>0.85</v>
      </c>
      <c r="U68" s="1243">
        <f t="shared" si="5"/>
        <v>3391062.8874999997</v>
      </c>
      <c r="V68" s="1244">
        <f t="shared" si="6"/>
        <v>5.7321097862388865E-3</v>
      </c>
      <c r="W68" s="1245">
        <f t="shared" si="7"/>
        <v>4606605.2158755679</v>
      </c>
      <c r="X68" s="1245"/>
      <c r="Y68" s="1245"/>
      <c r="Z68" s="1245">
        <f t="shared" si="8"/>
        <v>7997668.1033755671</v>
      </c>
      <c r="AA68" s="595"/>
      <c r="AB68" s="258"/>
      <c r="AC68" s="259"/>
      <c r="AD68" s="227"/>
      <c r="AE68" s="1250"/>
      <c r="AF68" s="1254"/>
      <c r="AG68" s="1254"/>
      <c r="AH68" s="1251"/>
      <c r="AI68" s="1254"/>
      <c r="AJ68" s="1254"/>
      <c r="AK68" s="1254"/>
      <c r="AM68" s="227">
        <f t="shared" si="9"/>
        <v>7997668.1033755671</v>
      </c>
      <c r="AP68" s="227">
        <f t="shared" si="22"/>
        <v>175948.69827426245</v>
      </c>
      <c r="AQ68" s="223">
        <f t="shared" ref="AQ68:AQ80" si="33">+AM68*$AQ$5</f>
        <v>359895.06465190049</v>
      </c>
      <c r="AS68" s="227">
        <f t="shared" si="29"/>
        <v>240960.94981424997</v>
      </c>
      <c r="AU68" s="223">
        <f t="shared" si="30"/>
        <v>8774472.816115981</v>
      </c>
      <c r="AW68" s="223">
        <f t="shared" si="31"/>
        <v>8533511.8663017303</v>
      </c>
      <c r="AX68" s="457">
        <f t="shared" si="32"/>
        <v>8774472.816115981</v>
      </c>
      <c r="AZ68">
        <v>293052154</v>
      </c>
      <c r="BA68" s="54"/>
    </row>
    <row r="69" spans="2:53">
      <c r="B69" s="340" t="s">
        <v>27</v>
      </c>
      <c r="C69" s="604">
        <v>8</v>
      </c>
      <c r="D69" s="226">
        <f>+'INPUT VOL'!J54</f>
        <v>2943.7710000000002</v>
      </c>
      <c r="E69" s="229"/>
      <c r="F69" s="229"/>
      <c r="G69" s="229"/>
      <c r="H69" s="229"/>
      <c r="I69" s="229"/>
      <c r="J69" s="229"/>
      <c r="K69" s="229"/>
      <c r="L69" s="229"/>
      <c r="M69" s="229"/>
      <c r="N69" s="229">
        <f>+D69/$G$6</f>
        <v>2955</v>
      </c>
      <c r="O69" s="229"/>
      <c r="P69" s="238"/>
      <c r="Q69" s="263"/>
      <c r="R69" s="227">
        <f t="shared" si="4"/>
        <v>10679217.914810123</v>
      </c>
      <c r="S69" s="1241">
        <f t="shared" si="28"/>
        <v>2955</v>
      </c>
      <c r="T69" s="1246">
        <v>0.85</v>
      </c>
      <c r="U69" s="1243">
        <f t="shared" si="5"/>
        <v>4528057.3125</v>
      </c>
      <c r="V69" s="1244">
        <f t="shared" si="6"/>
        <v>7.6540372428088154E-3</v>
      </c>
      <c r="W69" s="1245">
        <f t="shared" si="7"/>
        <v>6151160.6023101229</v>
      </c>
      <c r="X69" s="1245"/>
      <c r="Y69" s="1245"/>
      <c r="Z69" s="1245">
        <f t="shared" si="8"/>
        <v>10679217.914810123</v>
      </c>
      <c r="AA69" s="595"/>
      <c r="AB69" s="258"/>
      <c r="AC69" s="259"/>
      <c r="AD69" s="227"/>
      <c r="AE69" s="1250"/>
      <c r="AF69" s="1254"/>
      <c r="AG69" s="1254"/>
      <c r="AH69" s="1251"/>
      <c r="AI69" s="1254"/>
      <c r="AJ69" s="1254"/>
      <c r="AK69" s="1254"/>
      <c r="AM69" s="227">
        <f t="shared" si="9"/>
        <v>10679217.914810123</v>
      </c>
      <c r="AP69" s="227">
        <f t="shared" si="22"/>
        <v>234942.79412582269</v>
      </c>
      <c r="AQ69" s="223">
        <f t="shared" si="33"/>
        <v>480564.8061664555</v>
      </c>
      <c r="AS69" s="227">
        <f t="shared" si="29"/>
        <v>321753.09837375005</v>
      </c>
      <c r="AU69" s="223">
        <f t="shared" si="30"/>
        <v>11716478.613476152</v>
      </c>
      <c r="AW69" s="223">
        <f t="shared" si="31"/>
        <v>11394725.515102401</v>
      </c>
      <c r="AX69" s="457">
        <f t="shared" si="32"/>
        <v>11716478.613476152</v>
      </c>
      <c r="AZ69">
        <v>18705261</v>
      </c>
      <c r="BA69" s="54"/>
    </row>
    <row r="70" spans="2:53">
      <c r="B70" s="340" t="s">
        <v>28</v>
      </c>
      <c r="C70" s="604">
        <v>3</v>
      </c>
      <c r="D70" s="226">
        <f>+'INPUT VOL'!J55</f>
        <v>6456.0901721706241</v>
      </c>
      <c r="E70" s="229"/>
      <c r="F70" s="229"/>
      <c r="G70" s="229"/>
      <c r="H70" s="229"/>
      <c r="I70" s="229"/>
      <c r="J70" s="229"/>
      <c r="K70" s="229"/>
      <c r="L70" s="229"/>
      <c r="M70" s="229"/>
      <c r="N70" s="229">
        <f>+D70/$G$6</f>
        <v>6480.7168963768554</v>
      </c>
      <c r="O70" s="229"/>
      <c r="P70" s="238"/>
      <c r="Q70" s="263"/>
      <c r="R70" s="227">
        <f t="shared" si="4"/>
        <v>23420977.320000127</v>
      </c>
      <c r="S70" s="1241">
        <f t="shared" si="28"/>
        <v>6480.7168963768554</v>
      </c>
      <c r="T70" s="1246">
        <v>0.85</v>
      </c>
      <c r="U70" s="1243">
        <f t="shared" si="5"/>
        <v>9930645.5272018686</v>
      </c>
      <c r="V70" s="1244">
        <f t="shared" si="6"/>
        <v>1.6786344664964065E-2</v>
      </c>
      <c r="W70" s="1245">
        <f t="shared" si="7"/>
        <v>13490331.792798257</v>
      </c>
      <c r="X70" s="1245"/>
      <c r="Y70" s="1245"/>
      <c r="Z70" s="1245">
        <f t="shared" si="8"/>
        <v>23420977.320000127</v>
      </c>
      <c r="AA70" s="595"/>
      <c r="AB70" s="258"/>
      <c r="AC70" s="259"/>
      <c r="AD70" s="227"/>
      <c r="AE70" s="1250"/>
      <c r="AF70" s="1254"/>
      <c r="AG70" s="1254"/>
      <c r="AH70" s="1251"/>
      <c r="AI70" s="1254"/>
      <c r="AJ70" s="1254"/>
      <c r="AK70" s="1254"/>
      <c r="AM70" s="227">
        <f t="shared" si="9"/>
        <v>23420977.320000127</v>
      </c>
      <c r="AP70" s="227">
        <f t="shared" si="22"/>
        <v>515261.50104000274</v>
      </c>
      <c r="AQ70" s="223">
        <f t="shared" si="33"/>
        <v>1053943.9794000057</v>
      </c>
      <c r="AS70" s="227">
        <f t="shared" si="29"/>
        <v>705648.30493819504</v>
      </c>
      <c r="AU70" s="223">
        <f t="shared" si="30"/>
        <v>25695831.10537833</v>
      </c>
      <c r="AW70" s="223">
        <f t="shared" si="31"/>
        <v>24990182.800440136</v>
      </c>
      <c r="AX70" s="457">
        <f t="shared" si="32"/>
        <v>25695831.10537833</v>
      </c>
      <c r="AZ70">
        <v>5276812</v>
      </c>
      <c r="BA70" s="54"/>
    </row>
    <row r="71" spans="2:53">
      <c r="B71" s="1115" t="s">
        <v>575</v>
      </c>
      <c r="C71" s="604"/>
      <c r="D71" s="226">
        <f>+'INPUT VOL'!J160</f>
        <v>383.81902782937652</v>
      </c>
      <c r="E71" s="229"/>
      <c r="F71" s="229"/>
      <c r="G71" s="229"/>
      <c r="H71" s="229"/>
      <c r="I71" s="229"/>
      <c r="J71" s="229"/>
      <c r="K71" s="229"/>
      <c r="L71" s="229"/>
      <c r="M71" s="229"/>
      <c r="N71" s="229">
        <f>+D71/$G$6</f>
        <v>385.28310362314443</v>
      </c>
      <c r="O71" s="229"/>
      <c r="P71" s="238"/>
      <c r="Q71" s="263"/>
      <c r="R71" s="227">
        <f t="shared" si="4"/>
        <v>1392393.3071018371</v>
      </c>
      <c r="S71" s="1241">
        <f t="shared" si="28"/>
        <v>385.28310362314443</v>
      </c>
      <c r="T71" s="1246">
        <v>0.85</v>
      </c>
      <c r="U71" s="1243">
        <f t="shared" si="5"/>
        <v>590383.74779813003</v>
      </c>
      <c r="V71" s="1244">
        <f t="shared" si="6"/>
        <v>9.9795980512910843E-4</v>
      </c>
      <c r="W71" s="1245">
        <f t="shared" si="7"/>
        <v>802009.55930370709</v>
      </c>
      <c r="X71" s="1245"/>
      <c r="Y71" s="1245"/>
      <c r="Z71" s="1245">
        <f t="shared" si="8"/>
        <v>1392393.3071018371</v>
      </c>
      <c r="AA71" s="595"/>
      <c r="AB71" s="258"/>
      <c r="AC71" s="259"/>
      <c r="AD71" s="227"/>
      <c r="AE71" s="1250"/>
      <c r="AF71" s="1254"/>
      <c r="AG71" s="1254"/>
      <c r="AH71" s="1251"/>
      <c r="AI71" s="1254"/>
      <c r="AJ71" s="1254"/>
      <c r="AK71" s="1254"/>
      <c r="AM71" s="227">
        <f t="shared" si="9"/>
        <v>1392393.3071018371</v>
      </c>
      <c r="AP71" s="227">
        <f t="shared" si="22"/>
        <v>30632.652756240415</v>
      </c>
      <c r="AQ71" s="223">
        <f t="shared" ref="AQ71" si="34">+AM71*$AQ$5</f>
        <v>62657.698819582671</v>
      </c>
      <c r="AS71" s="227">
        <f t="shared" si="29"/>
        <v>41951.279980305015</v>
      </c>
      <c r="AU71" s="223">
        <f t="shared" ref="AU71" si="35">+AM71+AP71+AQ71+AS71</f>
        <v>1527634.9386579653</v>
      </c>
      <c r="AW71" s="223">
        <f t="shared" si="31"/>
        <v>1485683.6586776602</v>
      </c>
      <c r="AX71" s="457">
        <f t="shared" si="32"/>
        <v>1527634.9386579653</v>
      </c>
      <c r="AZ71">
        <v>636819</v>
      </c>
      <c r="BA71" s="54"/>
    </row>
    <row r="72" spans="2:53">
      <c r="B72" s="340" t="s">
        <v>29</v>
      </c>
      <c r="C72" s="604">
        <v>14</v>
      </c>
      <c r="D72" s="226">
        <f>+'INPUT VOL'!J56</f>
        <v>3296.4258000000004</v>
      </c>
      <c r="E72" s="229"/>
      <c r="F72" s="229"/>
      <c r="G72" s="229"/>
      <c r="H72" s="229"/>
      <c r="I72" s="229"/>
      <c r="J72" s="229"/>
      <c r="K72" s="229"/>
      <c r="L72" s="229"/>
      <c r="M72" s="229"/>
      <c r="N72" s="229">
        <f>+D72/$G$6</f>
        <v>3309</v>
      </c>
      <c r="O72" s="229"/>
      <c r="P72" s="238"/>
      <c r="Q72" s="263"/>
      <c r="R72" s="227">
        <f t="shared" si="4"/>
        <v>11958555.69546758</v>
      </c>
      <c r="S72" s="1241">
        <f t="shared" si="28"/>
        <v>3309</v>
      </c>
      <c r="T72" s="1246">
        <v>0.85</v>
      </c>
      <c r="U72" s="1243">
        <f t="shared" si="5"/>
        <v>5070504.7875000006</v>
      </c>
      <c r="V72" s="1244">
        <f t="shared" si="6"/>
        <v>8.5709675927087541E-3</v>
      </c>
      <c r="W72" s="1245">
        <f t="shared" si="7"/>
        <v>6888050.9079675786</v>
      </c>
      <c r="X72" s="1245"/>
      <c r="Y72" s="1245"/>
      <c r="Z72" s="1245">
        <f t="shared" si="8"/>
        <v>11958555.69546758</v>
      </c>
      <c r="AA72" s="595"/>
      <c r="AB72" s="258"/>
      <c r="AC72" s="259"/>
      <c r="AD72" s="227"/>
      <c r="AE72" s="1250"/>
      <c r="AF72" s="1254"/>
      <c r="AG72" s="1254"/>
      <c r="AH72" s="1251"/>
      <c r="AI72" s="1254"/>
      <c r="AJ72" s="1254"/>
      <c r="AK72" s="1254"/>
      <c r="AM72" s="227">
        <f t="shared" si="9"/>
        <v>11958555.69546758</v>
      </c>
      <c r="AP72" s="227">
        <f t="shared" si="22"/>
        <v>263088.22530028672</v>
      </c>
      <c r="AQ72" s="223">
        <f t="shared" si="33"/>
        <v>538135.00629604107</v>
      </c>
      <c r="AS72" s="227">
        <f t="shared" si="29"/>
        <v>360298.13960025006</v>
      </c>
      <c r="AU72" s="223">
        <f t="shared" si="30"/>
        <v>13120077.066664157</v>
      </c>
      <c r="AW72" s="223">
        <f t="shared" si="31"/>
        <v>12759778.927063907</v>
      </c>
      <c r="AX72" s="457">
        <f t="shared" si="32"/>
        <v>13120077.066664157</v>
      </c>
      <c r="AY72" s="54"/>
      <c r="AZ72" s="54">
        <v>490286</v>
      </c>
      <c r="BA72" s="54"/>
    </row>
    <row r="73" spans="2:53">
      <c r="B73" s="340" t="s">
        <v>30</v>
      </c>
      <c r="C73" s="604">
        <v>23</v>
      </c>
      <c r="D73" s="226">
        <f>+'INPUT VOL'!J57</f>
        <v>3794.5258000000003</v>
      </c>
      <c r="E73" s="229"/>
      <c r="F73" s="229"/>
      <c r="G73" s="229"/>
      <c r="H73" s="229"/>
      <c r="I73" s="229"/>
      <c r="J73" s="229">
        <f t="shared" ref="J73:J80" si="36">+D73/$G$6</f>
        <v>3809</v>
      </c>
      <c r="K73" s="229"/>
      <c r="L73" s="229"/>
      <c r="M73" s="229"/>
      <c r="N73" s="229"/>
      <c r="O73" s="229"/>
      <c r="P73" s="238"/>
      <c r="Q73" s="263"/>
      <c r="R73" s="227">
        <f t="shared" si="4"/>
        <v>13765529.961932912</v>
      </c>
      <c r="S73" s="1241">
        <f t="shared" si="28"/>
        <v>3809</v>
      </c>
      <c r="T73" s="1246">
        <v>0.85</v>
      </c>
      <c r="U73" s="1243">
        <f t="shared" si="5"/>
        <v>5836673.5375000006</v>
      </c>
      <c r="V73" s="1244">
        <f t="shared" si="6"/>
        <v>9.8660669569742062E-3</v>
      </c>
      <c r="W73" s="1245">
        <f t="shared" si="7"/>
        <v>7928856.4244329128</v>
      </c>
      <c r="X73" s="1245"/>
      <c r="Y73" s="1245"/>
      <c r="Z73" s="1245">
        <f t="shared" si="8"/>
        <v>13765529.961932912</v>
      </c>
      <c r="AA73" s="595"/>
      <c r="AB73" s="258"/>
      <c r="AC73" s="259"/>
      <c r="AD73" s="227"/>
      <c r="AE73" s="1250"/>
      <c r="AF73" s="1254"/>
      <c r="AG73" s="1254"/>
      <c r="AH73" s="1251"/>
      <c r="AI73" s="1254"/>
      <c r="AJ73" s="1254"/>
      <c r="AK73" s="1254"/>
      <c r="AM73" s="227">
        <f t="shared" si="9"/>
        <v>13765529.961932912</v>
      </c>
      <c r="AP73" s="227">
        <f t="shared" si="22"/>
        <v>302841.65916252404</v>
      </c>
      <c r="AQ73" s="223">
        <f t="shared" si="33"/>
        <v>619448.848286981</v>
      </c>
      <c r="AS73" s="227">
        <f t="shared" si="29"/>
        <v>414740.28822525003</v>
      </c>
      <c r="AU73" s="223">
        <f t="shared" si="30"/>
        <v>15102560.757607667</v>
      </c>
      <c r="AW73" s="223">
        <f t="shared" si="31"/>
        <v>14687820.469382416</v>
      </c>
      <c r="AX73" s="457">
        <f t="shared" si="32"/>
        <v>15102560.757607667</v>
      </c>
      <c r="AY73" s="54"/>
      <c r="AZ73" s="54">
        <v>7677810</v>
      </c>
      <c r="BA73" s="54"/>
    </row>
    <row r="74" spans="2:53">
      <c r="B74" s="340" t="s">
        <v>31</v>
      </c>
      <c r="C74" s="604">
        <v>24</v>
      </c>
      <c r="D74" s="226">
        <f>+'INPUT VOL'!J58</f>
        <v>673.4312000000001</v>
      </c>
      <c r="E74" s="229"/>
      <c r="F74" s="229"/>
      <c r="G74" s="229"/>
      <c r="H74" s="229"/>
      <c r="I74" s="229"/>
      <c r="J74" s="229">
        <f t="shared" si="36"/>
        <v>676</v>
      </c>
      <c r="K74" s="229"/>
      <c r="L74" s="229"/>
      <c r="M74" s="229"/>
      <c r="N74" s="229"/>
      <c r="O74" s="229"/>
      <c r="P74" s="238"/>
      <c r="Q74" s="263"/>
      <c r="R74" s="227">
        <f t="shared" ref="R74:R137" si="37">+Z74</f>
        <v>2443029.2082611313</v>
      </c>
      <c r="S74" s="1241">
        <f t="shared" si="28"/>
        <v>676</v>
      </c>
      <c r="T74" s="1246">
        <v>0.85</v>
      </c>
      <c r="U74" s="1243">
        <f t="shared" ref="U74:U137" si="38">+S74*T74*$U$3</f>
        <v>1035860.15</v>
      </c>
      <c r="V74" s="1244">
        <f t="shared" ref="V74:V81" si="39">+S74/$V$7</f>
        <v>1.7509743404868897E-3</v>
      </c>
      <c r="W74" s="1245">
        <f t="shared" ref="W74:W137" si="40">+$W$7*V74</f>
        <v>1407169.0582611314</v>
      </c>
      <c r="X74" s="1245"/>
      <c r="Y74" s="1245"/>
      <c r="Z74" s="1245">
        <f t="shared" ref="Z74:Z137" si="41">+U74+W74+X74+Y74</f>
        <v>2443029.2082611313</v>
      </c>
      <c r="AA74" s="595"/>
      <c r="AB74" s="258"/>
      <c r="AC74" s="259"/>
      <c r="AD74" s="227"/>
      <c r="AE74" s="1250"/>
      <c r="AF74" s="1254"/>
      <c r="AG74" s="1254"/>
      <c r="AH74" s="1251"/>
      <c r="AI74" s="1254"/>
      <c r="AJ74" s="1254"/>
      <c r="AK74" s="1254"/>
      <c r="AM74" s="227">
        <f t="shared" ref="AM74:AM137" si="42">+R74+AD74</f>
        <v>2443029.2082611313</v>
      </c>
      <c r="AP74" s="227">
        <f t="shared" ref="AP74:AP137" si="43">+AM74*$AP$5</f>
        <v>53746.642581744884</v>
      </c>
      <c r="AQ74" s="223">
        <f t="shared" si="33"/>
        <v>109936.31437175091</v>
      </c>
      <c r="AS74" s="227">
        <f t="shared" si="29"/>
        <v>73605.784940999991</v>
      </c>
      <c r="AU74" s="223">
        <f t="shared" si="30"/>
        <v>2680317.950155627</v>
      </c>
      <c r="AW74" s="223">
        <f t="shared" si="31"/>
        <v>2606712.165214627</v>
      </c>
      <c r="AX74" s="457">
        <f t="shared" si="32"/>
        <v>2680317.950155627</v>
      </c>
      <c r="AY74" s="54"/>
      <c r="AZ74" s="54">
        <v>1974013</v>
      </c>
      <c r="BA74" s="54"/>
    </row>
    <row r="75" spans="2:53">
      <c r="B75" s="340" t="s">
        <v>32</v>
      </c>
      <c r="C75" s="604">
        <v>23</v>
      </c>
      <c r="D75" s="226">
        <f>+'INPUT VOL'!J59</f>
        <v>0.99620000000000009</v>
      </c>
      <c r="E75" s="229"/>
      <c r="F75" s="229"/>
      <c r="G75" s="229"/>
      <c r="H75" s="229"/>
      <c r="I75" s="229"/>
      <c r="J75" s="229">
        <f t="shared" si="36"/>
        <v>1</v>
      </c>
      <c r="K75" s="229"/>
      <c r="L75" s="229"/>
      <c r="M75" s="229"/>
      <c r="N75" s="229"/>
      <c r="O75" s="229"/>
      <c r="P75" s="238"/>
      <c r="Q75" s="263"/>
      <c r="R75" s="227">
        <f t="shared" si="37"/>
        <v>3613.9485329306672</v>
      </c>
      <c r="S75" s="1241">
        <f t="shared" si="28"/>
        <v>1</v>
      </c>
      <c r="T75" s="1246">
        <v>0.85</v>
      </c>
      <c r="U75" s="1243">
        <f t="shared" si="38"/>
        <v>1532.3374999999999</v>
      </c>
      <c r="V75" s="1244">
        <f t="shared" si="39"/>
        <v>2.5901987285309019E-6</v>
      </c>
      <c r="W75" s="1245">
        <f t="shared" si="40"/>
        <v>2081.6110329306675</v>
      </c>
      <c r="X75" s="1245"/>
      <c r="Y75" s="1245"/>
      <c r="Z75" s="1245">
        <f t="shared" si="41"/>
        <v>3613.9485329306672</v>
      </c>
      <c r="AA75" s="595"/>
      <c r="AB75" s="258"/>
      <c r="AC75" s="259"/>
      <c r="AD75" s="227"/>
      <c r="AE75" s="1250"/>
      <c r="AF75" s="1254"/>
      <c r="AG75" s="1254"/>
      <c r="AH75" s="1251"/>
      <c r="AI75" s="1254"/>
      <c r="AJ75" s="1254"/>
      <c r="AK75" s="1254"/>
      <c r="AM75" s="227">
        <f t="shared" si="42"/>
        <v>3613.9485329306672</v>
      </c>
      <c r="AP75" s="227">
        <f t="shared" si="43"/>
        <v>79.506867724474674</v>
      </c>
      <c r="AQ75" s="223">
        <f t="shared" si="33"/>
        <v>162.62768398188001</v>
      </c>
      <c r="AS75" s="227">
        <f t="shared" si="29"/>
        <v>108.88429725</v>
      </c>
      <c r="AU75" s="223">
        <f t="shared" si="30"/>
        <v>3964.9673818870224</v>
      </c>
      <c r="AW75" s="223">
        <f t="shared" si="31"/>
        <v>3856.0830846370222</v>
      </c>
      <c r="AX75" s="457">
        <f t="shared" si="32"/>
        <v>3964.9673818870224</v>
      </c>
      <c r="AY75" s="54"/>
      <c r="AZ75" s="54">
        <v>2524216</v>
      </c>
      <c r="BA75" s="54"/>
    </row>
    <row r="76" spans="2:53">
      <c r="B76" s="340" t="s">
        <v>33</v>
      </c>
      <c r="C76" s="604">
        <v>9</v>
      </c>
      <c r="D76" s="226">
        <f>+'INPUT VOL'!J60</f>
        <v>1584.9542000000001</v>
      </c>
      <c r="E76" s="229"/>
      <c r="F76" s="229"/>
      <c r="G76" s="229"/>
      <c r="H76" s="229"/>
      <c r="I76" s="229"/>
      <c r="J76" s="229">
        <f t="shared" si="36"/>
        <v>1591</v>
      </c>
      <c r="K76" s="229"/>
      <c r="L76" s="229"/>
      <c r="M76" s="229"/>
      <c r="N76" s="229"/>
      <c r="O76" s="229"/>
      <c r="P76" s="238"/>
      <c r="Q76" s="263"/>
      <c r="R76" s="227">
        <f t="shared" si="37"/>
        <v>5749792.1158926915</v>
      </c>
      <c r="S76" s="1241">
        <f t="shared" si="28"/>
        <v>1591</v>
      </c>
      <c r="T76" s="1246">
        <v>0.85</v>
      </c>
      <c r="U76" s="1243">
        <f t="shared" si="38"/>
        <v>2437948.9624999999</v>
      </c>
      <c r="V76" s="1244">
        <f t="shared" si="39"/>
        <v>4.1210061770926652E-3</v>
      </c>
      <c r="W76" s="1245">
        <f t="shared" si="40"/>
        <v>3311843.1533926921</v>
      </c>
      <c r="X76" s="1245"/>
      <c r="Y76" s="1245"/>
      <c r="Z76" s="1245">
        <f t="shared" si="41"/>
        <v>5749792.1158926915</v>
      </c>
      <c r="AA76" s="595"/>
      <c r="AB76" s="258"/>
      <c r="AC76" s="259"/>
      <c r="AD76" s="227"/>
      <c r="AE76" s="1250"/>
      <c r="AF76" s="1254"/>
      <c r="AG76" s="1254"/>
      <c r="AH76" s="1251"/>
      <c r="AI76" s="1254"/>
      <c r="AJ76" s="1254"/>
      <c r="AK76" s="1254"/>
      <c r="AM76" s="227">
        <f t="shared" si="42"/>
        <v>5749792.1158926915</v>
      </c>
      <c r="AP76" s="227">
        <f t="shared" si="43"/>
        <v>126495.4265496392</v>
      </c>
      <c r="AQ76" s="223">
        <f t="shared" si="33"/>
        <v>258740.6452151711</v>
      </c>
      <c r="AS76" s="227">
        <f t="shared" si="29"/>
        <v>173234.91692475002</v>
      </c>
      <c r="AU76" s="223">
        <f t="shared" si="30"/>
        <v>6308263.1045822529</v>
      </c>
      <c r="AV76" s="54"/>
      <c r="AW76" s="223">
        <f t="shared" si="31"/>
        <v>6135028.1876575025</v>
      </c>
      <c r="AX76" s="457">
        <f t="shared" si="32"/>
        <v>6308263.1045822529</v>
      </c>
      <c r="AY76" s="54"/>
      <c r="AZ76" s="54">
        <v>34820</v>
      </c>
      <c r="BA76" s="54"/>
    </row>
    <row r="77" spans="2:53">
      <c r="B77" s="340" t="s">
        <v>34</v>
      </c>
      <c r="C77" s="604">
        <v>12</v>
      </c>
      <c r="D77" s="539">
        <f>+'INPUT VOL'!J61</f>
        <v>5994.1354000000001</v>
      </c>
      <c r="E77" s="229"/>
      <c r="F77" s="229"/>
      <c r="G77" s="229"/>
      <c r="H77" s="229"/>
      <c r="I77" s="229"/>
      <c r="J77" s="229">
        <f t="shared" si="36"/>
        <v>6017</v>
      </c>
      <c r="K77" s="229"/>
      <c r="L77" s="229"/>
      <c r="M77" s="229"/>
      <c r="N77" s="229"/>
      <c r="O77" s="229"/>
      <c r="P77" s="238"/>
      <c r="Q77" s="263"/>
      <c r="R77" s="227">
        <f t="shared" si="37"/>
        <v>21745128.322643824</v>
      </c>
      <c r="S77" s="1241">
        <f t="shared" si="28"/>
        <v>6017</v>
      </c>
      <c r="T77" s="1246">
        <v>0.85</v>
      </c>
      <c r="U77" s="1243">
        <f t="shared" si="38"/>
        <v>9220074.7374999989</v>
      </c>
      <c r="V77" s="1244">
        <f t="shared" si="39"/>
        <v>1.5585225749570438E-2</v>
      </c>
      <c r="W77" s="1245">
        <f t="shared" si="40"/>
        <v>12525053.585143827</v>
      </c>
      <c r="X77" s="1245"/>
      <c r="Y77" s="1245"/>
      <c r="Z77" s="1245">
        <f t="shared" si="41"/>
        <v>21745128.322643824</v>
      </c>
      <c r="AA77" s="595"/>
      <c r="AB77" s="258"/>
      <c r="AC77" s="259"/>
      <c r="AD77" s="227"/>
      <c r="AE77" s="1250"/>
      <c r="AF77" s="1254"/>
      <c r="AG77" s="1254"/>
      <c r="AH77" s="1251"/>
      <c r="AI77" s="1254"/>
      <c r="AJ77" s="1254"/>
      <c r="AK77" s="1254"/>
      <c r="AM77" s="227">
        <f t="shared" si="42"/>
        <v>21745128.322643824</v>
      </c>
      <c r="AP77" s="227">
        <f t="shared" si="43"/>
        <v>478392.82309816411</v>
      </c>
      <c r="AQ77" s="223">
        <f t="shared" si="33"/>
        <v>978530.77451897203</v>
      </c>
      <c r="AS77" s="285">
        <f t="shared" si="29"/>
        <v>655156.81655325007</v>
      </c>
      <c r="AU77" s="223">
        <f t="shared" si="30"/>
        <v>23857208.736814208</v>
      </c>
      <c r="AW77" s="223">
        <f t="shared" si="31"/>
        <v>23202051.920260958</v>
      </c>
      <c r="AX77" s="457">
        <f t="shared" si="32"/>
        <v>23857208.736814208</v>
      </c>
      <c r="AY77" s="54"/>
      <c r="AZ77" s="54">
        <v>1294068</v>
      </c>
      <c r="BA77" s="54"/>
    </row>
    <row r="78" spans="2:53">
      <c r="B78" s="887" t="s">
        <v>472</v>
      </c>
      <c r="C78" s="604">
        <v>12</v>
      </c>
      <c r="D78" s="539">
        <f>+'INPUT VOL'!J150</f>
        <v>2490.5</v>
      </c>
      <c r="E78" s="229"/>
      <c r="F78" s="229"/>
      <c r="G78" s="229"/>
      <c r="H78" s="229"/>
      <c r="I78" s="229"/>
      <c r="J78" s="229">
        <f>+D78/$G$6</f>
        <v>2500</v>
      </c>
      <c r="K78" s="229"/>
      <c r="L78" s="229"/>
      <c r="M78" s="229"/>
      <c r="N78" s="229"/>
      <c r="O78" s="229"/>
      <c r="P78" s="238"/>
      <c r="Q78" s="263"/>
      <c r="R78" s="227">
        <f t="shared" si="37"/>
        <v>9034871.3323266692</v>
      </c>
      <c r="S78" s="1241">
        <f t="shared" si="28"/>
        <v>2500</v>
      </c>
      <c r="T78" s="1246">
        <v>0.85</v>
      </c>
      <c r="U78" s="1243">
        <f t="shared" si="38"/>
        <v>3830843.75</v>
      </c>
      <c r="V78" s="1244">
        <f t="shared" si="39"/>
        <v>6.4754968213272552E-3</v>
      </c>
      <c r="W78" s="1245">
        <f t="shared" si="40"/>
        <v>5204027.5823266692</v>
      </c>
      <c r="X78" s="1245"/>
      <c r="Y78" s="1245"/>
      <c r="Z78" s="1245">
        <f t="shared" si="41"/>
        <v>9034871.3323266692</v>
      </c>
      <c r="AA78" s="595"/>
      <c r="AB78" s="258"/>
      <c r="AC78" s="259"/>
      <c r="AD78" s="227"/>
      <c r="AE78" s="1250"/>
      <c r="AF78" s="1254"/>
      <c r="AG78" s="1254"/>
      <c r="AH78" s="1251"/>
      <c r="AI78" s="1254"/>
      <c r="AJ78" s="1254"/>
      <c r="AK78" s="1254"/>
      <c r="AM78" s="227">
        <f t="shared" si="42"/>
        <v>9034871.3323266692</v>
      </c>
      <c r="AP78" s="227">
        <f t="shared" si="43"/>
        <v>198767.16931118671</v>
      </c>
      <c r="AQ78" s="223">
        <f>+AM78*$AQ$5</f>
        <v>406569.20995470008</v>
      </c>
      <c r="AS78" s="285">
        <f t="shared" si="29"/>
        <v>272210.74312499998</v>
      </c>
      <c r="AU78" s="223">
        <f>+AM78+AP78+AQ78+AS78</f>
        <v>9912418.4547175542</v>
      </c>
      <c r="AW78" s="223">
        <f t="shared" si="31"/>
        <v>9640207.711592555</v>
      </c>
      <c r="AX78" s="457">
        <f t="shared" si="32"/>
        <v>9912418.4547175542</v>
      </c>
      <c r="AY78" s="54"/>
      <c r="AZ78" s="54">
        <v>26032</v>
      </c>
      <c r="BA78" s="54"/>
    </row>
    <row r="79" spans="2:53">
      <c r="B79" s="340" t="s">
        <v>35</v>
      </c>
      <c r="C79" s="604">
        <v>22</v>
      </c>
      <c r="D79" s="539">
        <f>+'INPUT VOL'!J62</f>
        <v>4143.1958000000004</v>
      </c>
      <c r="E79" s="229"/>
      <c r="F79" s="229"/>
      <c r="G79" s="229"/>
      <c r="H79" s="229"/>
      <c r="I79" s="229"/>
      <c r="J79" s="229">
        <f t="shared" si="36"/>
        <v>4159</v>
      </c>
      <c r="K79" s="229"/>
      <c r="L79" s="229"/>
      <c r="M79" s="229"/>
      <c r="N79" s="229"/>
      <c r="O79" s="229"/>
      <c r="P79" s="238"/>
      <c r="Q79" s="263"/>
      <c r="R79" s="227">
        <f t="shared" si="37"/>
        <v>15030411.948458645</v>
      </c>
      <c r="S79" s="1241">
        <f t="shared" si="28"/>
        <v>4159</v>
      </c>
      <c r="T79" s="1246">
        <v>0.85</v>
      </c>
      <c r="U79" s="1243">
        <f t="shared" si="38"/>
        <v>6372991.6625000006</v>
      </c>
      <c r="V79" s="1244">
        <f t="shared" si="39"/>
        <v>1.0772636511960022E-2</v>
      </c>
      <c r="W79" s="1245">
        <f t="shared" si="40"/>
        <v>8657420.2859586459</v>
      </c>
      <c r="X79" s="1245"/>
      <c r="Y79" s="1245"/>
      <c r="Z79" s="1245">
        <f t="shared" si="41"/>
        <v>15030411.948458645</v>
      </c>
      <c r="AA79" s="595"/>
      <c r="AB79" s="258"/>
      <c r="AC79" s="259"/>
      <c r="AD79" s="227"/>
      <c r="AE79" s="1250"/>
      <c r="AF79" s="1254"/>
      <c r="AG79" s="1254"/>
      <c r="AH79" s="1251"/>
      <c r="AI79" s="1254"/>
      <c r="AJ79" s="1254"/>
      <c r="AK79" s="1254"/>
      <c r="AM79" s="227">
        <f t="shared" si="42"/>
        <v>15030411.948458645</v>
      </c>
      <c r="AP79" s="227">
        <f t="shared" si="43"/>
        <v>330669.06286609016</v>
      </c>
      <c r="AQ79" s="223">
        <f t="shared" si="33"/>
        <v>676368.53768063907</v>
      </c>
      <c r="AS79" s="285">
        <f t="shared" si="29"/>
        <v>452849.79226275004</v>
      </c>
      <c r="AU79" s="223">
        <f t="shared" si="30"/>
        <v>16490299.341268124</v>
      </c>
      <c r="AW79" s="223">
        <f t="shared" si="31"/>
        <v>16037449.549005374</v>
      </c>
      <c r="AX79" s="457">
        <f t="shared" si="32"/>
        <v>16490299.341268124</v>
      </c>
      <c r="AY79" s="54"/>
      <c r="AZ79" s="54">
        <v>1992938</v>
      </c>
      <c r="BA79" s="54"/>
    </row>
    <row r="80" spans="2:53">
      <c r="B80" s="340" t="s">
        <v>36</v>
      </c>
      <c r="C80" s="604">
        <v>34</v>
      </c>
      <c r="D80" s="539">
        <f>+'INPUT VOL'!J63</f>
        <v>845.77380000000005</v>
      </c>
      <c r="E80" s="229"/>
      <c r="F80" s="229"/>
      <c r="G80" s="229"/>
      <c r="H80" s="229"/>
      <c r="I80" s="229"/>
      <c r="J80" s="229">
        <f t="shared" si="36"/>
        <v>849</v>
      </c>
      <c r="K80" s="229"/>
      <c r="M80" s="229"/>
      <c r="N80" s="229"/>
      <c r="O80" s="229"/>
      <c r="P80" s="238"/>
      <c r="Q80" s="263"/>
      <c r="R80" s="227">
        <f t="shared" si="37"/>
        <v>3068242.3044581367</v>
      </c>
      <c r="S80" s="1241">
        <f t="shared" si="28"/>
        <v>849</v>
      </c>
      <c r="T80" s="1246">
        <v>0.85</v>
      </c>
      <c r="U80" s="1243">
        <f t="shared" si="38"/>
        <v>1300954.5374999999</v>
      </c>
      <c r="V80" s="1244">
        <f t="shared" si="39"/>
        <v>2.1990787205227358E-3</v>
      </c>
      <c r="W80" s="1245">
        <f t="shared" si="40"/>
        <v>1767287.7669581368</v>
      </c>
      <c r="X80" s="1245"/>
      <c r="Y80" s="1245"/>
      <c r="Z80" s="1245">
        <f t="shared" si="41"/>
        <v>3068242.3044581367</v>
      </c>
      <c r="AA80" s="595"/>
      <c r="AB80" s="258"/>
      <c r="AC80" s="259"/>
      <c r="AD80" s="227"/>
      <c r="AE80" s="717"/>
      <c r="AF80" s="717"/>
      <c r="AG80" s="717"/>
      <c r="AH80" s="1232"/>
      <c r="AI80" s="717"/>
      <c r="AJ80" s="717"/>
      <c r="AK80" s="717"/>
      <c r="AM80" s="227">
        <f t="shared" si="42"/>
        <v>3068242.3044581367</v>
      </c>
      <c r="AP80" s="227">
        <f t="shared" si="43"/>
        <v>67501.330698079008</v>
      </c>
      <c r="AQ80" s="223">
        <f t="shared" si="33"/>
        <v>138070.90370061615</v>
      </c>
      <c r="AS80" s="285">
        <f t="shared" si="29"/>
        <v>92442.768365250013</v>
      </c>
      <c r="AU80" s="223">
        <f t="shared" si="30"/>
        <v>3366257.3072220818</v>
      </c>
      <c r="AW80" s="223">
        <f t="shared" si="31"/>
        <v>3273814.5388568318</v>
      </c>
      <c r="AX80" s="457">
        <f t="shared" si="32"/>
        <v>3366257.3072220818</v>
      </c>
      <c r="AY80" s="54"/>
      <c r="AZ80" s="54">
        <v>26310</v>
      </c>
      <c r="BA80" s="54"/>
    </row>
    <row r="81" spans="2:53">
      <c r="B81" s="494"/>
      <c r="C81" s="607"/>
      <c r="D81" s="495"/>
      <c r="E81" s="496"/>
      <c r="F81" s="496"/>
      <c r="G81" s="496"/>
      <c r="H81" s="496"/>
      <c r="I81" s="496"/>
      <c r="J81" s="496"/>
      <c r="K81" s="496"/>
      <c r="L81" s="496"/>
      <c r="M81" s="496"/>
      <c r="N81" s="496"/>
      <c r="O81" s="495"/>
      <c r="P81" s="238"/>
      <c r="Q81" s="263"/>
      <c r="R81" s="227">
        <f t="shared" si="37"/>
        <v>0</v>
      </c>
      <c r="S81" s="1241"/>
      <c r="T81" s="1247"/>
      <c r="U81" s="1243">
        <f t="shared" si="38"/>
        <v>0</v>
      </c>
      <c r="V81" s="1244">
        <f t="shared" si="39"/>
        <v>0</v>
      </c>
      <c r="W81" s="1245">
        <f t="shared" si="40"/>
        <v>0</v>
      </c>
      <c r="X81" s="1245"/>
      <c r="Y81" s="1245"/>
      <c r="Z81" s="1245">
        <f t="shared" si="41"/>
        <v>0</v>
      </c>
      <c r="AA81" s="497"/>
      <c r="AB81" s="258"/>
      <c r="AC81" s="259"/>
      <c r="AD81" s="241"/>
      <c r="AE81" s="717"/>
      <c r="AF81" s="1231"/>
      <c r="AG81" s="1231"/>
      <c r="AH81" s="1238"/>
      <c r="AI81" s="1231"/>
      <c r="AJ81" s="1231"/>
      <c r="AK81" s="1231"/>
      <c r="AM81" s="227">
        <f t="shared" si="42"/>
        <v>0</v>
      </c>
      <c r="AP81" s="227">
        <f t="shared" si="43"/>
        <v>0</v>
      </c>
      <c r="AQ81" s="241"/>
      <c r="AS81" s="241"/>
      <c r="AU81" s="241"/>
      <c r="AW81" s="495"/>
      <c r="AY81" s="54"/>
      <c r="AZ81" s="54">
        <v>242999</v>
      </c>
      <c r="BA81" s="54"/>
    </row>
    <row r="82" spans="2:53">
      <c r="B82" s="493" t="s">
        <v>200</v>
      </c>
      <c r="C82" s="608">
        <v>96</v>
      </c>
      <c r="D82" s="226">
        <f>+'INPUT VOL'!J65</f>
        <v>3430.0878298062084</v>
      </c>
      <c r="E82" s="229"/>
      <c r="F82" s="229">
        <f t="shared" ref="F82:F88" si="44">+D82/$G$6</f>
        <v>3443.1718829614615</v>
      </c>
      <c r="G82" s="229"/>
      <c r="H82" s="228"/>
      <c r="I82" s="229"/>
      <c r="J82" s="229"/>
      <c r="K82" s="229"/>
      <c r="L82" s="229"/>
      <c r="M82" s="229"/>
      <c r="N82" s="229"/>
      <c r="O82" s="229"/>
      <c r="P82" s="224"/>
      <c r="Q82" s="253"/>
      <c r="R82" s="227">
        <f t="shared" si="37"/>
        <v>0</v>
      </c>
      <c r="S82" s="1241"/>
      <c r="T82" s="1247"/>
      <c r="U82" s="1243">
        <f t="shared" si="38"/>
        <v>0</v>
      </c>
      <c r="V82" s="1244"/>
      <c r="W82" s="1245">
        <f t="shared" si="40"/>
        <v>0</v>
      </c>
      <c r="X82" s="1245"/>
      <c r="Y82" s="1245"/>
      <c r="Z82" s="1245">
        <f t="shared" si="41"/>
        <v>0</v>
      </c>
      <c r="AA82" s="497"/>
      <c r="AB82" s="258"/>
      <c r="AC82" s="259"/>
      <c r="AD82" s="227">
        <f>+AK82</f>
        <v>3126231.7060013404</v>
      </c>
      <c r="AE82" s="1250">
        <f t="shared" ref="AE82:AE88" si="45">SUM(E82:O82)</f>
        <v>3443.1718829614615</v>
      </c>
      <c r="AF82" s="1251">
        <v>0.7</v>
      </c>
      <c r="AG82" s="1252">
        <f>+AE82*AF82*$AF$3</f>
        <v>4345024.6784061426</v>
      </c>
      <c r="AH82" s="1253">
        <f>+AE82/$AE$192</f>
        <v>8.6209163521534134E-3</v>
      </c>
      <c r="AI82" s="1254">
        <f>+AH82*$AI$7</f>
        <v>-1218792.9724048025</v>
      </c>
      <c r="AJ82" s="1254"/>
      <c r="AK82" s="1254">
        <f>+AG82+AI82+AJ82</f>
        <v>3126231.7060013404</v>
      </c>
      <c r="AM82" s="227">
        <f t="shared" si="42"/>
        <v>3126231.7060013404</v>
      </c>
      <c r="AP82" s="227">
        <f t="shared" si="43"/>
        <v>68777.097532029482</v>
      </c>
      <c r="AQ82" s="223">
        <f t="shared" ref="AQ82:AQ93" si="46">+AM82*$AQ$5</f>
        <v>140680.42677006032</v>
      </c>
      <c r="AS82" s="227">
        <f t="shared" ref="AS82:AS94" si="47">+(D82/$AS$4)*$AS$2*$AS$3*$AS$1</f>
        <v>374907.35078721802</v>
      </c>
      <c r="AU82" s="223">
        <f t="shared" ref="AU82:AU93" si="48">+AM82+AP82+AQ82+AS82</f>
        <v>3710596.5810906482</v>
      </c>
      <c r="AW82" s="223">
        <v>0</v>
      </c>
      <c r="AZ82" s="54">
        <v>194415</v>
      </c>
      <c r="BA82" s="54"/>
    </row>
    <row r="83" spans="2:53">
      <c r="B83" s="493" t="s">
        <v>197</v>
      </c>
      <c r="C83" s="608">
        <v>96</v>
      </c>
      <c r="D83" s="226">
        <f>+'INPUT VOL'!J66</f>
        <v>1985.5354156923074</v>
      </c>
      <c r="E83" s="229"/>
      <c r="F83" s="229">
        <f t="shared" si="44"/>
        <v>1993.1092307692304</v>
      </c>
      <c r="G83" s="229"/>
      <c r="H83" s="228"/>
      <c r="I83" s="229"/>
      <c r="J83" s="229"/>
      <c r="K83" s="229"/>
      <c r="L83" s="229"/>
      <c r="M83" s="229"/>
      <c r="N83" s="229"/>
      <c r="O83" s="229"/>
      <c r="P83" s="224"/>
      <c r="Q83" s="253"/>
      <c r="R83" s="227">
        <f t="shared" si="37"/>
        <v>0</v>
      </c>
      <c r="S83" s="1241"/>
      <c r="T83" s="1247"/>
      <c r="U83" s="1243">
        <f t="shared" si="38"/>
        <v>0</v>
      </c>
      <c r="V83" s="1244"/>
      <c r="W83" s="1245">
        <f t="shared" si="40"/>
        <v>0</v>
      </c>
      <c r="X83" s="1245"/>
      <c r="Y83" s="1245"/>
      <c r="Z83" s="1245">
        <f t="shared" si="41"/>
        <v>0</v>
      </c>
      <c r="AA83" s="497"/>
      <c r="AB83" s="258"/>
      <c r="AC83" s="259"/>
      <c r="AD83" s="227">
        <f t="shared" ref="AD83:AD146" si="49">+AK83</f>
        <v>1809645.7227675524</v>
      </c>
      <c r="AE83" s="1250">
        <f t="shared" si="45"/>
        <v>1993.1092307692304</v>
      </c>
      <c r="AF83" s="1251">
        <v>0.7</v>
      </c>
      <c r="AG83" s="1252">
        <f t="shared" ref="AG83:AG88" si="50">+AE83*AF83*$AF$3</f>
        <v>2515154.3660384608</v>
      </c>
      <c r="AH83" s="1253">
        <f t="shared" ref="AH83:AH88" si="51">+AE83/$AE$192</f>
        <v>4.9902905063187886E-3</v>
      </c>
      <c r="AI83" s="1254">
        <f t="shared" ref="AI83:AI88" si="52">+AH83*$AI$7</f>
        <v>-705508.64327090839</v>
      </c>
      <c r="AJ83" s="1254"/>
      <c r="AK83" s="1254">
        <f t="shared" ref="AK83:AK146" si="53">+AG83+AI83+AJ83</f>
        <v>1809645.7227675524</v>
      </c>
      <c r="AM83" s="227">
        <f t="shared" si="42"/>
        <v>1809645.7227675524</v>
      </c>
      <c r="AP83" s="227">
        <f t="shared" si="43"/>
        <v>39812.205900886147</v>
      </c>
      <c r="AQ83" s="223">
        <f t="shared" si="46"/>
        <v>81434.05752453985</v>
      </c>
      <c r="AS83" s="227">
        <f t="shared" si="47"/>
        <v>217018.29793479573</v>
      </c>
      <c r="AU83" s="223">
        <f t="shared" si="48"/>
        <v>2147910.2841277737</v>
      </c>
      <c r="AW83" s="223">
        <v>0</v>
      </c>
      <c r="AZ83" s="54">
        <v>24586046</v>
      </c>
      <c r="BA83" s="54"/>
    </row>
    <row r="84" spans="2:53">
      <c r="B84" s="225" t="s">
        <v>175</v>
      </c>
      <c r="C84" s="602">
        <v>96</v>
      </c>
      <c r="D84" s="226">
        <f>+'INPUT VOL'!J67</f>
        <v>1178.5552590562404</v>
      </c>
      <c r="E84" s="229"/>
      <c r="F84" s="229">
        <f t="shared" si="44"/>
        <v>1183.0508522949613</v>
      </c>
      <c r="G84" s="229"/>
      <c r="H84" s="228"/>
      <c r="I84" s="229"/>
      <c r="J84" s="229"/>
      <c r="K84" s="229"/>
      <c r="L84" s="229"/>
      <c r="M84" s="229"/>
      <c r="N84" s="229"/>
      <c r="O84" s="229"/>
      <c r="P84" s="224"/>
      <c r="Q84" s="253"/>
      <c r="R84" s="227">
        <f t="shared" si="37"/>
        <v>0</v>
      </c>
      <c r="S84" s="1241"/>
      <c r="T84" s="1247"/>
      <c r="U84" s="1243">
        <f t="shared" si="38"/>
        <v>0</v>
      </c>
      <c r="V84" s="1244"/>
      <c r="W84" s="1245">
        <f t="shared" si="40"/>
        <v>0</v>
      </c>
      <c r="X84" s="1245"/>
      <c r="Y84" s="1245"/>
      <c r="Z84" s="1245">
        <f t="shared" si="41"/>
        <v>0</v>
      </c>
      <c r="AA84" s="497"/>
      <c r="AB84" s="258"/>
      <c r="AC84" s="259"/>
      <c r="AD84" s="227">
        <f t="shared" si="49"/>
        <v>1074152.3252319761</v>
      </c>
      <c r="AE84" s="1250">
        <f t="shared" si="45"/>
        <v>1183.0508522949613</v>
      </c>
      <c r="AF84" s="1251">
        <v>0.7</v>
      </c>
      <c r="AG84" s="1252">
        <f t="shared" si="50"/>
        <v>1492921.4467823189</v>
      </c>
      <c r="AH84" s="1253">
        <f t="shared" si="51"/>
        <v>2.9620892550988624E-3</v>
      </c>
      <c r="AI84" s="1254">
        <f t="shared" si="52"/>
        <v>-418769.12155034271</v>
      </c>
      <c r="AJ84" s="1254"/>
      <c r="AK84" s="1254">
        <f t="shared" si="53"/>
        <v>1074152.3252319761</v>
      </c>
      <c r="AM84" s="227">
        <f t="shared" si="42"/>
        <v>1074152.3252319761</v>
      </c>
      <c r="AP84" s="227">
        <f t="shared" si="43"/>
        <v>23631.351155103472</v>
      </c>
      <c r="AQ84" s="223">
        <f t="shared" si="46"/>
        <v>48336.854635438925</v>
      </c>
      <c r="AS84" s="227">
        <f t="shared" si="47"/>
        <v>128815.66066315041</v>
      </c>
      <c r="AU84" s="223">
        <f t="shared" si="48"/>
        <v>1274936.1916856689</v>
      </c>
      <c r="AW84" s="223">
        <v>0</v>
      </c>
      <c r="AZ84" s="54">
        <v>119596294</v>
      </c>
      <c r="BA84" s="54"/>
    </row>
    <row r="85" spans="2:53">
      <c r="B85" s="225" t="s">
        <v>345</v>
      </c>
      <c r="C85" s="602">
        <v>96</v>
      </c>
      <c r="D85" s="226">
        <f>+'INPUT VOL'!J68</f>
        <v>4067.2887032205713</v>
      </c>
      <c r="E85" s="229"/>
      <c r="F85" s="229">
        <f t="shared" si="44"/>
        <v>4082.8033559732694</v>
      </c>
      <c r="G85" s="229"/>
      <c r="H85" s="228"/>
      <c r="I85" s="229"/>
      <c r="J85" s="229"/>
      <c r="K85" s="229"/>
      <c r="L85" s="229"/>
      <c r="M85" s="229"/>
      <c r="N85" s="229"/>
      <c r="O85" s="229"/>
      <c r="P85" s="224"/>
      <c r="Q85" s="253"/>
      <c r="R85" s="227">
        <f t="shared" si="37"/>
        <v>0</v>
      </c>
      <c r="S85" s="1241"/>
      <c r="T85" s="1247"/>
      <c r="U85" s="1243">
        <f t="shared" si="38"/>
        <v>0</v>
      </c>
      <c r="V85" s="1244"/>
      <c r="W85" s="1245">
        <f t="shared" si="40"/>
        <v>0</v>
      </c>
      <c r="X85" s="1245"/>
      <c r="Y85" s="1245"/>
      <c r="Z85" s="1245">
        <f t="shared" si="41"/>
        <v>0</v>
      </c>
      <c r="AA85" s="497"/>
      <c r="AB85" s="258"/>
      <c r="AC85" s="259"/>
      <c r="AD85" s="227">
        <f t="shared" si="49"/>
        <v>3706985.8068875181</v>
      </c>
      <c r="AE85" s="1250">
        <f t="shared" si="45"/>
        <v>4082.8033559732694</v>
      </c>
      <c r="AF85" s="1251">
        <v>0.7</v>
      </c>
      <c r="AG85" s="1252">
        <f t="shared" si="50"/>
        <v>5152191.6249865675</v>
      </c>
      <c r="AH85" s="1253">
        <f t="shared" si="51"/>
        <v>1.0222407538906691E-2</v>
      </c>
      <c r="AI85" s="1254">
        <f t="shared" si="52"/>
        <v>-1445205.8180990494</v>
      </c>
      <c r="AJ85" s="1254"/>
      <c r="AK85" s="1254">
        <f t="shared" si="53"/>
        <v>3706985.8068875181</v>
      </c>
      <c r="AM85" s="227">
        <f t="shared" si="42"/>
        <v>3706985.8068875181</v>
      </c>
      <c r="AP85" s="227">
        <f t="shared" si="43"/>
        <v>81553.687751525387</v>
      </c>
      <c r="AQ85" s="223">
        <f t="shared" si="46"/>
        <v>166814.36130993831</v>
      </c>
      <c r="AS85" s="227">
        <f t="shared" si="47"/>
        <v>444553.17422509106</v>
      </c>
      <c r="AU85" s="223">
        <f t="shared" si="48"/>
        <v>4399907.0301740728</v>
      </c>
      <c r="AW85" s="223">
        <v>0</v>
      </c>
      <c r="AZ85" s="54">
        <v>26273565</v>
      </c>
      <c r="BA85" s="54"/>
    </row>
    <row r="86" spans="2:53">
      <c r="B86" s="493" t="s">
        <v>471</v>
      </c>
      <c r="C86" s="602">
        <v>96</v>
      </c>
      <c r="D86" s="226">
        <f>+'INPUT VOL'!J148</f>
        <v>3655.3795085046836</v>
      </c>
      <c r="E86" s="229"/>
      <c r="F86" s="229">
        <f>+D86/$G$6</f>
        <v>3669.3229356601919</v>
      </c>
      <c r="G86" s="229"/>
      <c r="H86" s="228"/>
      <c r="I86" s="229"/>
      <c r="J86" s="229"/>
      <c r="K86" s="229"/>
      <c r="L86" s="229"/>
      <c r="M86" s="229"/>
      <c r="N86" s="229"/>
      <c r="O86" s="229"/>
      <c r="P86" s="224"/>
      <c r="Q86" s="253"/>
      <c r="R86" s="227">
        <f t="shared" si="37"/>
        <v>0</v>
      </c>
      <c r="S86" s="1241"/>
      <c r="T86" s="1247"/>
      <c r="U86" s="1243">
        <f t="shared" si="38"/>
        <v>0</v>
      </c>
      <c r="V86" s="1244"/>
      <c r="W86" s="1245">
        <f t="shared" si="40"/>
        <v>0</v>
      </c>
      <c r="X86" s="1245"/>
      <c r="Y86" s="1245"/>
      <c r="Z86" s="1245">
        <f t="shared" si="41"/>
        <v>0</v>
      </c>
      <c r="AA86" s="497"/>
      <c r="AB86" s="258"/>
      <c r="AC86" s="259"/>
      <c r="AD86" s="227">
        <f t="shared" si="49"/>
        <v>3331565.8035498667</v>
      </c>
      <c r="AE86" s="1250">
        <f t="shared" si="45"/>
        <v>3669.3229356601919</v>
      </c>
      <c r="AF86" s="1251">
        <v>0.7</v>
      </c>
      <c r="AG86" s="1252">
        <f t="shared" si="50"/>
        <v>4630410.3455829881</v>
      </c>
      <c r="AH86" s="1253">
        <f t="shared" si="51"/>
        <v>9.1871469600167417E-3</v>
      </c>
      <c r="AI86" s="1254">
        <f t="shared" si="52"/>
        <v>-1298844.5420331215</v>
      </c>
      <c r="AJ86" s="1254"/>
      <c r="AK86" s="1254">
        <f t="shared" si="53"/>
        <v>3331565.8035498667</v>
      </c>
      <c r="AM86" s="227">
        <f t="shared" si="42"/>
        <v>3331565.8035498667</v>
      </c>
      <c r="AP86" s="227">
        <f t="shared" si="43"/>
        <v>73294.447678097058</v>
      </c>
      <c r="AQ86" s="223">
        <f>+AM86*$AQ$5</f>
        <v>149920.46115974398</v>
      </c>
      <c r="AS86" s="227">
        <f t="shared" si="47"/>
        <v>399531.64923266694</v>
      </c>
      <c r="AU86" s="223">
        <f>+AM86+AP86+AQ86+AS86</f>
        <v>3954312.3616203745</v>
      </c>
      <c r="AW86" s="223">
        <v>0</v>
      </c>
      <c r="AZ86" s="54">
        <v>8334625</v>
      </c>
      <c r="BA86" s="54"/>
    </row>
    <row r="87" spans="2:53">
      <c r="B87" s="225" t="s">
        <v>210</v>
      </c>
      <c r="C87" s="602">
        <v>97</v>
      </c>
      <c r="D87" s="226">
        <f>+'INPUT VOL'!J69</f>
        <v>7351.2368553903107</v>
      </c>
      <c r="E87" s="229"/>
      <c r="F87" s="229">
        <f t="shared" si="44"/>
        <v>7379.2781122167335</v>
      </c>
      <c r="G87" s="229"/>
      <c r="H87" s="229"/>
      <c r="I87" s="229"/>
      <c r="J87" s="229"/>
      <c r="K87" s="229"/>
      <c r="L87" s="229"/>
      <c r="M87" s="229"/>
      <c r="N87" s="229"/>
      <c r="O87" s="229"/>
      <c r="P87" s="224"/>
      <c r="Q87" s="253"/>
      <c r="R87" s="227">
        <f t="shared" si="37"/>
        <v>0</v>
      </c>
      <c r="S87" s="1241"/>
      <c r="T87" s="1247"/>
      <c r="U87" s="1243">
        <f t="shared" si="38"/>
        <v>0</v>
      </c>
      <c r="V87" s="1244"/>
      <c r="W87" s="1245">
        <f t="shared" si="40"/>
        <v>0</v>
      </c>
      <c r="X87" s="1245"/>
      <c r="Y87" s="1245"/>
      <c r="Z87" s="1245">
        <f t="shared" si="41"/>
        <v>0</v>
      </c>
      <c r="AA87" s="497"/>
      <c r="AB87" s="258"/>
      <c r="AC87" s="259"/>
      <c r="AD87" s="227">
        <f t="shared" si="49"/>
        <v>6700023.6950040963</v>
      </c>
      <c r="AE87" s="1250">
        <f t="shared" si="45"/>
        <v>7379.2781122167335</v>
      </c>
      <c r="AF87" s="1251">
        <v>0.7</v>
      </c>
      <c r="AG87" s="1252">
        <f t="shared" si="50"/>
        <v>9312095.5317591</v>
      </c>
      <c r="AH87" s="1253">
        <f t="shared" si="51"/>
        <v>1.8476027775291008E-2</v>
      </c>
      <c r="AI87" s="1254">
        <f t="shared" si="52"/>
        <v>-2612071.8367550042</v>
      </c>
      <c r="AJ87" s="1254"/>
      <c r="AK87" s="1254">
        <f t="shared" si="53"/>
        <v>6700023.6950040963</v>
      </c>
      <c r="AM87" s="227">
        <f t="shared" si="42"/>
        <v>6700023.6950040963</v>
      </c>
      <c r="AP87" s="227">
        <f t="shared" si="43"/>
        <v>147400.52129009011</v>
      </c>
      <c r="AQ87" s="223">
        <f t="shared" si="46"/>
        <v>301501.06627518433</v>
      </c>
      <c r="AS87" s="227">
        <f t="shared" si="47"/>
        <v>803487.5114610258</v>
      </c>
      <c r="AU87" s="223">
        <f t="shared" si="48"/>
        <v>7952412.7940303963</v>
      </c>
      <c r="AW87" s="227">
        <f>+(D87/$G$6)*$AW$2*$AW$3</f>
        <v>0</v>
      </c>
      <c r="AY87" s="54"/>
      <c r="AZ87" s="54">
        <v>1525109</v>
      </c>
      <c r="BA87" s="54"/>
    </row>
    <row r="88" spans="2:53">
      <c r="B88" s="225" t="s">
        <v>323</v>
      </c>
      <c r="C88" s="602">
        <v>97</v>
      </c>
      <c r="D88" s="226">
        <f>+'INPUT VOL'!J70</f>
        <v>6684.0463080600539</v>
      </c>
      <c r="E88" s="229"/>
      <c r="F88" s="229">
        <f t="shared" si="44"/>
        <v>6709.5425698253894</v>
      </c>
      <c r="G88" s="229"/>
      <c r="H88" s="229"/>
      <c r="I88" s="229"/>
      <c r="J88" s="229"/>
      <c r="K88" s="229"/>
      <c r="L88" s="229"/>
      <c r="M88" s="229"/>
      <c r="N88" s="229"/>
      <c r="O88" s="229"/>
      <c r="P88" s="224"/>
      <c r="Q88" s="253"/>
      <c r="R88" s="227">
        <f t="shared" si="37"/>
        <v>0</v>
      </c>
      <c r="S88" s="1241"/>
      <c r="T88" s="1247"/>
      <c r="U88" s="1243">
        <f t="shared" si="38"/>
        <v>0</v>
      </c>
      <c r="V88" s="1244"/>
      <c r="W88" s="1245">
        <f t="shared" si="40"/>
        <v>0</v>
      </c>
      <c r="X88" s="1245"/>
      <c r="Y88" s="1245"/>
      <c r="Z88" s="1245">
        <f t="shared" si="41"/>
        <v>0</v>
      </c>
      <c r="AA88" s="497"/>
      <c r="AB88" s="258"/>
      <c r="AC88" s="259"/>
      <c r="AD88" s="227">
        <f t="shared" si="49"/>
        <v>6091936.5711457916</v>
      </c>
      <c r="AE88" s="1250">
        <f t="shared" si="45"/>
        <v>6709.5425698253894</v>
      </c>
      <c r="AF88" s="1251">
        <v>0.7</v>
      </c>
      <c r="AG88" s="1252">
        <f t="shared" si="50"/>
        <v>8466939.5074269045</v>
      </c>
      <c r="AH88" s="1253">
        <f t="shared" si="51"/>
        <v>1.679916287127875E-2</v>
      </c>
      <c r="AI88" s="1254">
        <f t="shared" si="52"/>
        <v>-2375002.9362811134</v>
      </c>
      <c r="AJ88" s="1254"/>
      <c r="AK88" s="1254">
        <f t="shared" si="53"/>
        <v>6091936.5711457916</v>
      </c>
      <c r="AM88" s="227">
        <f t="shared" si="42"/>
        <v>6091936.5711457916</v>
      </c>
      <c r="AP88" s="227">
        <f t="shared" si="43"/>
        <v>134022.60456520741</v>
      </c>
      <c r="AQ88" s="223">
        <f t="shared" si="46"/>
        <v>274137.1457015606</v>
      </c>
      <c r="AS88" s="227">
        <f t="shared" si="47"/>
        <v>730563.82758439658</v>
      </c>
      <c r="AU88" s="223">
        <f t="shared" si="48"/>
        <v>7230660.1489969566</v>
      </c>
      <c r="AW88" s="227">
        <f>+(D88/$G$6)*$AW$2*$AW$3</f>
        <v>0</v>
      </c>
      <c r="AY88" s="54"/>
      <c r="AZ88" s="54">
        <v>3860381</v>
      </c>
      <c r="BA88" s="54"/>
    </row>
    <row r="89" spans="2:53">
      <c r="B89" s="225" t="s">
        <v>368</v>
      </c>
      <c r="C89" s="602">
        <v>97</v>
      </c>
      <c r="D89" s="226">
        <f>+'INPUT VOL'!J71</f>
        <v>1748.7684558961362</v>
      </c>
      <c r="E89" s="229">
        <f t="shared" ref="E89:E94" si="54">+D89/$G$6</f>
        <v>1755.4391245695001</v>
      </c>
      <c r="F89" s="229"/>
      <c r="G89" s="229"/>
      <c r="H89" s="229"/>
      <c r="I89" s="229"/>
      <c r="J89" s="229"/>
      <c r="K89" s="229"/>
      <c r="L89" s="229"/>
      <c r="M89" s="229"/>
      <c r="N89" s="229"/>
      <c r="O89" s="229"/>
      <c r="P89" s="224"/>
      <c r="Q89" s="253"/>
      <c r="R89" s="227">
        <f t="shared" si="37"/>
        <v>2057001.6231814832</v>
      </c>
      <c r="S89" s="1241">
        <f t="shared" ref="S89:S94" si="55">SUM(E89:O89)</f>
        <v>1755.4391245695001</v>
      </c>
      <c r="T89" s="1246">
        <v>0.65</v>
      </c>
      <c r="U89" s="1243">
        <f t="shared" si="38"/>
        <v>2057001.6231814832</v>
      </c>
      <c r="V89" s="1244"/>
      <c r="W89" s="1245">
        <f t="shared" si="40"/>
        <v>0</v>
      </c>
      <c r="X89" s="1245"/>
      <c r="Y89" s="1245"/>
      <c r="Z89" s="1245">
        <f t="shared" si="41"/>
        <v>2057001.6231814832</v>
      </c>
      <c r="AA89" s="497"/>
      <c r="AB89" s="258"/>
      <c r="AC89" s="259"/>
      <c r="AD89" s="227">
        <f t="shared" si="49"/>
        <v>0</v>
      </c>
      <c r="AE89" s="1250"/>
      <c r="AF89" s="1254"/>
      <c r="AG89" s="1254"/>
      <c r="AH89" s="1251"/>
      <c r="AI89" s="1254"/>
      <c r="AJ89" s="1254"/>
      <c r="AK89" s="1254">
        <f t="shared" si="53"/>
        <v>0</v>
      </c>
      <c r="AM89" s="227">
        <f t="shared" si="42"/>
        <v>2057001.6231814832</v>
      </c>
      <c r="AP89" s="227">
        <f t="shared" si="43"/>
        <v>45254.035709992626</v>
      </c>
      <c r="AQ89" s="223">
        <f>+AM89*$AQ$5</f>
        <v>92565.073043166747</v>
      </c>
      <c r="AS89" s="227">
        <f t="shared" si="47"/>
        <v>191139.75544390522</v>
      </c>
      <c r="AU89" s="223">
        <f>+AM89+AP89+AQ89+AS89</f>
        <v>2385960.4873785474</v>
      </c>
      <c r="AW89" s="223">
        <v>0</v>
      </c>
      <c r="AY89" s="54"/>
      <c r="AZ89" s="54">
        <v>921453</v>
      </c>
      <c r="BA89" s="54"/>
    </row>
    <row r="90" spans="2:53">
      <c r="B90" s="493" t="s">
        <v>427</v>
      </c>
      <c r="C90" s="602">
        <v>97</v>
      </c>
      <c r="D90" s="226">
        <f>+'INPUT VOL'!J72</f>
        <v>2773.4659831582953</v>
      </c>
      <c r="E90" s="229">
        <f t="shared" si="54"/>
        <v>2784.0453555092304</v>
      </c>
      <c r="F90" s="229"/>
      <c r="G90" s="229"/>
      <c r="H90" s="229"/>
      <c r="I90" s="229"/>
      <c r="J90" s="229"/>
      <c r="K90" s="229"/>
      <c r="L90" s="229"/>
      <c r="M90" s="229"/>
      <c r="N90" s="229"/>
      <c r="O90" s="229"/>
      <c r="P90" s="224"/>
      <c r="Q90" s="253"/>
      <c r="R90" s="227">
        <f t="shared" si="37"/>
        <v>3262309.5470187725</v>
      </c>
      <c r="S90" s="1241">
        <f t="shared" si="55"/>
        <v>2784.0453555092304</v>
      </c>
      <c r="T90" s="1246">
        <v>0.65</v>
      </c>
      <c r="U90" s="1243">
        <f t="shared" si="38"/>
        <v>3262309.5470187725</v>
      </c>
      <c r="V90" s="1244"/>
      <c r="W90" s="1245">
        <f t="shared" si="40"/>
        <v>0</v>
      </c>
      <c r="X90" s="1245"/>
      <c r="Y90" s="1245"/>
      <c r="Z90" s="1245">
        <f t="shared" si="41"/>
        <v>3262309.5470187725</v>
      </c>
      <c r="AA90" s="497"/>
      <c r="AB90" s="258"/>
      <c r="AC90" s="259"/>
      <c r="AD90" s="227">
        <f t="shared" si="49"/>
        <v>0</v>
      </c>
      <c r="AE90" s="1250"/>
      <c r="AF90" s="1254"/>
      <c r="AG90" s="1254"/>
      <c r="AH90" s="1251"/>
      <c r="AI90" s="1254"/>
      <c r="AJ90" s="1254"/>
      <c r="AK90" s="1254">
        <f t="shared" si="53"/>
        <v>0</v>
      </c>
      <c r="AM90" s="227">
        <f t="shared" si="42"/>
        <v>3262309.5470187725</v>
      </c>
      <c r="AP90" s="227">
        <f t="shared" si="43"/>
        <v>71770.810034412993</v>
      </c>
      <c r="AQ90" s="223">
        <f>+AM90*$AQ$5</f>
        <v>146803.92961584477</v>
      </c>
      <c r="AS90" s="227">
        <f t="shared" si="47"/>
        <v>303138.822046749</v>
      </c>
      <c r="AU90" s="223">
        <f>+AM90+AP90+AQ90+AS90</f>
        <v>3784023.1087157791</v>
      </c>
      <c r="AW90" s="223">
        <v>0</v>
      </c>
      <c r="AY90" s="54"/>
      <c r="AZ90" s="54">
        <v>5616506</v>
      </c>
      <c r="BA90" s="54"/>
    </row>
    <row r="91" spans="2:53">
      <c r="B91" s="225" t="s">
        <v>392</v>
      </c>
      <c r="C91" s="602">
        <v>97</v>
      </c>
      <c r="D91" s="226">
        <f>+'INPUT VOL'!J73</f>
        <v>476.84151991142636</v>
      </c>
      <c r="E91" s="229">
        <f t="shared" si="54"/>
        <v>478.66042954369237</v>
      </c>
      <c r="F91" s="229"/>
      <c r="G91" s="229"/>
      <c r="H91" s="229"/>
      <c r="I91" s="229"/>
      <c r="J91" s="229"/>
      <c r="K91" s="229"/>
      <c r="L91" s="229"/>
      <c r="M91" s="229"/>
      <c r="N91" s="229"/>
      <c r="O91" s="229"/>
      <c r="P91" s="224"/>
      <c r="Q91" s="253"/>
      <c r="R91" s="227">
        <f t="shared" si="37"/>
        <v>560888.30808392947</v>
      </c>
      <c r="S91" s="1241">
        <f t="shared" si="55"/>
        <v>478.66042954369237</v>
      </c>
      <c r="T91" s="1246">
        <v>0.65</v>
      </c>
      <c r="U91" s="1243">
        <f t="shared" si="38"/>
        <v>560888.30808392947</v>
      </c>
      <c r="V91" s="1244"/>
      <c r="W91" s="1245">
        <f t="shared" si="40"/>
        <v>0</v>
      </c>
      <c r="X91" s="1245"/>
      <c r="Y91" s="1245"/>
      <c r="Z91" s="1245">
        <f t="shared" si="41"/>
        <v>560888.30808392947</v>
      </c>
      <c r="AA91" s="497"/>
      <c r="AB91" s="258"/>
      <c r="AC91" s="259"/>
      <c r="AD91" s="227">
        <f t="shared" si="49"/>
        <v>0</v>
      </c>
      <c r="AE91" s="1250"/>
      <c r="AF91" s="1254"/>
      <c r="AG91" s="1254"/>
      <c r="AH91" s="1251"/>
      <c r="AI91" s="1254"/>
      <c r="AJ91" s="1254"/>
      <c r="AK91" s="1254">
        <f t="shared" si="53"/>
        <v>0</v>
      </c>
      <c r="AM91" s="227">
        <f t="shared" si="42"/>
        <v>560888.30808392947</v>
      </c>
      <c r="AP91" s="227">
        <f t="shared" si="43"/>
        <v>12339.542777846447</v>
      </c>
      <c r="AQ91" s="223">
        <f>+AM91*$AQ$5</f>
        <v>25239.973863776824</v>
      </c>
      <c r="AS91" s="227">
        <f t="shared" si="47"/>
        <v>52118.604492248087</v>
      </c>
      <c r="AU91" s="223">
        <f>+AM91+AP91+AQ91+AS91</f>
        <v>650586.42921780073</v>
      </c>
      <c r="AW91" s="223">
        <v>0</v>
      </c>
      <c r="AY91" s="54"/>
      <c r="AZ91" s="54">
        <v>17928015</v>
      </c>
      <c r="BA91" s="54"/>
    </row>
    <row r="92" spans="2:53">
      <c r="B92" s="339" t="s">
        <v>464</v>
      </c>
      <c r="C92" s="602">
        <v>97</v>
      </c>
      <c r="D92" s="226">
        <f>+'INPUT VOL'!J74</f>
        <v>5244.7873438842589</v>
      </c>
      <c r="E92" s="229">
        <f t="shared" si="54"/>
        <v>5264.7935594100163</v>
      </c>
      <c r="F92" s="229"/>
      <c r="G92" s="229"/>
      <c r="H92" s="229"/>
      <c r="I92" s="229"/>
      <c r="J92" s="229"/>
      <c r="K92" s="229"/>
      <c r="L92" s="229"/>
      <c r="M92" s="229"/>
      <c r="N92" s="229"/>
      <c r="O92" s="229"/>
      <c r="P92" s="224"/>
      <c r="Q92" s="253"/>
      <c r="R92" s="227">
        <f t="shared" si="37"/>
        <v>6169219.2829971649</v>
      </c>
      <c r="S92" s="1241">
        <f t="shared" si="55"/>
        <v>5264.7935594100163</v>
      </c>
      <c r="T92" s="1246">
        <v>0.65</v>
      </c>
      <c r="U92" s="1243">
        <f t="shared" si="38"/>
        <v>6169219.2829971649</v>
      </c>
      <c r="V92" s="1244"/>
      <c r="W92" s="1245">
        <f t="shared" si="40"/>
        <v>0</v>
      </c>
      <c r="X92" s="1245"/>
      <c r="Y92" s="1245"/>
      <c r="Z92" s="1245">
        <f t="shared" si="41"/>
        <v>6169219.2829971649</v>
      </c>
      <c r="AA92" s="497"/>
      <c r="AB92" s="258"/>
      <c r="AC92" s="259"/>
      <c r="AD92" s="227">
        <f t="shared" si="49"/>
        <v>0</v>
      </c>
      <c r="AE92" s="1250"/>
      <c r="AF92" s="1254"/>
      <c r="AG92" s="1254"/>
      <c r="AH92" s="1251"/>
      <c r="AI92" s="1254"/>
      <c r="AJ92" s="1254"/>
      <c r="AK92" s="1254">
        <f t="shared" si="53"/>
        <v>0</v>
      </c>
      <c r="AM92" s="227">
        <f t="shared" si="42"/>
        <v>6169219.2829971649</v>
      </c>
      <c r="AP92" s="227">
        <f t="shared" si="43"/>
        <v>135722.82422593763</v>
      </c>
      <c r="AQ92" s="223">
        <f t="shared" si="46"/>
        <v>277614.86773487239</v>
      </c>
      <c r="AS92" s="227">
        <f t="shared" si="47"/>
        <v>573253.34688268579</v>
      </c>
      <c r="AU92" s="223">
        <f t="shared" si="48"/>
        <v>7155810.3218406616</v>
      </c>
      <c r="AW92" s="223">
        <v>0</v>
      </c>
      <c r="AY92" s="54"/>
      <c r="AZ92" s="54">
        <v>3508733</v>
      </c>
      <c r="BA92" s="54"/>
    </row>
    <row r="93" spans="2:53">
      <c r="B93" s="225" t="s">
        <v>339</v>
      </c>
      <c r="C93" s="602">
        <v>97</v>
      </c>
      <c r="D93" s="226">
        <f>+'INPUT VOL'!J75</f>
        <v>4087.4647034912787</v>
      </c>
      <c r="E93" s="229">
        <f t="shared" si="54"/>
        <v>4103.0563174977697</v>
      </c>
      <c r="F93" s="229"/>
      <c r="G93" s="229"/>
      <c r="H93" s="229"/>
      <c r="I93" s="229"/>
      <c r="J93" s="229"/>
      <c r="K93" s="229"/>
      <c r="L93" s="229"/>
      <c r="M93" s="229"/>
      <c r="N93" s="229"/>
      <c r="O93" s="229"/>
      <c r="P93" s="224"/>
      <c r="Q93" s="253"/>
      <c r="R93" s="227">
        <f t="shared" si="37"/>
        <v>4807910.1046399176</v>
      </c>
      <c r="S93" s="1241">
        <f t="shared" si="55"/>
        <v>4103.0563174977697</v>
      </c>
      <c r="T93" s="1246">
        <v>0.65</v>
      </c>
      <c r="U93" s="1243">
        <f t="shared" si="38"/>
        <v>4807910.1046399176</v>
      </c>
      <c r="V93" s="1244"/>
      <c r="W93" s="1245">
        <f t="shared" si="40"/>
        <v>0</v>
      </c>
      <c r="X93" s="1245"/>
      <c r="Y93" s="1245"/>
      <c r="Z93" s="1245">
        <f t="shared" si="41"/>
        <v>4807910.1046399176</v>
      </c>
      <c r="AA93" s="497"/>
      <c r="AB93" s="258"/>
      <c r="AC93" s="259"/>
      <c r="AD93" s="227">
        <f t="shared" si="49"/>
        <v>0</v>
      </c>
      <c r="AE93" s="1250"/>
      <c r="AF93" s="1254"/>
      <c r="AG93" s="1254"/>
      <c r="AH93" s="1251"/>
      <c r="AI93" s="1254"/>
      <c r="AJ93" s="1254"/>
      <c r="AK93" s="1254">
        <f t="shared" si="53"/>
        <v>0</v>
      </c>
      <c r="AM93" s="227">
        <f t="shared" si="42"/>
        <v>4807910.1046399176</v>
      </c>
      <c r="AP93" s="227">
        <f t="shared" si="43"/>
        <v>105774.02230207819</v>
      </c>
      <c r="AQ93" s="223">
        <f t="shared" si="46"/>
        <v>216355.95470879629</v>
      </c>
      <c r="AS93" s="227">
        <f t="shared" si="47"/>
        <v>446758.40370791761</v>
      </c>
      <c r="AU93" s="223">
        <f t="shared" si="48"/>
        <v>5576798.4853587095</v>
      </c>
      <c r="AW93" s="223">
        <v>0</v>
      </c>
      <c r="AY93" s="54"/>
      <c r="AZ93" s="54">
        <v>20630075</v>
      </c>
      <c r="BA93" s="54"/>
    </row>
    <row r="94" spans="2:53">
      <c r="B94" s="225" t="s">
        <v>450</v>
      </c>
      <c r="C94" s="602">
        <v>97</v>
      </c>
      <c r="D94" s="226">
        <f>+'INPUT VOL'!J144</f>
        <v>2206.1470566275043</v>
      </c>
      <c r="E94" s="223">
        <f t="shared" si="54"/>
        <v>2214.5623937236542</v>
      </c>
      <c r="F94" s="223"/>
      <c r="G94" s="223"/>
      <c r="H94" s="223"/>
      <c r="I94" s="223"/>
      <c r="J94" s="223"/>
      <c r="K94" s="223"/>
      <c r="L94" s="223"/>
      <c r="M94" s="223"/>
      <c r="N94" s="223"/>
      <c r="O94" s="223"/>
      <c r="P94" s="224"/>
      <c r="Q94" s="253"/>
      <c r="R94" s="227">
        <f t="shared" si="37"/>
        <v>2594996.5309354565</v>
      </c>
      <c r="S94" s="1241">
        <f t="shared" si="55"/>
        <v>2214.5623937236542</v>
      </c>
      <c r="T94" s="1246">
        <v>0.65</v>
      </c>
      <c r="U94" s="1243">
        <f t="shared" si="38"/>
        <v>2594996.5309354565</v>
      </c>
      <c r="V94" s="1244"/>
      <c r="W94" s="1245">
        <f t="shared" si="40"/>
        <v>0</v>
      </c>
      <c r="X94" s="1245"/>
      <c r="Y94" s="1245"/>
      <c r="Z94" s="1245">
        <f t="shared" si="41"/>
        <v>2594996.5309354565</v>
      </c>
      <c r="AA94" s="497"/>
      <c r="AB94" s="258"/>
      <c r="AC94" s="259"/>
      <c r="AD94" s="227">
        <f t="shared" si="49"/>
        <v>0</v>
      </c>
      <c r="AE94" s="1250"/>
      <c r="AF94" s="1254"/>
      <c r="AG94" s="1254"/>
      <c r="AH94" s="1251"/>
      <c r="AI94" s="1254"/>
      <c r="AJ94" s="1254"/>
      <c r="AK94" s="1254">
        <f t="shared" si="53"/>
        <v>0</v>
      </c>
      <c r="AM94" s="227">
        <f t="shared" si="42"/>
        <v>2594996.5309354565</v>
      </c>
      <c r="AP94" s="227">
        <f t="shared" si="43"/>
        <v>57089.923680580039</v>
      </c>
      <c r="AQ94" s="223">
        <f>+AM94*$AQ$5</f>
        <v>116774.84389209554</v>
      </c>
      <c r="AS94" s="227">
        <f t="shared" si="47"/>
        <v>241131.06995687791</v>
      </c>
      <c r="AU94" s="223">
        <f>+AM94+AP94+AQ94+AS94</f>
        <v>3009992.3684650101</v>
      </c>
      <c r="AW94" s="223">
        <v>0</v>
      </c>
      <c r="AY94" s="54"/>
      <c r="AZ94" s="54">
        <v>1435067</v>
      </c>
      <c r="BA94" s="54"/>
    </row>
    <row r="95" spans="2:53">
      <c r="B95" s="231"/>
      <c r="C95" s="605"/>
      <c r="D95" s="232"/>
      <c r="E95" s="233"/>
      <c r="F95" s="233"/>
      <c r="G95" s="233"/>
      <c r="H95" s="233"/>
      <c r="I95" s="233"/>
      <c r="J95" s="233"/>
      <c r="K95" s="233"/>
      <c r="L95" s="233"/>
      <c r="M95" s="233"/>
      <c r="N95" s="233"/>
      <c r="O95" s="233"/>
      <c r="P95" s="224"/>
      <c r="Q95" s="253"/>
      <c r="R95" s="227">
        <f t="shared" si="37"/>
        <v>0</v>
      </c>
      <c r="S95" s="1241"/>
      <c r="T95" s="1247"/>
      <c r="U95" s="1243">
        <f t="shared" si="38"/>
        <v>0</v>
      </c>
      <c r="V95" s="1244"/>
      <c r="W95" s="1245">
        <f t="shared" si="40"/>
        <v>0</v>
      </c>
      <c r="X95" s="1245"/>
      <c r="Y95" s="1245"/>
      <c r="Z95" s="1245">
        <f t="shared" si="41"/>
        <v>0</v>
      </c>
      <c r="AA95" s="497"/>
      <c r="AB95" s="258"/>
      <c r="AC95" s="259"/>
      <c r="AD95" s="227">
        <f t="shared" si="49"/>
        <v>0</v>
      </c>
      <c r="AE95" s="1250"/>
      <c r="AF95" s="1255"/>
      <c r="AG95" s="1255"/>
      <c r="AH95" s="1256"/>
      <c r="AI95" s="1255"/>
      <c r="AJ95" s="1255"/>
      <c r="AK95" s="1254">
        <f t="shared" si="53"/>
        <v>0</v>
      </c>
      <c r="AM95" s="227">
        <f t="shared" si="42"/>
        <v>0</v>
      </c>
      <c r="AP95" s="227">
        <f t="shared" si="43"/>
        <v>0</v>
      </c>
      <c r="AQ95" s="233"/>
      <c r="AS95" s="233"/>
      <c r="AU95" s="233"/>
      <c r="AW95" s="233"/>
      <c r="AY95" s="54"/>
      <c r="AZ95" s="54">
        <v>68463449</v>
      </c>
      <c r="BA95" s="54"/>
    </row>
    <row r="96" spans="2:53">
      <c r="B96" s="225" t="s">
        <v>62</v>
      </c>
      <c r="C96" s="602">
        <v>97</v>
      </c>
      <c r="D96" s="226">
        <f>+'INPUT VOL'!J77</f>
        <v>3662.6361572506962</v>
      </c>
      <c r="E96" s="229"/>
      <c r="F96" s="229"/>
      <c r="G96" s="229"/>
      <c r="H96" s="229">
        <f t="shared" ref="H96:H107" si="56">+D96/$G$6</f>
        <v>3676.607264857153</v>
      </c>
      <c r="I96" s="229"/>
      <c r="J96" s="229"/>
      <c r="K96" s="229"/>
      <c r="L96" s="229"/>
      <c r="M96" s="229"/>
      <c r="N96" s="229"/>
      <c r="O96" s="229"/>
      <c r="P96" s="224"/>
      <c r="Q96" s="253"/>
      <c r="R96" s="227">
        <f t="shared" si="37"/>
        <v>0</v>
      </c>
      <c r="S96" s="1241"/>
      <c r="T96" s="1247"/>
      <c r="U96" s="1243">
        <f t="shared" si="38"/>
        <v>0</v>
      </c>
      <c r="V96" s="1244"/>
      <c r="W96" s="1245">
        <f t="shared" si="40"/>
        <v>0</v>
      </c>
      <c r="X96" s="1245"/>
      <c r="Y96" s="1245"/>
      <c r="Z96" s="1245">
        <f t="shared" si="41"/>
        <v>0</v>
      </c>
      <c r="AA96" s="497"/>
      <c r="AB96" s="258"/>
      <c r="AC96" s="259"/>
      <c r="AD96" s="227">
        <f t="shared" si="49"/>
        <v>3603299.7681414662</v>
      </c>
      <c r="AE96" s="1250">
        <f t="shared" ref="AE96:AE110" si="57">SUM(E96:O96)</f>
        <v>3676.607264857153</v>
      </c>
      <c r="AF96" s="1251">
        <v>0.74</v>
      </c>
      <c r="AG96" s="1252">
        <f t="shared" ref="AG96:AG110" si="58">+AE96*AF96*$AF$3</f>
        <v>4904722.7725737123</v>
      </c>
      <c r="AH96" s="1253">
        <f t="shared" ref="AH96:AH111" si="59">+AE96/$AE$192</f>
        <v>9.2053852573841504E-3</v>
      </c>
      <c r="AI96" s="1254">
        <f t="shared" ref="AI96:AI111" si="60">+AH96*$AI$7</f>
        <v>-1301423.0044322463</v>
      </c>
      <c r="AJ96" s="1254"/>
      <c r="AK96" s="1254">
        <f t="shared" si="53"/>
        <v>3603299.7681414662</v>
      </c>
      <c r="AM96" s="227">
        <f t="shared" si="42"/>
        <v>3603299.7681414662</v>
      </c>
      <c r="AP96" s="227">
        <f t="shared" si="43"/>
        <v>79272.594899112257</v>
      </c>
      <c r="AQ96" s="498">
        <f t="shared" ref="AQ96:AQ106" si="61">+AM96*$AQ$5</f>
        <v>162148.48956636598</v>
      </c>
      <c r="AS96" s="227">
        <f t="shared" ref="AS96:AS111" si="62">+(D96/$AS$4)*$AS$2*$AS$3*$AS$1</f>
        <v>400324.79829821573</v>
      </c>
      <c r="AU96" s="223">
        <f t="shared" ref="AU96:AU104" si="63">+AM96+AP96+AQ96+AS96</f>
        <v>4245045.6509051602</v>
      </c>
      <c r="AW96" s="227">
        <f t="shared" ref="AW96:AW101" si="64">+(D96/$G$6)*$AW$2*$AW$3</f>
        <v>0</v>
      </c>
      <c r="AY96" s="54"/>
      <c r="AZ96" s="54">
        <v>340218</v>
      </c>
      <c r="BA96" s="54"/>
    </row>
    <row r="97" spans="2:53">
      <c r="B97" s="225" t="s">
        <v>63</v>
      </c>
      <c r="C97" s="602">
        <v>97</v>
      </c>
      <c r="D97" s="226">
        <f>+'INPUT VOL'!J78</f>
        <v>3849.8828624657399</v>
      </c>
      <c r="E97" s="229"/>
      <c r="F97" s="229"/>
      <c r="H97" s="229">
        <f t="shared" si="56"/>
        <v>3864.5682217082308</v>
      </c>
      <c r="I97" s="229"/>
      <c r="J97" s="229"/>
      <c r="K97" s="229"/>
      <c r="L97" s="229"/>
      <c r="M97" s="229"/>
      <c r="N97" s="229"/>
      <c r="O97" s="229"/>
      <c r="P97" s="224"/>
      <c r="Q97" s="253"/>
      <c r="R97" s="227">
        <f t="shared" si="37"/>
        <v>0</v>
      </c>
      <c r="S97" s="1241"/>
      <c r="T97" s="1247"/>
      <c r="U97" s="1243">
        <f t="shared" si="38"/>
        <v>0</v>
      </c>
      <c r="V97" s="1244"/>
      <c r="W97" s="1245">
        <f t="shared" si="40"/>
        <v>0</v>
      </c>
      <c r="X97" s="1245"/>
      <c r="Y97" s="1245"/>
      <c r="Z97" s="1245">
        <f t="shared" si="41"/>
        <v>0</v>
      </c>
      <c r="AA97" s="497"/>
      <c r="AB97" s="258"/>
      <c r="AC97" s="259"/>
      <c r="AD97" s="227">
        <f t="shared" si="49"/>
        <v>3787512.9906727141</v>
      </c>
      <c r="AE97" s="1250">
        <f t="shared" si="57"/>
        <v>3864.5682217082308</v>
      </c>
      <c r="AF97" s="1251">
        <v>0.74</v>
      </c>
      <c r="AG97" s="1252">
        <f t="shared" si="58"/>
        <v>5155469.267646539</v>
      </c>
      <c r="AH97" s="1253">
        <f t="shared" si="59"/>
        <v>9.6759965836738394E-3</v>
      </c>
      <c r="AI97" s="1254">
        <f t="shared" si="60"/>
        <v>-1367956.2769738252</v>
      </c>
      <c r="AJ97" s="1254"/>
      <c r="AK97" s="1254">
        <f t="shared" si="53"/>
        <v>3787512.9906727141</v>
      </c>
      <c r="AM97" s="227">
        <f t="shared" si="42"/>
        <v>3787512.9906727141</v>
      </c>
      <c r="AP97" s="227">
        <f t="shared" si="43"/>
        <v>83325.285794799711</v>
      </c>
      <c r="AQ97" s="223">
        <f t="shared" si="61"/>
        <v>170438.08458027212</v>
      </c>
      <c r="AS97" s="227">
        <f t="shared" si="62"/>
        <v>420790.79499538295</v>
      </c>
      <c r="AU97" s="223">
        <f t="shared" si="63"/>
        <v>4462067.1560431691</v>
      </c>
      <c r="AW97" s="227">
        <f t="shared" si="64"/>
        <v>0</v>
      </c>
      <c r="AY97" s="54"/>
      <c r="AZ97" s="54">
        <v>10495</v>
      </c>
      <c r="BA97" s="54"/>
    </row>
    <row r="98" spans="2:53">
      <c r="B98" s="225" t="s">
        <v>467</v>
      </c>
      <c r="C98" s="602">
        <v>97</v>
      </c>
      <c r="D98" s="226">
        <f>+'INPUT VOL'!J149</f>
        <v>1287.5308280859631</v>
      </c>
      <c r="E98" s="229"/>
      <c r="F98" s="229"/>
      <c r="G98" s="229"/>
      <c r="H98" s="229">
        <f>+D98/$G$6</f>
        <v>1292.4421080967306</v>
      </c>
      <c r="I98" s="229"/>
      <c r="J98" s="229"/>
      <c r="K98" s="229"/>
      <c r="L98" s="229"/>
      <c r="M98" s="229"/>
      <c r="N98" s="229"/>
      <c r="O98" s="229"/>
      <c r="P98" s="224"/>
      <c r="Q98" s="253"/>
      <c r="R98" s="227">
        <f t="shared" si="37"/>
        <v>0</v>
      </c>
      <c r="S98" s="1241"/>
      <c r="T98" s="1247"/>
      <c r="U98" s="1243">
        <f t="shared" si="38"/>
        <v>0</v>
      </c>
      <c r="V98" s="1244"/>
      <c r="W98" s="1245">
        <f t="shared" si="40"/>
        <v>0</v>
      </c>
      <c r="X98" s="1245"/>
      <c r="Y98" s="1245"/>
      <c r="Z98" s="1245">
        <f t="shared" si="41"/>
        <v>0</v>
      </c>
      <c r="AA98" s="497"/>
      <c r="AB98" s="258"/>
      <c r="AC98" s="259"/>
      <c r="AD98" s="227">
        <f t="shared" si="49"/>
        <v>1266672.2369168135</v>
      </c>
      <c r="AE98" s="1250">
        <f t="shared" si="57"/>
        <v>1292.4421080967306</v>
      </c>
      <c r="AF98" s="1251">
        <v>0.74</v>
      </c>
      <c r="AG98" s="1252">
        <f t="shared" si="58"/>
        <v>1724163.0076748221</v>
      </c>
      <c r="AH98" s="1253">
        <f t="shared" si="59"/>
        <v>3.2359799866626187E-3</v>
      </c>
      <c r="AI98" s="1254">
        <f t="shared" si="60"/>
        <v>-457490.7707580087</v>
      </c>
      <c r="AJ98" s="1254"/>
      <c r="AK98" s="1254">
        <f t="shared" si="53"/>
        <v>1266672.2369168135</v>
      </c>
      <c r="AM98" s="227">
        <f t="shared" si="42"/>
        <v>1266672.2369168135</v>
      </c>
      <c r="AP98" s="227">
        <f t="shared" si="43"/>
        <v>27866.789212169897</v>
      </c>
      <c r="AQ98" s="223">
        <f>+AM98*$AQ$5</f>
        <v>57000.250661256607</v>
      </c>
      <c r="AS98" s="227">
        <f t="shared" si="62"/>
        <v>140726.65067642106</v>
      </c>
      <c r="AU98" s="223">
        <f>+AM98+AP98+AQ98+AS98</f>
        <v>1492265.927466661</v>
      </c>
      <c r="AW98" s="227">
        <f t="shared" si="64"/>
        <v>0</v>
      </c>
      <c r="AY98" s="54"/>
      <c r="AZ98" s="54">
        <v>370448</v>
      </c>
      <c r="BA98" s="54"/>
    </row>
    <row r="99" spans="2:53">
      <c r="B99" s="225" t="s">
        <v>156</v>
      </c>
      <c r="C99" s="602">
        <v>97</v>
      </c>
      <c r="D99" s="226">
        <f>+'INPUT VOL'!J79</f>
        <v>5173.8227721212961</v>
      </c>
      <c r="E99" s="229"/>
      <c r="F99" s="229"/>
      <c r="G99" s="229"/>
      <c r="H99" s="229">
        <f t="shared" si="56"/>
        <v>5193.5582936371165</v>
      </c>
      <c r="I99" s="229"/>
      <c r="J99" s="229"/>
      <c r="K99" s="229"/>
      <c r="L99" s="229"/>
      <c r="M99" s="229"/>
      <c r="N99" s="229"/>
      <c r="O99" s="229"/>
      <c r="P99" s="224"/>
      <c r="Q99" s="253"/>
      <c r="R99" s="227">
        <f t="shared" si="37"/>
        <v>0</v>
      </c>
      <c r="S99" s="1241"/>
      <c r="T99" s="1247"/>
      <c r="U99" s="1243">
        <f t="shared" si="38"/>
        <v>0</v>
      </c>
      <c r="V99" s="1244"/>
      <c r="W99" s="1245">
        <f t="shared" si="40"/>
        <v>0</v>
      </c>
      <c r="X99" s="1245"/>
      <c r="Y99" s="1245"/>
      <c r="Z99" s="1245">
        <f t="shared" si="41"/>
        <v>0</v>
      </c>
      <c r="AA99" s="497"/>
      <c r="AB99" s="258"/>
      <c r="AC99" s="259"/>
      <c r="AD99" s="227">
        <f t="shared" si="49"/>
        <v>5090004.4653039388</v>
      </c>
      <c r="AE99" s="1250">
        <f t="shared" si="57"/>
        <v>5193.5582936371165</v>
      </c>
      <c r="AF99" s="1251">
        <v>0.74</v>
      </c>
      <c r="AG99" s="1252">
        <f t="shared" si="58"/>
        <v>6928388.5382521907</v>
      </c>
      <c r="AH99" s="1253">
        <f t="shared" si="59"/>
        <v>1.3003484328226123E-2</v>
      </c>
      <c r="AI99" s="1254">
        <f t="shared" si="60"/>
        <v>-1838384.0729482523</v>
      </c>
      <c r="AJ99" s="1254"/>
      <c r="AK99" s="1254">
        <f t="shared" si="53"/>
        <v>5090004.4653039388</v>
      </c>
      <c r="AM99" s="227">
        <f t="shared" si="42"/>
        <v>5090004.4653039388</v>
      </c>
      <c r="AP99" s="227">
        <f t="shared" si="43"/>
        <v>111980.09823668665</v>
      </c>
      <c r="AQ99" s="223">
        <f t="shared" si="61"/>
        <v>229050.20093867724</v>
      </c>
      <c r="AS99" s="227">
        <f t="shared" si="62"/>
        <v>565496.94502958655</v>
      </c>
      <c r="AU99" s="223">
        <f t="shared" si="63"/>
        <v>5996531.7095088894</v>
      </c>
      <c r="AW99" s="227">
        <f t="shared" si="64"/>
        <v>0</v>
      </c>
      <c r="AY99" s="54"/>
      <c r="AZ99" s="54">
        <v>58591996</v>
      </c>
      <c r="BA99" s="54"/>
    </row>
    <row r="100" spans="2:53">
      <c r="B100" s="992" t="s">
        <v>508</v>
      </c>
      <c r="C100" s="602">
        <v>97</v>
      </c>
      <c r="D100" s="226">
        <f>+'INPUT VOL'!J154</f>
        <v>6995.9546884612273</v>
      </c>
      <c r="E100" s="229"/>
      <c r="F100" s="229"/>
      <c r="G100" s="229"/>
      <c r="H100" s="229">
        <f>+D100/$G$6</f>
        <v>7022.6407232094225</v>
      </c>
      <c r="I100" s="229"/>
      <c r="J100" s="229"/>
      <c r="K100" s="229"/>
      <c r="L100" s="229"/>
      <c r="M100" s="229"/>
      <c r="N100" s="229"/>
      <c r="O100" s="229"/>
      <c r="P100" s="224"/>
      <c r="Q100" s="253"/>
      <c r="R100" s="227">
        <f t="shared" si="37"/>
        <v>0</v>
      </c>
      <c r="S100" s="1241"/>
      <c r="T100" s="1247"/>
      <c r="U100" s="1243">
        <f t="shared" si="38"/>
        <v>0</v>
      </c>
      <c r="V100" s="1244"/>
      <c r="W100" s="1245">
        <f t="shared" si="40"/>
        <v>0</v>
      </c>
      <c r="X100" s="1245"/>
      <c r="Y100" s="1245"/>
      <c r="Z100" s="1245">
        <f t="shared" si="41"/>
        <v>0</v>
      </c>
      <c r="AA100" s="497"/>
      <c r="AB100" s="258"/>
      <c r="AC100" s="259"/>
      <c r="AD100" s="227">
        <f t="shared" si="49"/>
        <v>6882617.0071402732</v>
      </c>
      <c r="AE100" s="1250">
        <f t="shared" si="57"/>
        <v>7022.6407232094225</v>
      </c>
      <c r="AF100" s="1251">
        <v>0.74</v>
      </c>
      <c r="AG100" s="1252">
        <f t="shared" si="58"/>
        <v>9368448.5171866808</v>
      </c>
      <c r="AH100" s="1253">
        <f t="shared" si="59"/>
        <v>1.7583089170077369E-2</v>
      </c>
      <c r="AI100" s="1254">
        <f t="shared" si="60"/>
        <v>-2485831.5100464076</v>
      </c>
      <c r="AJ100" s="1254"/>
      <c r="AK100" s="1254">
        <f t="shared" si="53"/>
        <v>6882617.0071402732</v>
      </c>
      <c r="AM100" s="227">
        <f t="shared" si="42"/>
        <v>6882617.0071402732</v>
      </c>
      <c r="AP100" s="227">
        <f t="shared" si="43"/>
        <v>151417.574157086</v>
      </c>
      <c r="AQ100" s="223">
        <f>+AM100*$AQ$5</f>
        <v>309717.7653213123</v>
      </c>
      <c r="AS100" s="227">
        <f t="shared" si="62"/>
        <v>764655.29998588981</v>
      </c>
      <c r="AU100" s="223">
        <f>+AM100+AP100+AQ100+AS100</f>
        <v>8108407.6466045622</v>
      </c>
      <c r="AW100" s="227">
        <f t="shared" si="64"/>
        <v>0</v>
      </c>
      <c r="AY100" s="54"/>
      <c r="AZ100" s="54">
        <v>1600212</v>
      </c>
      <c r="BA100" s="54"/>
    </row>
    <row r="101" spans="2:53">
      <c r="B101" s="225" t="s">
        <v>211</v>
      </c>
      <c r="C101" s="602">
        <v>97</v>
      </c>
      <c r="D101" s="226">
        <f>+'INPUT VOL'!J80</f>
        <v>3702.6106442735331</v>
      </c>
      <c r="E101" s="229"/>
      <c r="F101" s="229"/>
      <c r="G101" s="229"/>
      <c r="H101" s="229">
        <f t="shared" si="56"/>
        <v>3716.7342343641167</v>
      </c>
      <c r="I101" s="229"/>
      <c r="J101" s="229"/>
      <c r="K101" s="229"/>
      <c r="L101" s="229"/>
      <c r="M101" s="229"/>
      <c r="N101" s="229"/>
      <c r="O101" s="229"/>
      <c r="P101" s="224"/>
      <c r="Q101" s="253"/>
      <c r="R101" s="227">
        <f t="shared" si="37"/>
        <v>0</v>
      </c>
      <c r="S101" s="1241"/>
      <c r="T101" s="1247"/>
      <c r="U101" s="1243">
        <f t="shared" si="38"/>
        <v>0</v>
      </c>
      <c r="V101" s="1244"/>
      <c r="W101" s="1245">
        <f t="shared" si="40"/>
        <v>0</v>
      </c>
      <c r="X101" s="1245"/>
      <c r="Y101" s="1245"/>
      <c r="Z101" s="1245">
        <f t="shared" si="41"/>
        <v>0</v>
      </c>
      <c r="AA101" s="497"/>
      <c r="AB101" s="258"/>
      <c r="AC101" s="259"/>
      <c r="AD101" s="227">
        <f t="shared" si="49"/>
        <v>3642626.6501021041</v>
      </c>
      <c r="AE101" s="1250">
        <f t="shared" si="57"/>
        <v>3716.7342343641167</v>
      </c>
      <c r="AF101" s="1251">
        <v>0.74</v>
      </c>
      <c r="AG101" s="1252">
        <f t="shared" si="58"/>
        <v>4958253.5543399341</v>
      </c>
      <c r="AH101" s="1253">
        <f t="shared" si="59"/>
        <v>9.3058540284312145E-3</v>
      </c>
      <c r="AI101" s="1254">
        <f t="shared" si="60"/>
        <v>-1315626.9042378303</v>
      </c>
      <c r="AJ101" s="1254"/>
      <c r="AK101" s="1254">
        <f t="shared" si="53"/>
        <v>3642626.6501021041</v>
      </c>
      <c r="AM101" s="227">
        <f t="shared" si="42"/>
        <v>3642626.6501021041</v>
      </c>
      <c r="AP101" s="227">
        <f t="shared" si="43"/>
        <v>80137.786302246284</v>
      </c>
      <c r="AQ101" s="223">
        <f t="shared" si="61"/>
        <v>163918.19925459469</v>
      </c>
      <c r="AS101" s="227">
        <f t="shared" si="62"/>
        <v>404693.99517375365</v>
      </c>
      <c r="AU101" s="223">
        <f t="shared" si="63"/>
        <v>4291376.6308326982</v>
      </c>
      <c r="AW101" s="227">
        <f t="shared" si="64"/>
        <v>0</v>
      </c>
      <c r="AY101" s="54"/>
      <c r="AZ101" s="54">
        <v>3429490</v>
      </c>
      <c r="BA101" s="54"/>
    </row>
    <row r="102" spans="2:53">
      <c r="B102" s="225" t="s">
        <v>214</v>
      </c>
      <c r="C102" s="602">
        <v>97</v>
      </c>
      <c r="D102" s="226">
        <f>+'INPUT VOL'!J81</f>
        <v>4031.5369146327707</v>
      </c>
      <c r="E102" s="229"/>
      <c r="F102" s="229"/>
      <c r="G102" s="229"/>
      <c r="H102" s="229">
        <f t="shared" si="56"/>
        <v>4046.9151923637528</v>
      </c>
      <c r="I102" s="229"/>
      <c r="J102" s="229"/>
      <c r="K102" s="229"/>
      <c r="L102" s="229"/>
      <c r="M102" s="229"/>
      <c r="N102" s="229"/>
      <c r="O102" s="229"/>
      <c r="P102" s="224"/>
      <c r="Q102" s="253"/>
      <c r="R102" s="227">
        <f t="shared" si="37"/>
        <v>0</v>
      </c>
      <c r="S102" s="1241"/>
      <c r="T102" s="1247"/>
      <c r="U102" s="1243">
        <f t="shared" si="38"/>
        <v>0</v>
      </c>
      <c r="V102" s="1244"/>
      <c r="W102" s="1245">
        <f t="shared" si="40"/>
        <v>0</v>
      </c>
      <c r="X102" s="1245"/>
      <c r="Y102" s="1245"/>
      <c r="Z102" s="1245">
        <f t="shared" si="41"/>
        <v>0</v>
      </c>
      <c r="AA102" s="497"/>
      <c r="AB102" s="258"/>
      <c r="AC102" s="259"/>
      <c r="AD102" s="227">
        <f t="shared" si="49"/>
        <v>3966224.1637057331</v>
      </c>
      <c r="AE102" s="1250">
        <f t="shared" si="57"/>
        <v>4046.9151923637528</v>
      </c>
      <c r="AF102" s="1251">
        <v>0.74</v>
      </c>
      <c r="AG102" s="1252">
        <f t="shared" si="58"/>
        <v>5398726.5086449785</v>
      </c>
      <c r="AH102" s="1253">
        <f t="shared" si="59"/>
        <v>1.0132551770148514E-2</v>
      </c>
      <c r="AI102" s="1254">
        <f t="shared" si="60"/>
        <v>-1432502.3449392454</v>
      </c>
      <c r="AJ102" s="1254"/>
      <c r="AK102" s="1254">
        <f t="shared" si="53"/>
        <v>3966224.1637057331</v>
      </c>
      <c r="AM102" s="227">
        <f t="shared" si="42"/>
        <v>3966224.1637057331</v>
      </c>
      <c r="AP102" s="227">
        <f t="shared" si="43"/>
        <v>87256.931601526128</v>
      </c>
      <c r="AQ102" s="223">
        <f t="shared" si="61"/>
        <v>178480.08736675797</v>
      </c>
      <c r="AS102" s="227">
        <f t="shared" si="62"/>
        <v>440645.5167508758</v>
      </c>
      <c r="AU102" s="223">
        <f t="shared" si="63"/>
        <v>4672606.6994248936</v>
      </c>
      <c r="AW102" s="223">
        <v>0</v>
      </c>
      <c r="AY102" s="54"/>
      <c r="AZ102" s="54">
        <v>1932400</v>
      </c>
      <c r="BA102" s="54"/>
    </row>
    <row r="103" spans="2:53">
      <c r="B103" s="225" t="s">
        <v>452</v>
      </c>
      <c r="C103" s="602">
        <v>97</v>
      </c>
      <c r="D103" s="226">
        <f>+'INPUT VOL'!J145</f>
        <v>1693.3159146115734</v>
      </c>
      <c r="E103" s="229"/>
      <c r="F103" s="229"/>
      <c r="G103" s="229"/>
      <c r="H103" s="229">
        <f>+D103/$G$6</f>
        <v>1699.7750598389612</v>
      </c>
      <c r="I103" s="229"/>
      <c r="J103" s="229"/>
      <c r="K103" s="229"/>
      <c r="L103" s="229"/>
      <c r="M103" s="229"/>
      <c r="N103" s="229"/>
      <c r="O103" s="229"/>
      <c r="P103" s="224"/>
      <c r="Q103" s="253"/>
      <c r="R103" s="227">
        <f t="shared" si="37"/>
        <v>0</v>
      </c>
      <c r="S103" s="1241"/>
      <c r="T103" s="1247"/>
      <c r="U103" s="1243">
        <f t="shared" si="38"/>
        <v>0</v>
      </c>
      <c r="V103" s="1244"/>
      <c r="W103" s="1245">
        <f t="shared" si="40"/>
        <v>0</v>
      </c>
      <c r="X103" s="1245"/>
      <c r="Y103" s="1245"/>
      <c r="Z103" s="1245">
        <f t="shared" si="41"/>
        <v>0</v>
      </c>
      <c r="AA103" s="497"/>
      <c r="AB103" s="258"/>
      <c r="AC103" s="259"/>
      <c r="AD103" s="227">
        <f t="shared" si="49"/>
        <v>1665883.4185403106</v>
      </c>
      <c r="AE103" s="1250">
        <f t="shared" si="57"/>
        <v>1699.7750598389612</v>
      </c>
      <c r="AF103" s="1251">
        <v>0.74</v>
      </c>
      <c r="AG103" s="1252">
        <f t="shared" si="58"/>
        <v>2267559.4219522686</v>
      </c>
      <c r="AH103" s="1253">
        <f t="shared" si="59"/>
        <v>4.2558487076586821E-3</v>
      </c>
      <c r="AI103" s="1254">
        <f t="shared" si="60"/>
        <v>-601676.00341195811</v>
      </c>
      <c r="AJ103" s="1254"/>
      <c r="AK103" s="1254">
        <f t="shared" si="53"/>
        <v>1665883.4185403106</v>
      </c>
      <c r="AM103" s="227">
        <f t="shared" si="42"/>
        <v>1665883.4185403106</v>
      </c>
      <c r="AP103" s="227">
        <f t="shared" si="43"/>
        <v>36649.435207886832</v>
      </c>
      <c r="AQ103" s="223">
        <f>+AM103*$AQ$5</f>
        <v>74964.753834313975</v>
      </c>
      <c r="AS103" s="227">
        <f t="shared" si="62"/>
        <v>185078.81287364199</v>
      </c>
      <c r="AU103" s="223">
        <f>+AM103+AP103+AQ103+AS103</f>
        <v>1962576.4204561533</v>
      </c>
      <c r="AW103" s="223">
        <v>0</v>
      </c>
      <c r="AY103" s="54"/>
      <c r="AZ103" s="54">
        <v>253823613</v>
      </c>
      <c r="BA103" s="54"/>
    </row>
    <row r="104" spans="2:53">
      <c r="B104" s="225" t="s">
        <v>333</v>
      </c>
      <c r="C104" s="602">
        <v>97</v>
      </c>
      <c r="D104" s="226">
        <f>+'INPUT VOL'!J82</f>
        <v>5221.6285673573129</v>
      </c>
      <c r="E104" s="229"/>
      <c r="F104" s="229"/>
      <c r="G104" s="229"/>
      <c r="H104" s="245">
        <f t="shared" si="56"/>
        <v>5241.5464438439194</v>
      </c>
      <c r="I104" s="229"/>
      <c r="J104" s="229"/>
      <c r="K104" s="229"/>
      <c r="L104" s="229"/>
      <c r="M104" s="229"/>
      <c r="N104" s="229"/>
      <c r="O104" s="229"/>
      <c r="P104" s="224"/>
      <c r="Q104" s="253"/>
      <c r="R104" s="227">
        <f t="shared" si="37"/>
        <v>0</v>
      </c>
      <c r="S104" s="1241"/>
      <c r="T104" s="1247"/>
      <c r="U104" s="1243">
        <f t="shared" si="38"/>
        <v>0</v>
      </c>
      <c r="V104" s="1244"/>
      <c r="W104" s="1245">
        <f t="shared" si="40"/>
        <v>0</v>
      </c>
      <c r="X104" s="1245"/>
      <c r="Y104" s="1245"/>
      <c r="Z104" s="1245">
        <f t="shared" si="41"/>
        <v>0</v>
      </c>
      <c r="AA104" s="497"/>
      <c r="AB104" s="258"/>
      <c r="AC104" s="259"/>
      <c r="AD104" s="227">
        <f t="shared" si="49"/>
        <v>5137035.7846854031</v>
      </c>
      <c r="AE104" s="1250">
        <f t="shared" si="57"/>
        <v>5241.5464438439194</v>
      </c>
      <c r="AF104" s="1251">
        <v>0.74</v>
      </c>
      <c r="AG104" s="1252">
        <f t="shared" si="58"/>
        <v>6992406.4102133224</v>
      </c>
      <c r="AH104" s="1253">
        <f t="shared" si="59"/>
        <v>1.3123635701114193E-2</v>
      </c>
      <c r="AI104" s="1254">
        <f t="shared" si="60"/>
        <v>-1855370.6255279197</v>
      </c>
      <c r="AJ104" s="1254"/>
      <c r="AK104" s="1254">
        <f t="shared" si="53"/>
        <v>5137035.7846854031</v>
      </c>
      <c r="AM104" s="227">
        <f t="shared" si="42"/>
        <v>5137035.7846854031</v>
      </c>
      <c r="AP104" s="227">
        <f t="shared" si="43"/>
        <v>113014.78726307886</v>
      </c>
      <c r="AQ104" s="223">
        <f t="shared" si="61"/>
        <v>231166.61031084313</v>
      </c>
      <c r="AS104" s="227">
        <f t="shared" si="62"/>
        <v>570722.10104118171</v>
      </c>
      <c r="AU104" s="223">
        <f t="shared" si="63"/>
        <v>6051939.2833005069</v>
      </c>
      <c r="AW104" s="223">
        <v>0</v>
      </c>
      <c r="AY104" s="54"/>
      <c r="AZ104" s="54">
        <v>373354</v>
      </c>
      <c r="BA104" s="54"/>
    </row>
    <row r="105" spans="2:53">
      <c r="B105" s="225" t="s">
        <v>375</v>
      </c>
      <c r="C105" s="602">
        <v>97</v>
      </c>
      <c r="D105" s="226">
        <f>+'INPUT VOL'!J83</f>
        <v>6123.6467848653419</v>
      </c>
      <c r="E105" s="229"/>
      <c r="F105" s="229"/>
      <c r="G105" s="229"/>
      <c r="H105" s="245">
        <f>+D105/$G$6</f>
        <v>6147.0054054058837</v>
      </c>
      <c r="I105" s="229"/>
      <c r="J105" s="229"/>
      <c r="K105" s="229"/>
      <c r="L105" s="229"/>
      <c r="M105" s="229"/>
      <c r="N105" s="229"/>
      <c r="O105" s="229"/>
      <c r="P105" s="224"/>
      <c r="Q105" s="253"/>
      <c r="R105" s="227">
        <f t="shared" si="37"/>
        <v>0</v>
      </c>
      <c r="S105" s="1241"/>
      <c r="T105" s="1247"/>
      <c r="U105" s="1243">
        <f t="shared" si="38"/>
        <v>0</v>
      </c>
      <c r="V105" s="1244"/>
      <c r="W105" s="1245">
        <f t="shared" si="40"/>
        <v>0</v>
      </c>
      <c r="X105" s="1245"/>
      <c r="Y105" s="1245"/>
      <c r="Z105" s="1245">
        <f t="shared" si="41"/>
        <v>0</v>
      </c>
      <c r="AA105" s="497"/>
      <c r="AB105" s="258"/>
      <c r="AC105" s="259"/>
      <c r="AD105" s="227">
        <f t="shared" si="49"/>
        <v>6024440.8924987353</v>
      </c>
      <c r="AE105" s="1250">
        <f t="shared" si="57"/>
        <v>6147.0054054058837</v>
      </c>
      <c r="AF105" s="1251">
        <v>0.74</v>
      </c>
      <c r="AG105" s="1252">
        <f t="shared" si="58"/>
        <v>8200320.3560006386</v>
      </c>
      <c r="AH105" s="1253">
        <f t="shared" si="59"/>
        <v>1.5390698233356866E-2</v>
      </c>
      <c r="AI105" s="1254">
        <f t="shared" si="60"/>
        <v>-2175879.4635019037</v>
      </c>
      <c r="AJ105" s="1254"/>
      <c r="AK105" s="1254">
        <f t="shared" si="53"/>
        <v>6024440.8924987353</v>
      </c>
      <c r="AM105" s="227">
        <f t="shared" si="42"/>
        <v>6024440.8924987353</v>
      </c>
      <c r="AP105" s="227">
        <f t="shared" si="43"/>
        <v>132537.69963497217</v>
      </c>
      <c r="AQ105" s="223">
        <f>+AM105*$AQ$5</f>
        <v>271099.84016244306</v>
      </c>
      <c r="AS105" s="227">
        <f t="shared" si="62"/>
        <v>669312.36375957099</v>
      </c>
      <c r="AU105" s="223">
        <f t="shared" ref="AU105:AU111" si="65">+AM105+AP105+AQ105+AS105</f>
        <v>7097390.7960557211</v>
      </c>
      <c r="AW105" s="223">
        <v>0</v>
      </c>
      <c r="AY105" s="54"/>
      <c r="AZ105" s="54">
        <v>16782</v>
      </c>
      <c r="BA105" s="54"/>
    </row>
    <row r="106" spans="2:53">
      <c r="B106" s="225" t="s">
        <v>353</v>
      </c>
      <c r="C106" s="602">
        <v>97</v>
      </c>
      <c r="D106" s="226">
        <f>+'INPUT VOL'!J84</f>
        <v>1666.6382926320105</v>
      </c>
      <c r="E106" s="229"/>
      <c r="F106" s="229"/>
      <c r="G106" s="229"/>
      <c r="H106" s="245">
        <f t="shared" si="56"/>
        <v>1672.9956762015763</v>
      </c>
      <c r="I106" s="229"/>
      <c r="J106" s="229"/>
      <c r="K106" s="229"/>
      <c r="L106" s="229"/>
      <c r="M106" s="229"/>
      <c r="N106" s="229"/>
      <c r="O106" s="229"/>
      <c r="P106" s="224"/>
      <c r="Q106" s="253"/>
      <c r="R106" s="227">
        <f t="shared" si="37"/>
        <v>0</v>
      </c>
      <c r="S106" s="1241"/>
      <c r="T106" s="1247"/>
      <c r="U106" s="1243">
        <f t="shared" si="38"/>
        <v>0</v>
      </c>
      <c r="V106" s="1244"/>
      <c r="W106" s="1245">
        <f t="shared" si="40"/>
        <v>0</v>
      </c>
      <c r="X106" s="1245"/>
      <c r="Y106" s="1245"/>
      <c r="Z106" s="1245">
        <f t="shared" si="41"/>
        <v>0</v>
      </c>
      <c r="AA106" s="497"/>
      <c r="AB106" s="258"/>
      <c r="AC106" s="259"/>
      <c r="AD106" s="227">
        <f t="shared" si="49"/>
        <v>1639637.9862979553</v>
      </c>
      <c r="AE106" s="1250">
        <f t="shared" si="57"/>
        <v>1672.9956762015763</v>
      </c>
      <c r="AF106" s="1251">
        <v>0.74</v>
      </c>
      <c r="AG106" s="1252">
        <f t="shared" si="58"/>
        <v>2231834.7869015699</v>
      </c>
      <c r="AH106" s="1253">
        <f t="shared" si="59"/>
        <v>4.1887992445045052E-3</v>
      </c>
      <c r="AI106" s="1254">
        <f t="shared" si="60"/>
        <v>-592196.80060361477</v>
      </c>
      <c r="AJ106" s="1254"/>
      <c r="AK106" s="1254">
        <f t="shared" si="53"/>
        <v>1639637.9862979553</v>
      </c>
      <c r="AM106" s="227">
        <f t="shared" si="42"/>
        <v>1639637.9862979553</v>
      </c>
      <c r="AP106" s="227">
        <f t="shared" si="43"/>
        <v>36072.035698555017</v>
      </c>
      <c r="AQ106" s="223">
        <f t="shared" si="61"/>
        <v>73783.709383407986</v>
      </c>
      <c r="AS106" s="227">
        <f t="shared" si="62"/>
        <v>182162.95850549723</v>
      </c>
      <c r="AU106" s="223">
        <f t="shared" si="65"/>
        <v>1931656.6898854156</v>
      </c>
      <c r="AW106" s="223">
        <v>0</v>
      </c>
      <c r="AY106" s="54"/>
      <c r="AZ106" s="54">
        <v>11301</v>
      </c>
      <c r="BA106" s="54"/>
    </row>
    <row r="107" spans="2:53">
      <c r="B107" s="225" t="s">
        <v>358</v>
      </c>
      <c r="C107" s="602">
        <v>97</v>
      </c>
      <c r="D107" s="226">
        <f>+'INPUT VOL'!J85</f>
        <v>4592.2841697240374</v>
      </c>
      <c r="E107" s="229"/>
      <c r="F107" s="229"/>
      <c r="G107" s="229"/>
      <c r="H107" s="245">
        <f t="shared" si="56"/>
        <v>4609.8014151014222</v>
      </c>
      <c r="I107" s="229"/>
      <c r="J107" s="229"/>
      <c r="K107" s="229"/>
      <c r="L107" s="229"/>
      <c r="M107" s="229"/>
      <c r="N107" s="229"/>
      <c r="O107" s="229"/>
      <c r="P107" s="224"/>
      <c r="Q107" s="253"/>
      <c r="R107" s="227">
        <f t="shared" si="37"/>
        <v>0</v>
      </c>
      <c r="S107" s="1241"/>
      <c r="T107" s="1247"/>
      <c r="U107" s="1243">
        <f t="shared" si="38"/>
        <v>0</v>
      </c>
      <c r="V107" s="1244"/>
      <c r="W107" s="1245">
        <f t="shared" si="40"/>
        <v>0</v>
      </c>
      <c r="X107" s="1245"/>
      <c r="Y107" s="1245"/>
      <c r="Z107" s="1245">
        <f t="shared" si="41"/>
        <v>0</v>
      </c>
      <c r="AA107" s="497"/>
      <c r="AB107" s="258"/>
      <c r="AC107" s="259"/>
      <c r="AD107" s="227">
        <f t="shared" si="49"/>
        <v>4517887.0555429105</v>
      </c>
      <c r="AE107" s="1250">
        <f t="shared" si="57"/>
        <v>4609.8014151014222</v>
      </c>
      <c r="AF107" s="1251">
        <v>0.74</v>
      </c>
      <c r="AG107" s="1252">
        <f t="shared" si="58"/>
        <v>6149636.4307948258</v>
      </c>
      <c r="AH107" s="1253">
        <f t="shared" si="59"/>
        <v>1.154189037041245E-2</v>
      </c>
      <c r="AI107" s="1254">
        <f t="shared" si="60"/>
        <v>-1631749.3752519155</v>
      </c>
      <c r="AJ107" s="1254"/>
      <c r="AK107" s="1254">
        <f t="shared" si="53"/>
        <v>4517887.0555429105</v>
      </c>
      <c r="AM107" s="227">
        <f t="shared" si="42"/>
        <v>4517887.0555429105</v>
      </c>
      <c r="AP107" s="227">
        <f t="shared" si="43"/>
        <v>99393.515221944021</v>
      </c>
      <c r="AQ107" s="223">
        <f>+AM107*$AQ$5</f>
        <v>203304.91749943097</v>
      </c>
      <c r="AS107" s="227">
        <f t="shared" si="62"/>
        <v>501934.98754537397</v>
      </c>
      <c r="AU107" s="223">
        <f t="shared" si="65"/>
        <v>5322520.4758096598</v>
      </c>
      <c r="AW107" s="223">
        <v>0</v>
      </c>
      <c r="AY107" s="54"/>
      <c r="AZ107" s="54">
        <v>60818</v>
      </c>
      <c r="BA107" s="54"/>
    </row>
    <row r="108" spans="2:53">
      <c r="B108" s="225" t="s">
        <v>363</v>
      </c>
      <c r="C108" s="602">
        <v>97</v>
      </c>
      <c r="D108" s="226">
        <f>+'INPUT VOL'!J86</f>
        <v>3195.5680428758096</v>
      </c>
      <c r="E108" s="229"/>
      <c r="F108" s="229"/>
      <c r="G108" s="229"/>
      <c r="H108" s="245">
        <f>+D108/$G$6</f>
        <v>3207.7575214573471</v>
      </c>
      <c r="I108" s="229"/>
      <c r="J108" s="229"/>
      <c r="K108" s="229"/>
      <c r="L108" s="229"/>
      <c r="M108" s="229"/>
      <c r="N108" s="229"/>
      <c r="O108" s="229"/>
      <c r="P108" s="224"/>
      <c r="Q108" s="253"/>
      <c r="R108" s="227">
        <f t="shared" si="37"/>
        <v>0</v>
      </c>
      <c r="S108" s="1241"/>
      <c r="T108" s="1247"/>
      <c r="U108" s="1243">
        <f t="shared" si="38"/>
        <v>0</v>
      </c>
      <c r="V108" s="1244"/>
      <c r="W108" s="1245">
        <f t="shared" si="40"/>
        <v>0</v>
      </c>
      <c r="X108" s="1245"/>
      <c r="Y108" s="1245"/>
      <c r="Z108" s="1245">
        <f t="shared" si="41"/>
        <v>0</v>
      </c>
      <c r="AA108" s="497"/>
      <c r="AB108" s="258"/>
      <c r="AC108" s="259"/>
      <c r="AD108" s="227">
        <f t="shared" si="49"/>
        <v>3143798.3718857672</v>
      </c>
      <c r="AE108" s="1250">
        <f t="shared" si="57"/>
        <v>3207.7575214573471</v>
      </c>
      <c r="AF108" s="1251">
        <v>0.74</v>
      </c>
      <c r="AG108" s="1252">
        <f t="shared" si="58"/>
        <v>4279260.8051373521</v>
      </c>
      <c r="AH108" s="1253">
        <f t="shared" si="59"/>
        <v>8.0314925337650559E-3</v>
      </c>
      <c r="AI108" s="1254">
        <f t="shared" si="60"/>
        <v>-1135462.4332515846</v>
      </c>
      <c r="AJ108" s="1254"/>
      <c r="AK108" s="1254">
        <f t="shared" si="53"/>
        <v>3143798.3718857672</v>
      </c>
      <c r="AM108" s="227">
        <f t="shared" si="42"/>
        <v>3143798.3718857672</v>
      </c>
      <c r="AP108" s="227">
        <f t="shared" si="43"/>
        <v>69163.564181486872</v>
      </c>
      <c r="AQ108" s="223">
        <f>+AM108*$AQ$5</f>
        <v>141470.92673485953</v>
      </c>
      <c r="AS108" s="227">
        <f t="shared" si="62"/>
        <v>349274.4234722851</v>
      </c>
      <c r="AU108" s="223">
        <f t="shared" si="65"/>
        <v>3703707.2862743991</v>
      </c>
      <c r="AW108" s="223">
        <v>0</v>
      </c>
      <c r="AY108" s="54"/>
      <c r="AZ108" s="54">
        <v>28903961</v>
      </c>
      <c r="BA108" s="54"/>
    </row>
    <row r="109" spans="2:53">
      <c r="B109" s="225" t="s">
        <v>385</v>
      </c>
      <c r="C109" s="602">
        <v>97</v>
      </c>
      <c r="D109" s="226">
        <f>+'INPUT VOL'!J87</f>
        <v>2035.4690002834163</v>
      </c>
      <c r="E109" s="229"/>
      <c r="F109" s="229"/>
      <c r="G109" s="229"/>
      <c r="H109" s="245">
        <f>+D109/$G$6</f>
        <v>2043.2332867731541</v>
      </c>
      <c r="I109" s="229"/>
      <c r="J109" s="229"/>
      <c r="K109" s="229"/>
      <c r="L109" s="229"/>
      <c r="M109" s="229"/>
      <c r="N109" s="229"/>
      <c r="O109" s="229"/>
      <c r="P109" s="224"/>
      <c r="Q109" s="253"/>
      <c r="R109" s="227">
        <f t="shared" si="37"/>
        <v>0</v>
      </c>
      <c r="S109" s="1241"/>
      <c r="T109" s="1247"/>
      <c r="U109" s="1243">
        <f t="shared" si="38"/>
        <v>0</v>
      </c>
      <c r="V109" s="1244"/>
      <c r="W109" s="1245">
        <f t="shared" si="40"/>
        <v>0</v>
      </c>
      <c r="X109" s="1245"/>
      <c r="Y109" s="1245"/>
      <c r="Z109" s="1245">
        <f t="shared" si="41"/>
        <v>0</v>
      </c>
      <c r="AA109" s="497"/>
      <c r="AB109" s="258"/>
      <c r="AC109" s="259"/>
      <c r="AD109" s="227">
        <f t="shared" si="49"/>
        <v>2002493.4669693855</v>
      </c>
      <c r="AE109" s="1250">
        <f t="shared" si="57"/>
        <v>2043.2332867731541</v>
      </c>
      <c r="AF109" s="1251">
        <v>0.74</v>
      </c>
      <c r="AG109" s="1252">
        <f t="shared" si="58"/>
        <v>2725744.7177204243</v>
      </c>
      <c r="AH109" s="1253">
        <f t="shared" si="59"/>
        <v>5.1157896997162493E-3</v>
      </c>
      <c r="AI109" s="1254">
        <f t="shared" si="60"/>
        <v>-723251.25075103878</v>
      </c>
      <c r="AJ109" s="1254"/>
      <c r="AK109" s="1254">
        <f t="shared" si="53"/>
        <v>2002493.4669693855</v>
      </c>
      <c r="AM109" s="227">
        <f t="shared" si="42"/>
        <v>2002493.4669693855</v>
      </c>
      <c r="AP109" s="227">
        <f t="shared" si="43"/>
        <v>44054.856273326477</v>
      </c>
      <c r="AQ109" s="223">
        <f>+AM109*$AQ$5</f>
        <v>90112.206013622344</v>
      </c>
      <c r="AS109" s="227">
        <f t="shared" si="62"/>
        <v>222476.02054810265</v>
      </c>
      <c r="AU109" s="223">
        <f t="shared" si="65"/>
        <v>2359136.549804437</v>
      </c>
      <c r="AW109" s="223">
        <v>0</v>
      </c>
      <c r="AY109" s="54"/>
      <c r="AZ109" s="54">
        <v>1835454</v>
      </c>
      <c r="BA109" s="54"/>
    </row>
    <row r="110" spans="2:53">
      <c r="B110" s="225" t="s">
        <v>431</v>
      </c>
      <c r="C110" s="602">
        <v>97</v>
      </c>
      <c r="D110" s="226">
        <f>+'INPUT VOL'!J88</f>
        <v>5059.1006084198752</v>
      </c>
      <c r="E110" s="229"/>
      <c r="F110" s="229"/>
      <c r="G110" s="229"/>
      <c r="H110" s="245">
        <f>+D110/$G$6</f>
        <v>5078.3985228065394</v>
      </c>
      <c r="I110" s="229"/>
      <c r="J110" s="229"/>
      <c r="K110" s="229"/>
      <c r="L110" s="229"/>
      <c r="M110" s="229"/>
      <c r="N110" s="229"/>
      <c r="O110" s="229"/>
      <c r="P110" s="224"/>
      <c r="Q110" s="253"/>
      <c r="R110" s="227">
        <f t="shared" si="37"/>
        <v>0</v>
      </c>
      <c r="S110" s="1241"/>
      <c r="T110" s="1247"/>
      <c r="U110" s="1243">
        <f t="shared" si="38"/>
        <v>0</v>
      </c>
      <c r="V110" s="1244"/>
      <c r="W110" s="1245">
        <f t="shared" si="40"/>
        <v>0</v>
      </c>
      <c r="X110" s="1245"/>
      <c r="Y110" s="1245"/>
      <c r="Z110" s="1245">
        <f t="shared" si="41"/>
        <v>0</v>
      </c>
      <c r="AA110" s="497"/>
      <c r="AB110" s="258"/>
      <c r="AC110" s="259"/>
      <c r="AD110" s="227">
        <f t="shared" si="49"/>
        <v>4977140.8533812314</v>
      </c>
      <c r="AE110" s="1250">
        <f t="shared" si="57"/>
        <v>5078.3985228065394</v>
      </c>
      <c r="AF110" s="1251">
        <v>0.74</v>
      </c>
      <c r="AG110" s="1252">
        <f t="shared" si="58"/>
        <v>6774761.3733722214</v>
      </c>
      <c r="AH110" s="1253">
        <f t="shared" si="59"/>
        <v>1.2715150551926326E-2</v>
      </c>
      <c r="AI110" s="1254">
        <f t="shared" si="60"/>
        <v>-1797620.5199909904</v>
      </c>
      <c r="AJ110" s="1254"/>
      <c r="AK110" s="1254">
        <f t="shared" si="53"/>
        <v>4977140.8533812314</v>
      </c>
      <c r="AM110" s="227">
        <f t="shared" si="42"/>
        <v>4977140.8533812314</v>
      </c>
      <c r="AP110" s="227">
        <f t="shared" si="43"/>
        <v>109497.09877438708</v>
      </c>
      <c r="AQ110" s="223">
        <f>+AM110*$AQ$5</f>
        <v>223971.33840215541</v>
      </c>
      <c r="AS110" s="227">
        <f t="shared" si="62"/>
        <v>552957.85431122826</v>
      </c>
      <c r="AU110" s="223">
        <f t="shared" si="65"/>
        <v>5863567.1448690034</v>
      </c>
      <c r="AW110" s="223">
        <v>0</v>
      </c>
      <c r="AY110" s="54"/>
      <c r="AZ110" s="54">
        <v>68785</v>
      </c>
      <c r="BA110" s="54"/>
    </row>
    <row r="111" spans="2:53">
      <c r="B111" s="225" t="s">
        <v>438</v>
      </c>
      <c r="C111" s="602">
        <v>96</v>
      </c>
      <c r="D111" s="226">
        <f>+'INPUT VOL'!G144</f>
        <v>1843.8599166314632</v>
      </c>
      <c r="E111" s="229"/>
      <c r="F111" s="229"/>
      <c r="G111" s="229">
        <f>+D111/$G$6</f>
        <v>1850.8933112140764</v>
      </c>
      <c r="H111" s="229"/>
      <c r="I111" s="229"/>
      <c r="J111" s="229"/>
      <c r="K111" s="229"/>
      <c r="L111" s="229"/>
      <c r="M111" s="229"/>
      <c r="N111" s="229"/>
      <c r="O111" s="229"/>
      <c r="P111" s="224"/>
      <c r="Q111" s="253"/>
      <c r="R111" s="227">
        <f t="shared" si="37"/>
        <v>2168853.645914265</v>
      </c>
      <c r="S111" s="1241">
        <f>SUM(E111:O111)</f>
        <v>1850.8933112140764</v>
      </c>
      <c r="T111" s="1246">
        <v>0.65</v>
      </c>
      <c r="U111" s="1243">
        <f t="shared" si="38"/>
        <v>2168853.645914265</v>
      </c>
      <c r="V111" s="1244"/>
      <c r="W111" s="1245">
        <f t="shared" si="40"/>
        <v>0</v>
      </c>
      <c r="X111" s="1245"/>
      <c r="Y111" s="1245"/>
      <c r="Z111" s="1245">
        <f t="shared" si="41"/>
        <v>2168853.645914265</v>
      </c>
      <c r="AA111" s="497"/>
      <c r="AB111" s="258"/>
      <c r="AC111" s="259"/>
      <c r="AD111" s="227">
        <f t="shared" si="49"/>
        <v>0</v>
      </c>
      <c r="AE111" s="1250"/>
      <c r="AF111" s="1254"/>
      <c r="AG111" s="1254"/>
      <c r="AH111" s="1253">
        <f t="shared" si="59"/>
        <v>0</v>
      </c>
      <c r="AI111" s="1254">
        <f t="shared" si="60"/>
        <v>0</v>
      </c>
      <c r="AJ111" s="1254"/>
      <c r="AK111" s="1254">
        <f t="shared" si="53"/>
        <v>0</v>
      </c>
      <c r="AM111" s="227">
        <f t="shared" si="42"/>
        <v>2168853.645914265</v>
      </c>
      <c r="AP111" s="227">
        <f t="shared" si="43"/>
        <v>47714.78021011383</v>
      </c>
      <c r="AQ111" s="223">
        <f>+AM111*$AQ$5</f>
        <v>97598.414066141922</v>
      </c>
      <c r="AS111" s="227">
        <f t="shared" si="62"/>
        <v>201533.21747627025</v>
      </c>
      <c r="AU111" s="223">
        <f t="shared" si="65"/>
        <v>2515700.0576667907</v>
      </c>
      <c r="AW111" s="227">
        <f>+(D111/$G$6)*$AW$2*$AW$3</f>
        <v>0</v>
      </c>
      <c r="AY111" s="54"/>
      <c r="AZ111" s="54">
        <v>2574622</v>
      </c>
      <c r="BA111" s="54"/>
    </row>
    <row r="112" spans="2:53">
      <c r="B112" s="231"/>
      <c r="C112" s="605"/>
      <c r="D112" s="232"/>
      <c r="E112" s="233"/>
      <c r="F112" s="233"/>
      <c r="G112" s="233"/>
      <c r="H112" s="233"/>
      <c r="I112" s="233"/>
      <c r="J112" s="233"/>
      <c r="K112" s="233"/>
      <c r="L112" s="233"/>
      <c r="M112" s="233"/>
      <c r="N112" s="233"/>
      <c r="O112" s="233"/>
      <c r="P112" s="224"/>
      <c r="Q112" s="253"/>
      <c r="R112" s="227">
        <f t="shared" si="37"/>
        <v>0</v>
      </c>
      <c r="S112" s="1241"/>
      <c r="T112" s="1246"/>
      <c r="U112" s="1243">
        <f t="shared" si="38"/>
        <v>0</v>
      </c>
      <c r="V112" s="1244"/>
      <c r="W112" s="1245">
        <f t="shared" si="40"/>
        <v>0</v>
      </c>
      <c r="X112" s="1245"/>
      <c r="Y112" s="1245"/>
      <c r="Z112" s="1245">
        <f t="shared" si="41"/>
        <v>0</v>
      </c>
      <c r="AA112" s="497"/>
      <c r="AB112" s="258"/>
      <c r="AC112" s="259"/>
      <c r="AD112" s="227">
        <f t="shared" si="49"/>
        <v>0</v>
      </c>
      <c r="AE112" s="1250"/>
      <c r="AF112" s="1255"/>
      <c r="AG112" s="1255"/>
      <c r="AH112" s="1253"/>
      <c r="AI112" s="1255"/>
      <c r="AJ112" s="1255"/>
      <c r="AK112" s="1254">
        <f t="shared" si="53"/>
        <v>0</v>
      </c>
      <c r="AM112" s="227">
        <f t="shared" si="42"/>
        <v>0</v>
      </c>
      <c r="AP112" s="227">
        <f t="shared" si="43"/>
        <v>0</v>
      </c>
      <c r="AQ112" s="233"/>
      <c r="AS112" s="233"/>
      <c r="AU112" s="233"/>
      <c r="AW112" s="233"/>
      <c r="AY112" s="54"/>
      <c r="AZ112" s="54">
        <v>630414</v>
      </c>
      <c r="BA112" s="54"/>
    </row>
    <row r="113" spans="2:53">
      <c r="B113" s="237" t="s">
        <v>117</v>
      </c>
      <c r="C113" s="604">
        <v>96</v>
      </c>
      <c r="D113" s="226">
        <f>+'INPUT VOL'!J90</f>
        <v>4887.3338276153818</v>
      </c>
      <c r="E113" s="229"/>
      <c r="F113" s="229"/>
      <c r="G113" s="229"/>
      <c r="H113" s="229"/>
      <c r="I113" s="229"/>
      <c r="J113" s="229"/>
      <c r="K113" s="229">
        <f t="shared" ref="K113:K118" si="66">+D113/$G$6</f>
        <v>4905.9765384615348</v>
      </c>
      <c r="L113" s="229"/>
      <c r="M113" s="229"/>
      <c r="N113" s="229"/>
      <c r="O113" s="240"/>
      <c r="P113" s="238"/>
      <c r="Q113" s="263"/>
      <c r="R113" s="227">
        <f t="shared" si="37"/>
        <v>0</v>
      </c>
      <c r="S113" s="1241"/>
      <c r="T113" s="1246"/>
      <c r="U113" s="1243">
        <f t="shared" si="38"/>
        <v>0</v>
      </c>
      <c r="V113" s="1244"/>
      <c r="W113" s="1245">
        <f t="shared" si="40"/>
        <v>0</v>
      </c>
      <c r="X113" s="1245"/>
      <c r="Y113" s="1245"/>
      <c r="Z113" s="1245">
        <f t="shared" si="41"/>
        <v>0</v>
      </c>
      <c r="AA113" s="497"/>
      <c r="AB113" s="258"/>
      <c r="AC113" s="259"/>
      <c r="AD113" s="227">
        <f t="shared" si="49"/>
        <v>5515696.7097473713</v>
      </c>
      <c r="AE113" s="1250">
        <f t="shared" ref="AE113:AE121" si="67">SUM(E113:O113)</f>
        <v>4905.9765384615348</v>
      </c>
      <c r="AF113" s="1246">
        <v>0.82</v>
      </c>
      <c r="AG113" s="1252">
        <f t="shared" ref="AG113:AG121" si="68">+AE113*AF113*$AF$3</f>
        <v>7252284.3478634562</v>
      </c>
      <c r="AH113" s="1253">
        <f t="shared" ref="AH113:AH121" si="69">+AE113/$AE$192</f>
        <v>1.2283445265394969E-2</v>
      </c>
      <c r="AI113" s="1254">
        <f t="shared" ref="AI113:AI131" si="70">+AH113*$AI$7</f>
        <v>-1736587.638116085</v>
      </c>
      <c r="AJ113" s="1254"/>
      <c r="AK113" s="1254">
        <f t="shared" si="53"/>
        <v>5515696.7097473713</v>
      </c>
      <c r="AM113" s="227">
        <f t="shared" si="42"/>
        <v>5515696.7097473713</v>
      </c>
      <c r="AP113" s="227">
        <f t="shared" si="43"/>
        <v>121345.32761444215</v>
      </c>
      <c r="AQ113" s="223">
        <f>+AM113*$AQ$5</f>
        <v>248206.35193863171</v>
      </c>
      <c r="AS113" s="227">
        <f t="shared" ref="AS113:AS134" si="71">+(D113/$AS$4)*$AS$2*$AS$3*$AS$1</f>
        <v>534183.80771537183</v>
      </c>
      <c r="AU113" s="223">
        <f>+AM113+AP113+AQ113+AS113</f>
        <v>6419432.1970158173</v>
      </c>
      <c r="AW113" s="227">
        <f t="shared" ref="AW113:AW131" si="72">+(D113/$G$6)*$AW$2*$AW$3</f>
        <v>0</v>
      </c>
      <c r="AY113" s="54"/>
      <c r="AZ113" s="54">
        <v>953002</v>
      </c>
      <c r="BA113" s="54"/>
    </row>
    <row r="114" spans="2:53">
      <c r="B114" s="237" t="s">
        <v>398</v>
      </c>
      <c r="C114" s="604">
        <v>96</v>
      </c>
      <c r="D114" s="226">
        <f>+'INPUT VOL'!J91</f>
        <v>2639.9300000000003</v>
      </c>
      <c r="E114" s="229"/>
      <c r="F114" s="229"/>
      <c r="G114" s="229"/>
      <c r="H114" s="229"/>
      <c r="I114" s="229"/>
      <c r="J114" s="229"/>
      <c r="K114" s="229">
        <f t="shared" si="66"/>
        <v>2650</v>
      </c>
      <c r="L114" s="229"/>
      <c r="M114" s="229"/>
      <c r="N114" s="229"/>
      <c r="O114" s="240"/>
      <c r="P114" s="238"/>
      <c r="Q114" s="263"/>
      <c r="R114" s="227">
        <f t="shared" si="37"/>
        <v>0</v>
      </c>
      <c r="S114" s="1241"/>
      <c r="T114" s="1246"/>
      <c r="U114" s="1243">
        <f t="shared" si="38"/>
        <v>0</v>
      </c>
      <c r="V114" s="1244"/>
      <c r="W114" s="1245">
        <f t="shared" si="40"/>
        <v>0</v>
      </c>
      <c r="X114" s="1245"/>
      <c r="Y114" s="1245"/>
      <c r="Z114" s="1245">
        <f t="shared" si="41"/>
        <v>0</v>
      </c>
      <c r="AA114" s="497"/>
      <c r="AB114" s="258"/>
      <c r="AC114" s="259"/>
      <c r="AD114" s="227">
        <f t="shared" si="49"/>
        <v>2979344.9206779436</v>
      </c>
      <c r="AE114" s="1250">
        <f t="shared" si="67"/>
        <v>2650</v>
      </c>
      <c r="AF114" s="1246">
        <v>0.82</v>
      </c>
      <c r="AG114" s="1252">
        <f t="shared" si="68"/>
        <v>3917375.75</v>
      </c>
      <c r="AH114" s="1253">
        <f t="shared" si="69"/>
        <v>6.6349950306742343E-3</v>
      </c>
      <c r="AI114" s="1254">
        <f t="shared" si="70"/>
        <v>-938030.82932205638</v>
      </c>
      <c r="AJ114" s="1254"/>
      <c r="AK114" s="1254">
        <f t="shared" si="53"/>
        <v>2979344.9206779436</v>
      </c>
      <c r="AM114" s="227">
        <f t="shared" si="42"/>
        <v>2979344.9206779436</v>
      </c>
      <c r="AP114" s="227">
        <f t="shared" si="43"/>
        <v>65545.58825491475</v>
      </c>
      <c r="AQ114" s="223">
        <f>+AM114*$AQ$5</f>
        <v>134070.52143050745</v>
      </c>
      <c r="AS114" s="227">
        <f t="shared" si="71"/>
        <v>288543.3877125</v>
      </c>
      <c r="AU114" s="223">
        <f>+AM114+AP114+AQ114+AS114</f>
        <v>3467504.4180758656</v>
      </c>
      <c r="AW114" s="227">
        <f t="shared" si="72"/>
        <v>0</v>
      </c>
      <c r="AY114" s="54"/>
      <c r="AZ114" s="54">
        <v>2055109</v>
      </c>
      <c r="BA114" s="54"/>
    </row>
    <row r="115" spans="2:53">
      <c r="B115" s="665" t="s">
        <v>439</v>
      </c>
      <c r="C115" s="604">
        <v>96</v>
      </c>
      <c r="D115" s="226">
        <f>+'INPUT VOL'!J92</f>
        <v>3188.0177725042349</v>
      </c>
      <c r="E115" s="229"/>
      <c r="F115" s="229"/>
      <c r="G115" s="229"/>
      <c r="H115" s="229"/>
      <c r="I115" s="229"/>
      <c r="J115" s="229"/>
      <c r="K115" s="229">
        <f t="shared" si="66"/>
        <v>3200.1784506165777</v>
      </c>
      <c r="L115" s="229"/>
      <c r="M115" s="229"/>
      <c r="N115" s="229"/>
      <c r="O115" s="240"/>
      <c r="P115" s="238"/>
      <c r="Q115" s="263"/>
      <c r="R115" s="227">
        <f t="shared" si="37"/>
        <v>0</v>
      </c>
      <c r="S115" s="1241"/>
      <c r="T115" s="1246"/>
      <c r="U115" s="1243">
        <f t="shared" si="38"/>
        <v>0</v>
      </c>
      <c r="V115" s="1244"/>
      <c r="W115" s="1245">
        <f t="shared" si="40"/>
        <v>0</v>
      </c>
      <c r="X115" s="1245"/>
      <c r="Y115" s="1245"/>
      <c r="Z115" s="1245">
        <f t="shared" si="41"/>
        <v>0</v>
      </c>
      <c r="AA115" s="497"/>
      <c r="AB115" s="258"/>
      <c r="AC115" s="259"/>
      <c r="AD115" s="227">
        <f t="shared" si="49"/>
        <v>3597900.1555122687</v>
      </c>
      <c r="AE115" s="1250">
        <f t="shared" si="67"/>
        <v>3200.1784506165777</v>
      </c>
      <c r="AF115" s="1246">
        <v>0.82</v>
      </c>
      <c r="AG115" s="1252">
        <f t="shared" si="68"/>
        <v>4730679.7955162087</v>
      </c>
      <c r="AH115" s="1253">
        <f t="shared" si="69"/>
        <v>8.012516270608212E-3</v>
      </c>
      <c r="AI115" s="1254">
        <f t="shared" si="70"/>
        <v>-1132779.6400039401</v>
      </c>
      <c r="AJ115" s="1254"/>
      <c r="AK115" s="1254">
        <f t="shared" si="53"/>
        <v>3597900.1555122687</v>
      </c>
      <c r="AM115" s="227">
        <f t="shared" si="42"/>
        <v>3597900.1555122687</v>
      </c>
      <c r="AP115" s="227">
        <f t="shared" si="43"/>
        <v>79153.803421269913</v>
      </c>
      <c r="AQ115" s="223">
        <f>+AM115*$AQ$5</f>
        <v>161905.50699805209</v>
      </c>
      <c r="AS115" s="227">
        <f t="shared" si="71"/>
        <v>348449.18166997988</v>
      </c>
      <c r="AU115" s="223">
        <f>+AM115+AP115+AQ115+AS115</f>
        <v>4187408.6476015705</v>
      </c>
      <c r="AW115" s="227">
        <f t="shared" si="72"/>
        <v>0</v>
      </c>
      <c r="AY115" s="54"/>
      <c r="AZ115" s="54">
        <v>1495621</v>
      </c>
      <c r="BA115" s="54"/>
    </row>
    <row r="116" spans="2:53">
      <c r="B116" s="237" t="s">
        <v>331</v>
      </c>
      <c r="C116" s="604">
        <v>96</v>
      </c>
      <c r="D116" s="226">
        <f>+'INPUT VOL'!J93</f>
        <v>3590.950534667249</v>
      </c>
      <c r="E116" s="229"/>
      <c r="F116" s="229"/>
      <c r="G116" s="229"/>
      <c r="H116" s="229"/>
      <c r="I116" s="229"/>
      <c r="J116" s="229"/>
      <c r="K116" s="229">
        <f t="shared" si="66"/>
        <v>3604.6481978189609</v>
      </c>
      <c r="L116" s="229"/>
      <c r="M116" s="229"/>
      <c r="N116" s="229"/>
      <c r="O116" s="240"/>
      <c r="P116" s="238"/>
      <c r="Q116" s="263"/>
      <c r="R116" s="227">
        <f t="shared" si="37"/>
        <v>0</v>
      </c>
      <c r="S116" s="1241"/>
      <c r="T116" s="1246"/>
      <c r="U116" s="1243">
        <f t="shared" si="38"/>
        <v>0</v>
      </c>
      <c r="V116" s="1244"/>
      <c r="W116" s="1245">
        <f t="shared" si="40"/>
        <v>0</v>
      </c>
      <c r="X116" s="1245"/>
      <c r="Y116" s="1245"/>
      <c r="Z116" s="1245">
        <f t="shared" si="41"/>
        <v>0</v>
      </c>
      <c r="AA116" s="497"/>
      <c r="AB116" s="258"/>
      <c r="AC116" s="259"/>
      <c r="AD116" s="227">
        <f t="shared" si="49"/>
        <v>4052637.84868031</v>
      </c>
      <c r="AE116" s="1250">
        <f t="shared" si="67"/>
        <v>3604.6481978189609</v>
      </c>
      <c r="AF116" s="1246">
        <v>0.82</v>
      </c>
      <c r="AG116" s="1252">
        <f t="shared" si="68"/>
        <v>5328589.2216668669</v>
      </c>
      <c r="AH116" s="1253">
        <f t="shared" si="69"/>
        <v>9.0252161810783545E-3</v>
      </c>
      <c r="AI116" s="1254">
        <f t="shared" si="70"/>
        <v>-1275951.372986557</v>
      </c>
      <c r="AJ116" s="1254"/>
      <c r="AK116" s="1254">
        <f t="shared" si="53"/>
        <v>4052637.84868031</v>
      </c>
      <c r="AM116" s="227">
        <f t="shared" si="42"/>
        <v>4052637.84868031</v>
      </c>
      <c r="AP116" s="227">
        <f t="shared" si="43"/>
        <v>89158.032670966815</v>
      </c>
      <c r="AQ116" s="223">
        <f>+AM116*$AQ$5</f>
        <v>182368.70319061395</v>
      </c>
      <c r="AS116" s="227">
        <f t="shared" si="71"/>
        <v>392489.58585299656</v>
      </c>
      <c r="AU116" s="223">
        <f>+AM116+AP116+AQ116+AS116</f>
        <v>4716654.1703948872</v>
      </c>
      <c r="AW116" s="227">
        <f t="shared" si="72"/>
        <v>0</v>
      </c>
      <c r="AY116" s="54"/>
      <c r="AZ116" s="54">
        <v>823709</v>
      </c>
      <c r="BA116" s="54"/>
    </row>
    <row r="117" spans="2:53">
      <c r="B117" s="237" t="s">
        <v>378</v>
      </c>
      <c r="C117" s="604">
        <v>97</v>
      </c>
      <c r="D117" s="226">
        <f>+'INPUT VOL'!J94</f>
        <v>4841.3172541464637</v>
      </c>
      <c r="E117" s="229"/>
      <c r="F117" s="229"/>
      <c r="G117" s="229"/>
      <c r="H117" s="229"/>
      <c r="I117" s="229"/>
      <c r="J117" s="229"/>
      <c r="K117" s="229">
        <f t="shared" si="66"/>
        <v>4859.7844349994612</v>
      </c>
      <c r="L117" s="229"/>
      <c r="M117" s="229"/>
      <c r="N117" s="229"/>
      <c r="O117" s="240"/>
      <c r="P117" s="238"/>
      <c r="Q117" s="263"/>
      <c r="R117" s="227">
        <f t="shared" si="37"/>
        <v>0</v>
      </c>
      <c r="S117" s="1241"/>
      <c r="T117" s="1246"/>
      <c r="U117" s="1243">
        <f t="shared" si="38"/>
        <v>0</v>
      </c>
      <c r="V117" s="1244"/>
      <c r="W117" s="1245">
        <f t="shared" si="40"/>
        <v>0</v>
      </c>
      <c r="X117" s="1245"/>
      <c r="Y117" s="1245"/>
      <c r="Z117" s="1245">
        <f t="shared" si="41"/>
        <v>0</v>
      </c>
      <c r="AA117" s="497"/>
      <c r="AB117" s="258"/>
      <c r="AC117" s="259"/>
      <c r="AD117" s="227">
        <f t="shared" si="49"/>
        <v>5463763.800756745</v>
      </c>
      <c r="AE117" s="1250">
        <f t="shared" si="67"/>
        <v>4859.7844349994612</v>
      </c>
      <c r="AF117" s="1246">
        <v>0.82</v>
      </c>
      <c r="AG117" s="1252">
        <f t="shared" si="68"/>
        <v>7184000.6399601279</v>
      </c>
      <c r="AH117" s="1253">
        <f t="shared" si="69"/>
        <v>1.2167790783535628E-2</v>
      </c>
      <c r="AI117" s="1254">
        <f t="shared" si="70"/>
        <v>-1720236.8392033833</v>
      </c>
      <c r="AJ117" s="1254"/>
      <c r="AK117" s="1254">
        <f t="shared" si="53"/>
        <v>5463763.800756745</v>
      </c>
      <c r="AM117" s="227">
        <f t="shared" si="42"/>
        <v>5463763.800756745</v>
      </c>
      <c r="AP117" s="227">
        <f t="shared" si="43"/>
        <v>120202.80361664838</v>
      </c>
      <c r="AQ117" s="223">
        <f t="shared" ref="AQ117:AQ123" si="73">+AM117*$AQ$5</f>
        <v>245869.3710340535</v>
      </c>
      <c r="AS117" s="227">
        <f t="shared" si="71"/>
        <v>529154.2129914047</v>
      </c>
      <c r="AU117" s="223">
        <f t="shared" ref="AU117:AU123" si="74">+AM117+AP117+AQ117+AS117</f>
        <v>6358990.1883988511</v>
      </c>
      <c r="AW117" s="227">
        <f t="shared" si="72"/>
        <v>0</v>
      </c>
      <c r="AY117" s="54"/>
      <c r="AZ117" s="54">
        <v>571895</v>
      </c>
      <c r="BA117" s="54"/>
    </row>
    <row r="118" spans="2:53">
      <c r="B118" s="237" t="s">
        <v>421</v>
      </c>
      <c r="C118" s="604">
        <v>97</v>
      </c>
      <c r="D118" s="226">
        <f>+'INPUT VOL'!J95</f>
        <v>2759.204361345322</v>
      </c>
      <c r="E118" s="229"/>
      <c r="F118" s="229"/>
      <c r="G118" s="229"/>
      <c r="H118" s="229"/>
      <c r="I118" s="229"/>
      <c r="J118" s="229"/>
      <c r="K118" s="229">
        <f t="shared" si="66"/>
        <v>2769.72933281</v>
      </c>
      <c r="L118" s="229"/>
      <c r="M118" s="229"/>
      <c r="N118" s="229"/>
      <c r="O118" s="240"/>
      <c r="P118" s="238"/>
      <c r="Q118" s="263"/>
      <c r="R118" s="227">
        <f t="shared" si="37"/>
        <v>0</v>
      </c>
      <c r="S118" s="1241"/>
      <c r="T118" s="1246"/>
      <c r="U118" s="1243">
        <f t="shared" si="38"/>
        <v>0</v>
      </c>
      <c r="V118" s="1244"/>
      <c r="W118" s="1245">
        <f t="shared" si="40"/>
        <v>0</v>
      </c>
      <c r="X118" s="1245"/>
      <c r="Y118" s="1245"/>
      <c r="Z118" s="1245">
        <f t="shared" si="41"/>
        <v>0</v>
      </c>
      <c r="AA118" s="497"/>
      <c r="AB118" s="258"/>
      <c r="AC118" s="259"/>
      <c r="AD118" s="227">
        <f t="shared" si="49"/>
        <v>3113954.3469283707</v>
      </c>
      <c r="AE118" s="1250">
        <f t="shared" si="67"/>
        <v>2769.72933281</v>
      </c>
      <c r="AF118" s="1246">
        <v>0.82</v>
      </c>
      <c r="AG118" s="1252">
        <f t="shared" si="68"/>
        <v>4094366.2348730462</v>
      </c>
      <c r="AH118" s="1253">
        <f t="shared" si="69"/>
        <v>6.9347699469837782E-3</v>
      </c>
      <c r="AI118" s="1254">
        <f t="shared" si="70"/>
        <v>-980411.88794467552</v>
      </c>
      <c r="AJ118" s="1254"/>
      <c r="AK118" s="1254">
        <f t="shared" si="53"/>
        <v>3113954.3469283707</v>
      </c>
      <c r="AM118" s="227">
        <f t="shared" si="42"/>
        <v>3113954.3469283707</v>
      </c>
      <c r="AP118" s="227">
        <f t="shared" si="43"/>
        <v>68506.99563242415</v>
      </c>
      <c r="AQ118" s="223">
        <f t="shared" si="73"/>
        <v>140127.94561177667</v>
      </c>
      <c r="AS118" s="227">
        <f t="shared" si="71"/>
        <v>301580.03197572823</v>
      </c>
      <c r="AU118" s="223">
        <f t="shared" si="74"/>
        <v>3624169.3201482994</v>
      </c>
      <c r="AW118" s="227">
        <f t="shared" si="72"/>
        <v>0</v>
      </c>
      <c r="AY118" s="54"/>
      <c r="AZ118" s="54">
        <v>12583100</v>
      </c>
      <c r="BA118" s="54"/>
    </row>
    <row r="119" spans="2:53">
      <c r="B119" s="674" t="s">
        <v>444</v>
      </c>
      <c r="C119" s="604">
        <v>97</v>
      </c>
      <c r="D119" s="226">
        <f>+'INPUT VOL'!J142</f>
        <v>2875.8979845326539</v>
      </c>
      <c r="E119" s="229"/>
      <c r="F119" s="229"/>
      <c r="G119" s="229"/>
      <c r="H119" s="229"/>
      <c r="I119" s="229"/>
      <c r="J119" s="229"/>
      <c r="K119" s="229">
        <f>+D119/$G$6</f>
        <v>2886.8680832489999</v>
      </c>
      <c r="L119" s="229"/>
      <c r="M119" s="229"/>
      <c r="N119" s="229"/>
      <c r="O119" s="240"/>
      <c r="P119" s="238"/>
      <c r="Q119" s="263"/>
      <c r="R119" s="227">
        <f t="shared" si="37"/>
        <v>0</v>
      </c>
      <c r="S119" s="1241"/>
      <c r="T119" s="1246"/>
      <c r="U119" s="1243">
        <f t="shared" si="38"/>
        <v>0</v>
      </c>
      <c r="V119" s="1244"/>
      <c r="W119" s="1245">
        <f t="shared" si="40"/>
        <v>0</v>
      </c>
      <c r="X119" s="1245"/>
      <c r="Y119" s="1245"/>
      <c r="Z119" s="1245">
        <f t="shared" si="41"/>
        <v>0</v>
      </c>
      <c r="AA119" s="497"/>
      <c r="AB119" s="258"/>
      <c r="AC119" s="259"/>
      <c r="AD119" s="227">
        <f t="shared" si="49"/>
        <v>3245651.2303755395</v>
      </c>
      <c r="AE119" s="1250">
        <f t="shared" si="67"/>
        <v>2886.8680832489999</v>
      </c>
      <c r="AF119" s="1246">
        <v>0.82</v>
      </c>
      <c r="AG119" s="1252">
        <f t="shared" si="68"/>
        <v>4267527.1784032509</v>
      </c>
      <c r="AH119" s="1253">
        <f t="shared" si="69"/>
        <v>7.2280586364411948E-3</v>
      </c>
      <c r="AI119" s="1254">
        <f t="shared" si="70"/>
        <v>-1021875.9480277112</v>
      </c>
      <c r="AJ119" s="1254"/>
      <c r="AK119" s="1254">
        <f t="shared" si="53"/>
        <v>3245651.2303755395</v>
      </c>
      <c r="AM119" s="227">
        <f t="shared" si="42"/>
        <v>3245651.2303755395</v>
      </c>
      <c r="AP119" s="227">
        <f t="shared" si="43"/>
        <v>71404.32706826186</v>
      </c>
      <c r="AQ119" s="223">
        <f t="shared" si="73"/>
        <v>146054.30536689927</v>
      </c>
      <c r="AS119" s="227">
        <f t="shared" si="71"/>
        <v>314334.60249802185</v>
      </c>
      <c r="AU119" s="223">
        <f t="shared" si="74"/>
        <v>3777444.4653087226</v>
      </c>
      <c r="AW119" s="227">
        <f t="shared" si="72"/>
        <v>0</v>
      </c>
      <c r="AY119" s="54"/>
      <c r="AZ119" s="54">
        <v>391369460</v>
      </c>
      <c r="BA119" s="54"/>
    </row>
    <row r="120" spans="2:53">
      <c r="B120" s="674" t="s">
        <v>448</v>
      </c>
      <c r="C120" s="604">
        <v>96</v>
      </c>
      <c r="D120" s="226">
        <f>+'INPUT VOL'!J143</f>
        <v>2642.1751705859206</v>
      </c>
      <c r="E120" s="229"/>
      <c r="F120" s="229"/>
      <c r="G120" s="229"/>
      <c r="H120" s="229"/>
      <c r="I120" s="229"/>
      <c r="J120" s="229"/>
      <c r="K120" s="229">
        <f>+D120/$G$6</f>
        <v>2652.2537347780772</v>
      </c>
      <c r="L120" s="229"/>
      <c r="M120" s="229"/>
      <c r="N120" s="229"/>
      <c r="O120" s="240"/>
      <c r="P120" s="238"/>
      <c r="Q120" s="263"/>
      <c r="R120" s="227">
        <f t="shared" si="37"/>
        <v>0</v>
      </c>
      <c r="S120" s="1241"/>
      <c r="T120" s="1246"/>
      <c r="U120" s="1243">
        <f t="shared" si="38"/>
        <v>0</v>
      </c>
      <c r="V120" s="1244"/>
      <c r="W120" s="1245">
        <f t="shared" si="40"/>
        <v>0</v>
      </c>
      <c r="X120" s="1245"/>
      <c r="Y120" s="1245"/>
      <c r="Z120" s="1245">
        <f t="shared" si="41"/>
        <v>0</v>
      </c>
      <c r="AA120" s="497"/>
      <c r="AB120" s="258"/>
      <c r="AC120" s="259"/>
      <c r="AD120" s="227">
        <f t="shared" si="49"/>
        <v>2981878.7520981771</v>
      </c>
      <c r="AE120" s="1250">
        <f t="shared" si="67"/>
        <v>2652.2537347780772</v>
      </c>
      <c r="AF120" s="1246">
        <v>0.82</v>
      </c>
      <c r="AG120" s="1252">
        <f t="shared" si="68"/>
        <v>3920707.3447043663</v>
      </c>
      <c r="AH120" s="1253">
        <f t="shared" si="69"/>
        <v>6.6406378680527248E-3</v>
      </c>
      <c r="AI120" s="1254">
        <f t="shared" si="70"/>
        <v>-938828.59260618908</v>
      </c>
      <c r="AJ120" s="1254"/>
      <c r="AK120" s="1254">
        <f t="shared" si="53"/>
        <v>2981878.7520981771</v>
      </c>
      <c r="AM120" s="227">
        <f t="shared" si="42"/>
        <v>2981878.7520981771</v>
      </c>
      <c r="AP120" s="227">
        <f t="shared" si="43"/>
        <v>65601.332546159887</v>
      </c>
      <c r="AQ120" s="223">
        <f t="shared" si="73"/>
        <v>134184.54384441796</v>
      </c>
      <c r="AS120" s="227">
        <f t="shared" si="71"/>
        <v>288788.78403999883</v>
      </c>
      <c r="AU120" s="223">
        <f t="shared" si="74"/>
        <v>3470453.4125287542</v>
      </c>
      <c r="AW120" s="227">
        <f t="shared" si="72"/>
        <v>0</v>
      </c>
      <c r="AY120" s="54"/>
      <c r="AZ120" s="54">
        <v>5371221</v>
      </c>
      <c r="BA120" s="54"/>
    </row>
    <row r="121" spans="2:53">
      <c r="B121" s="674" t="s">
        <v>470</v>
      </c>
      <c r="C121" s="604">
        <v>96</v>
      </c>
      <c r="D121" s="226">
        <f>+'INPUT VOL'!J147</f>
        <v>4317.8318417173123</v>
      </c>
      <c r="E121" s="229"/>
      <c r="F121" s="229"/>
      <c r="G121" s="229"/>
      <c r="H121" s="229"/>
      <c r="I121" s="229"/>
      <c r="J121" s="229"/>
      <c r="K121" s="229">
        <f>+D121/$G$6</f>
        <v>4334.3021900394615</v>
      </c>
      <c r="L121" s="229"/>
      <c r="M121" s="229"/>
      <c r="N121" s="229"/>
      <c r="O121" s="240"/>
      <c r="P121" s="238"/>
      <c r="Q121" s="263"/>
      <c r="R121" s="227">
        <f t="shared" si="37"/>
        <v>0</v>
      </c>
      <c r="S121" s="1241"/>
      <c r="T121" s="1246"/>
      <c r="U121" s="1243">
        <f t="shared" si="38"/>
        <v>0</v>
      </c>
      <c r="V121" s="1244"/>
      <c r="W121" s="1245">
        <f t="shared" si="40"/>
        <v>0</v>
      </c>
      <c r="X121" s="1245"/>
      <c r="Y121" s="1245"/>
      <c r="Z121" s="1245">
        <f t="shared" si="41"/>
        <v>0</v>
      </c>
      <c r="AA121" s="497"/>
      <c r="AB121" s="258"/>
      <c r="AC121" s="259"/>
      <c r="AD121" s="227">
        <f t="shared" si="49"/>
        <v>4872974.0432367371</v>
      </c>
      <c r="AE121" s="1250">
        <f t="shared" si="67"/>
        <v>4334.3021900394615</v>
      </c>
      <c r="AF121" s="1246">
        <v>0.82</v>
      </c>
      <c r="AG121" s="1252">
        <f t="shared" si="68"/>
        <v>6407203.8839367833</v>
      </c>
      <c r="AH121" s="1253">
        <f t="shared" si="69"/>
        <v>1.0852103204661238E-2</v>
      </c>
      <c r="AI121" s="1254">
        <f t="shared" si="70"/>
        <v>-1534229.8407000459</v>
      </c>
      <c r="AJ121" s="1254"/>
      <c r="AK121" s="1254">
        <f t="shared" si="53"/>
        <v>4872974.0432367371</v>
      </c>
      <c r="AM121" s="227">
        <f t="shared" si="42"/>
        <v>4872974.0432367371</v>
      </c>
      <c r="AP121" s="227">
        <f t="shared" si="43"/>
        <v>107205.42895120822</v>
      </c>
      <c r="AQ121" s="223">
        <f t="shared" si="73"/>
        <v>219283.83194565316</v>
      </c>
      <c r="AS121" s="227">
        <f t="shared" si="71"/>
        <v>471937.44803158275</v>
      </c>
      <c r="AU121" s="223">
        <f t="shared" si="74"/>
        <v>5671400.7521651816</v>
      </c>
      <c r="AW121" s="227">
        <f t="shared" si="72"/>
        <v>0</v>
      </c>
      <c r="AY121" s="54"/>
      <c r="AZ121" s="54">
        <v>5656572</v>
      </c>
      <c r="BA121" s="54"/>
    </row>
    <row r="122" spans="2:53">
      <c r="B122" s="1100" t="s">
        <v>579</v>
      </c>
      <c r="C122" s="604"/>
      <c r="D122" s="226">
        <f>+'INPUT VOL'!D185</f>
        <v>1286.0207740116482</v>
      </c>
      <c r="E122" s="229"/>
      <c r="F122" s="229"/>
      <c r="G122" s="229"/>
      <c r="H122" s="229"/>
      <c r="I122" s="229"/>
      <c r="J122" s="229">
        <f t="shared" ref="J122" si="75">+D122/$G$6</f>
        <v>1290.9262939285766</v>
      </c>
      <c r="K122" s="229"/>
      <c r="L122" s="229"/>
      <c r="M122" s="229"/>
      <c r="N122" s="229"/>
      <c r="O122" s="229"/>
      <c r="P122" s="238"/>
      <c r="Q122" s="263"/>
      <c r="R122" s="227">
        <f t="shared" si="37"/>
        <v>1978134.7699227801</v>
      </c>
      <c r="S122" s="1241">
        <f>SUM(E122:O122)</f>
        <v>1290.9262939285766</v>
      </c>
      <c r="T122" s="1246">
        <v>0.85</v>
      </c>
      <c r="U122" s="1243">
        <f t="shared" si="38"/>
        <v>1978134.7699227801</v>
      </c>
      <c r="V122" s="1244"/>
      <c r="W122" s="1245">
        <f t="shared" si="40"/>
        <v>0</v>
      </c>
      <c r="X122" s="1245"/>
      <c r="Y122" s="1245"/>
      <c r="Z122" s="1245">
        <f t="shared" si="41"/>
        <v>1978134.7699227801</v>
      </c>
      <c r="AA122" s="595"/>
      <c r="AB122" s="258"/>
      <c r="AC122" s="259"/>
      <c r="AD122" s="227">
        <f t="shared" si="49"/>
        <v>0</v>
      </c>
      <c r="AE122" s="1250"/>
      <c r="AF122" s="1254"/>
      <c r="AG122" s="1254"/>
      <c r="AH122" s="1253"/>
      <c r="AI122" s="1254">
        <f t="shared" si="70"/>
        <v>0</v>
      </c>
      <c r="AJ122" s="1254"/>
      <c r="AK122" s="1254">
        <f t="shared" si="53"/>
        <v>0</v>
      </c>
      <c r="AM122" s="227">
        <f t="shared" si="42"/>
        <v>1978134.7699227801</v>
      </c>
      <c r="AP122" s="227">
        <f t="shared" si="43"/>
        <v>43518.964938301157</v>
      </c>
      <c r="AQ122" s="223">
        <f t="shared" si="73"/>
        <v>89016.064646525105</v>
      </c>
      <c r="AS122" s="227">
        <f t="shared" si="71"/>
        <v>140561.60231596002</v>
      </c>
      <c r="AU122" s="223">
        <f t="shared" si="74"/>
        <v>2251231.4018235663</v>
      </c>
      <c r="AW122" s="227">
        <f t="shared" si="72"/>
        <v>0</v>
      </c>
      <c r="AX122" s="457">
        <f>+AW122+AS122</f>
        <v>140561.60231596002</v>
      </c>
      <c r="AZ122">
        <v>335298</v>
      </c>
      <c r="BA122" s="54"/>
    </row>
    <row r="123" spans="2:53">
      <c r="B123" s="246" t="s">
        <v>485</v>
      </c>
      <c r="C123" s="604">
        <v>97</v>
      </c>
      <c r="D123" s="226">
        <f>+'INPUT VOL'!D170</f>
        <v>2182.321759010536</v>
      </c>
      <c r="E123" s="229"/>
      <c r="F123" s="229"/>
      <c r="G123" s="229"/>
      <c r="H123" s="229"/>
      <c r="I123" s="229"/>
      <c r="J123" s="229"/>
      <c r="K123" s="229">
        <f>+D123/$G$6</f>
        <v>2190.6462146261151</v>
      </c>
      <c r="L123" s="229"/>
      <c r="M123" s="229"/>
      <c r="N123" s="229"/>
      <c r="O123" s="240"/>
      <c r="P123" s="238"/>
      <c r="Q123" s="263"/>
      <c r="R123" s="227">
        <f t="shared" si="37"/>
        <v>0</v>
      </c>
      <c r="S123" s="1241"/>
      <c r="T123" s="1247"/>
      <c r="U123" s="1243">
        <f t="shared" si="38"/>
        <v>0</v>
      </c>
      <c r="V123" s="1244"/>
      <c r="W123" s="1245">
        <f t="shared" si="40"/>
        <v>0</v>
      </c>
      <c r="X123" s="1245"/>
      <c r="Y123" s="1245"/>
      <c r="Z123" s="1245">
        <f t="shared" si="41"/>
        <v>0</v>
      </c>
      <c r="AA123" s="497"/>
      <c r="AB123" s="258"/>
      <c r="AC123" s="259"/>
      <c r="AD123" s="227">
        <f t="shared" si="49"/>
        <v>2462902.1405844078</v>
      </c>
      <c r="AE123" s="1250">
        <f t="shared" ref="AE123:AE131" si="76">SUM(E123:O123)</f>
        <v>2190.6462146261151</v>
      </c>
      <c r="AF123" s="1246">
        <v>0.82</v>
      </c>
      <c r="AG123" s="1252">
        <f t="shared" ref="AG123:AG131" si="77">+AE123*AF123*$AF$3</f>
        <v>3238333.7200021278</v>
      </c>
      <c r="AH123" s="1253">
        <f t="shared" ref="AH123:AH131" si="78">+AE123/$AE$192</f>
        <v>5.4848780181168287E-3</v>
      </c>
      <c r="AI123" s="1254">
        <f t="shared" si="70"/>
        <v>-775431.57941772009</v>
      </c>
      <c r="AJ123" s="1254"/>
      <c r="AK123" s="1254">
        <f t="shared" si="53"/>
        <v>2462902.1405844078</v>
      </c>
      <c r="AM123" s="227">
        <f t="shared" si="42"/>
        <v>2462902.1405844078</v>
      </c>
      <c r="AP123" s="227">
        <f t="shared" si="43"/>
        <v>54183.847092856966</v>
      </c>
      <c r="AQ123" s="223">
        <f t="shared" si="73"/>
        <v>110830.59632629834</v>
      </c>
      <c r="AS123" s="227">
        <f t="shared" si="71"/>
        <v>238526.97360293721</v>
      </c>
      <c r="AU123" s="223">
        <f t="shared" si="74"/>
        <v>2866443.5576065006</v>
      </c>
      <c r="AW123" s="227">
        <f t="shared" si="72"/>
        <v>0</v>
      </c>
      <c r="AY123" s="54"/>
      <c r="AZ123" s="54">
        <v>1446461</v>
      </c>
      <c r="BA123" s="54"/>
    </row>
    <row r="124" spans="2:53">
      <c r="B124" s="237" t="s">
        <v>118</v>
      </c>
      <c r="C124" s="604">
        <v>96</v>
      </c>
      <c r="D124" s="226">
        <f>+'INPUT VOL'!J96</f>
        <v>8053.2808000000005</v>
      </c>
      <c r="E124" s="229"/>
      <c r="F124" s="229"/>
      <c r="G124" s="229"/>
      <c r="H124" s="229"/>
      <c r="I124" s="229"/>
      <c r="J124" s="229"/>
      <c r="K124" s="229"/>
      <c r="L124" s="229"/>
      <c r="M124" s="229"/>
      <c r="N124" s="229"/>
      <c r="O124" s="240">
        <f t="shared" ref="O124:O131" si="79">+D124/$G$6</f>
        <v>8084</v>
      </c>
      <c r="P124" s="238"/>
      <c r="Q124" s="263"/>
      <c r="R124" s="227">
        <f t="shared" si="37"/>
        <v>0</v>
      </c>
      <c r="S124" s="1241"/>
      <c r="T124" s="1247"/>
      <c r="U124" s="1243">
        <f t="shared" si="38"/>
        <v>0</v>
      </c>
      <c r="V124" s="1244"/>
      <c r="W124" s="1245">
        <f t="shared" si="40"/>
        <v>0</v>
      </c>
      <c r="X124" s="1245"/>
      <c r="Y124" s="1245"/>
      <c r="Z124" s="1245">
        <f t="shared" si="41"/>
        <v>0</v>
      </c>
      <c r="AA124" s="497"/>
      <c r="AB124" s="258"/>
      <c r="AC124" s="259"/>
      <c r="AD124" s="227">
        <f t="shared" si="49"/>
        <v>10983234.459720941</v>
      </c>
      <c r="AE124" s="1250">
        <f t="shared" si="76"/>
        <v>8084</v>
      </c>
      <c r="AF124" s="1246">
        <v>0.95</v>
      </c>
      <c r="AG124" s="1252">
        <f t="shared" si="77"/>
        <v>13844759.449999999</v>
      </c>
      <c r="AH124" s="1253">
        <f t="shared" si="78"/>
        <v>2.0240490501120947E-2</v>
      </c>
      <c r="AI124" s="1254">
        <f t="shared" si="70"/>
        <v>-2861524.990279058</v>
      </c>
      <c r="AJ124" s="1254"/>
      <c r="AK124" s="1254">
        <f t="shared" si="53"/>
        <v>10983234.459720941</v>
      </c>
      <c r="AM124" s="227">
        <f t="shared" si="42"/>
        <v>10983234.459720941</v>
      </c>
      <c r="AP124" s="227">
        <f t="shared" si="43"/>
        <v>241631.1581138607</v>
      </c>
      <c r="AQ124" s="468">
        <f t="shared" ref="AQ124:AQ134" si="80">+AM124*$AQ$5</f>
        <v>494245.55068744236</v>
      </c>
      <c r="AS124" s="227">
        <f t="shared" si="71"/>
        <v>880220.6589690001</v>
      </c>
      <c r="AU124" s="223">
        <f t="shared" ref="AU124:AU134" si="81">+AM124+AP124+AQ124+AS124</f>
        <v>12599331.827491244</v>
      </c>
      <c r="AW124" s="227">
        <f t="shared" si="72"/>
        <v>0</v>
      </c>
      <c r="AY124" s="54"/>
      <c r="AZ124" s="54">
        <v>4742174</v>
      </c>
      <c r="BA124" s="54"/>
    </row>
    <row r="125" spans="2:53">
      <c r="B125" s="246" t="s">
        <v>574</v>
      </c>
      <c r="C125" s="604">
        <v>96</v>
      </c>
      <c r="D125" s="1101">
        <f>+'INPUT VOL'!D75</f>
        <v>3225.6956000000005</v>
      </c>
      <c r="E125" s="229"/>
      <c r="F125" s="229"/>
      <c r="G125" s="229"/>
      <c r="H125" s="229"/>
      <c r="I125" s="229"/>
      <c r="J125" s="229"/>
      <c r="K125" s="229"/>
      <c r="L125" s="229"/>
      <c r="M125" s="229"/>
      <c r="N125" s="229"/>
      <c r="O125" s="240">
        <f t="shared" ref="O125" si="82">+D125/$G$6</f>
        <v>3238</v>
      </c>
      <c r="P125" s="238"/>
      <c r="Q125" s="263"/>
      <c r="R125" s="227">
        <f t="shared" si="37"/>
        <v>0</v>
      </c>
      <c r="S125" s="1241"/>
      <c r="T125" s="1247"/>
      <c r="U125" s="1243">
        <f t="shared" si="38"/>
        <v>0</v>
      </c>
      <c r="V125" s="1244"/>
      <c r="W125" s="1245">
        <f t="shared" si="40"/>
        <v>0</v>
      </c>
      <c r="X125" s="1245"/>
      <c r="Y125" s="1245"/>
      <c r="Z125" s="1245">
        <f t="shared" si="41"/>
        <v>0</v>
      </c>
      <c r="AA125" s="497"/>
      <c r="AB125" s="258"/>
      <c r="AC125" s="259"/>
      <c r="AD125" s="227">
        <f t="shared" si="49"/>
        <v>4399271.7937378036</v>
      </c>
      <c r="AE125" s="1250">
        <f t="shared" si="76"/>
        <v>3238</v>
      </c>
      <c r="AF125" s="1246">
        <v>0.95</v>
      </c>
      <c r="AG125" s="1252">
        <f t="shared" si="77"/>
        <v>5545439.2749999994</v>
      </c>
      <c r="AH125" s="1253">
        <f t="shared" si="78"/>
        <v>8.1072127959710086E-3</v>
      </c>
      <c r="AI125" s="1254">
        <f t="shared" si="70"/>
        <v>-1146167.4812621959</v>
      </c>
      <c r="AJ125" s="1254"/>
      <c r="AK125" s="1254">
        <f t="shared" si="53"/>
        <v>4399271.7937378036</v>
      </c>
      <c r="AM125" s="227">
        <f t="shared" si="42"/>
        <v>4399271.7937378036</v>
      </c>
      <c r="AP125" s="227">
        <f t="shared" si="43"/>
        <v>96783.979462231669</v>
      </c>
      <c r="AQ125" s="468">
        <f t="shared" ref="AQ125" si="83">+AM125*$AQ$5</f>
        <v>197967.23071820114</v>
      </c>
      <c r="AS125" s="227">
        <f t="shared" si="71"/>
        <v>352567.35449550004</v>
      </c>
      <c r="AU125" s="1102">
        <f t="shared" ref="AU125" si="84">+AM125+AP125+AQ125+AS125</f>
        <v>5046590.3584137363</v>
      </c>
      <c r="AW125" s="227">
        <f t="shared" si="72"/>
        <v>0</v>
      </c>
      <c r="AY125" s="54"/>
      <c r="AZ125" s="54">
        <v>2014149</v>
      </c>
      <c r="BA125" s="54"/>
    </row>
    <row r="126" spans="2:53">
      <c r="B126" s="246" t="s">
        <v>208</v>
      </c>
      <c r="C126" s="604">
        <v>96</v>
      </c>
      <c r="D126" s="226">
        <f>+'INPUT VOL'!J97</f>
        <v>3009.4219155696692</v>
      </c>
      <c r="E126" s="247"/>
      <c r="F126" s="247"/>
      <c r="G126" s="247"/>
      <c r="H126" s="247"/>
      <c r="I126" s="247"/>
      <c r="J126" s="247"/>
      <c r="K126" s="247"/>
      <c r="L126" s="247"/>
      <c r="M126" s="247"/>
      <c r="N126" s="247"/>
      <c r="O126" s="240">
        <f t="shared" si="79"/>
        <v>3020.901340664193</v>
      </c>
      <c r="P126" s="238"/>
      <c r="Q126" s="263"/>
      <c r="R126" s="227">
        <f t="shared" si="37"/>
        <v>0</v>
      </c>
      <c r="S126" s="1241"/>
      <c r="T126" s="1247"/>
      <c r="U126" s="1243">
        <f t="shared" si="38"/>
        <v>0</v>
      </c>
      <c r="V126" s="1244"/>
      <c r="W126" s="1245">
        <f t="shared" si="40"/>
        <v>0</v>
      </c>
      <c r="X126" s="1245"/>
      <c r="Y126" s="1245"/>
      <c r="Z126" s="1245">
        <f t="shared" si="41"/>
        <v>0</v>
      </c>
      <c r="AA126" s="497"/>
      <c r="AB126" s="258"/>
      <c r="AC126" s="259"/>
      <c r="AD126" s="227">
        <f t="shared" si="49"/>
        <v>4104313.1746907667</v>
      </c>
      <c r="AE126" s="1250">
        <f t="shared" si="76"/>
        <v>3020.901340664193</v>
      </c>
      <c r="AF126" s="1246">
        <v>0.95</v>
      </c>
      <c r="AG126" s="1252">
        <f t="shared" si="77"/>
        <v>5173633.3972882554</v>
      </c>
      <c r="AH126" s="1253">
        <f t="shared" si="78"/>
        <v>7.5636473145147369E-3</v>
      </c>
      <c r="AI126" s="1254">
        <f t="shared" si="70"/>
        <v>-1069320.2225974887</v>
      </c>
      <c r="AJ126" s="1254"/>
      <c r="AK126" s="1254">
        <f t="shared" si="53"/>
        <v>4104313.1746907667</v>
      </c>
      <c r="AM126" s="227">
        <f t="shared" si="42"/>
        <v>4104313.1746907667</v>
      </c>
      <c r="AP126" s="227">
        <f t="shared" si="43"/>
        <v>90294.889843196856</v>
      </c>
      <c r="AQ126" s="223">
        <f t="shared" si="80"/>
        <v>184694.0928610845</v>
      </c>
      <c r="AS126" s="227">
        <f t="shared" si="71"/>
        <v>328928.71953980351</v>
      </c>
      <c r="AU126" s="223">
        <f t="shared" si="81"/>
        <v>4708230.8769348515</v>
      </c>
      <c r="AW126" s="227">
        <f t="shared" si="72"/>
        <v>0</v>
      </c>
      <c r="AY126" s="54"/>
      <c r="AZ126" s="54">
        <v>889233</v>
      </c>
      <c r="BA126" s="54"/>
    </row>
    <row r="127" spans="2:53">
      <c r="B127" s="246" t="s">
        <v>337</v>
      </c>
      <c r="C127" s="604">
        <v>96</v>
      </c>
      <c r="D127" s="226">
        <f>+'INPUT VOL'!J98</f>
        <v>2219.5336000000002</v>
      </c>
      <c r="E127" s="247"/>
      <c r="F127" s="247"/>
      <c r="G127" s="247"/>
      <c r="H127" s="247"/>
      <c r="I127" s="247"/>
      <c r="J127" s="247"/>
      <c r="K127" s="247"/>
      <c r="L127" s="247"/>
      <c r="M127" s="247"/>
      <c r="N127" s="247"/>
      <c r="O127" s="240">
        <f t="shared" si="79"/>
        <v>2228</v>
      </c>
      <c r="P127" s="238"/>
      <c r="Q127" s="263"/>
      <c r="R127" s="227">
        <f t="shared" si="37"/>
        <v>0</v>
      </c>
      <c r="S127" s="1241"/>
      <c r="T127" s="1247"/>
      <c r="U127" s="1243">
        <f t="shared" si="38"/>
        <v>0</v>
      </c>
      <c r="V127" s="1244"/>
      <c r="W127" s="1245">
        <f t="shared" si="40"/>
        <v>0</v>
      </c>
      <c r="X127" s="1245"/>
      <c r="Y127" s="1245"/>
      <c r="Z127" s="1245">
        <f t="shared" si="41"/>
        <v>0</v>
      </c>
      <c r="AA127" s="497"/>
      <c r="AB127" s="258"/>
      <c r="AC127" s="259"/>
      <c r="AD127" s="227">
        <f t="shared" si="49"/>
        <v>3027046.8055737577</v>
      </c>
      <c r="AE127" s="1250">
        <f t="shared" si="76"/>
        <v>2228</v>
      </c>
      <c r="AF127" s="1246">
        <v>0.95</v>
      </c>
      <c r="AG127" s="1252">
        <f t="shared" si="77"/>
        <v>3815700.65</v>
      </c>
      <c r="AH127" s="1253">
        <f t="shared" si="78"/>
        <v>5.5784033691857341E-3</v>
      </c>
      <c r="AI127" s="1254">
        <f t="shared" si="70"/>
        <v>-788653.84442624217</v>
      </c>
      <c r="AJ127" s="1254"/>
      <c r="AK127" s="1254">
        <f t="shared" si="53"/>
        <v>3027046.8055737577</v>
      </c>
      <c r="AM127" s="227">
        <f t="shared" si="42"/>
        <v>3027046.8055737577</v>
      </c>
      <c r="AP127" s="227">
        <f t="shared" si="43"/>
        <v>66595.029722622668</v>
      </c>
      <c r="AQ127" s="223">
        <f t="shared" si="80"/>
        <v>136217.10625081908</v>
      </c>
      <c r="AS127" s="227">
        <f t="shared" si="71"/>
        <v>242594.21427299999</v>
      </c>
      <c r="AU127" s="223">
        <f t="shared" si="81"/>
        <v>3472453.1558201998</v>
      </c>
      <c r="AW127" s="227">
        <f t="shared" si="72"/>
        <v>0</v>
      </c>
      <c r="AY127" s="54"/>
      <c r="AZ127" s="54">
        <v>29173</v>
      </c>
      <c r="BA127" s="54"/>
    </row>
    <row r="128" spans="2:53">
      <c r="B128" s="646" t="s">
        <v>416</v>
      </c>
      <c r="C128" s="610">
        <v>96</v>
      </c>
      <c r="D128" s="647">
        <f>+'INPUT VOL'!J103</f>
        <v>5416.3394000000008</v>
      </c>
      <c r="E128" s="247"/>
      <c r="F128" s="247"/>
      <c r="G128" s="247"/>
      <c r="H128" s="247"/>
      <c r="I128" s="247"/>
      <c r="J128" s="247"/>
      <c r="K128" s="247"/>
      <c r="L128" s="247"/>
      <c r="M128" s="247"/>
      <c r="N128" s="247"/>
      <c r="O128" s="240">
        <f t="shared" si="79"/>
        <v>5437</v>
      </c>
      <c r="P128" s="238"/>
      <c r="Q128" s="263"/>
      <c r="R128" s="227">
        <f t="shared" si="37"/>
        <v>0</v>
      </c>
      <c r="S128" s="1241"/>
      <c r="T128" s="1247"/>
      <c r="U128" s="1243">
        <f t="shared" si="38"/>
        <v>0</v>
      </c>
      <c r="V128" s="1244"/>
      <c r="W128" s="1245">
        <f t="shared" si="40"/>
        <v>0</v>
      </c>
      <c r="X128" s="1245"/>
      <c r="Y128" s="1245"/>
      <c r="Z128" s="1245">
        <f t="shared" si="41"/>
        <v>0</v>
      </c>
      <c r="AA128" s="497"/>
      <c r="AB128" s="258"/>
      <c r="AC128" s="259"/>
      <c r="AD128" s="227">
        <f t="shared" si="49"/>
        <v>7386918.0798494257</v>
      </c>
      <c r="AE128" s="1250">
        <f t="shared" si="76"/>
        <v>5437</v>
      </c>
      <c r="AF128" s="1246">
        <v>0.95</v>
      </c>
      <c r="AG128" s="1252">
        <f t="shared" si="77"/>
        <v>9311474.1624999996</v>
      </c>
      <c r="AH128" s="1253">
        <f t="shared" si="78"/>
        <v>1.3613006785575778E-2</v>
      </c>
      <c r="AI128" s="1254">
        <f t="shared" si="70"/>
        <v>-1924556.0826505739</v>
      </c>
      <c r="AJ128" s="1254"/>
      <c r="AK128" s="1254">
        <f t="shared" si="53"/>
        <v>7386918.0798494257</v>
      </c>
      <c r="AM128" s="227">
        <f t="shared" si="42"/>
        <v>7386918.0798494257</v>
      </c>
      <c r="AP128" s="227">
        <f t="shared" si="43"/>
        <v>162512.19775668735</v>
      </c>
      <c r="AQ128" s="223">
        <f t="shared" si="80"/>
        <v>332411.31359322416</v>
      </c>
      <c r="AS128" s="227">
        <f t="shared" si="71"/>
        <v>592003.92414825014</v>
      </c>
      <c r="AU128" s="644">
        <f t="shared" si="81"/>
        <v>8473845.5153475869</v>
      </c>
      <c r="AW128" s="227">
        <f t="shared" si="72"/>
        <v>0</v>
      </c>
      <c r="AY128" s="54"/>
      <c r="AZ128" s="54">
        <v>880175</v>
      </c>
      <c r="BA128" s="54"/>
    </row>
    <row r="129" spans="2:53">
      <c r="B129" s="246" t="s">
        <v>405</v>
      </c>
      <c r="C129" s="604">
        <v>96</v>
      </c>
      <c r="D129" s="226">
        <f>+'INPUT VOL'!J99</f>
        <v>3853.3016000000002</v>
      </c>
      <c r="E129" s="247"/>
      <c r="F129" s="247"/>
      <c r="G129" s="247"/>
      <c r="H129" s="247"/>
      <c r="I129" s="247"/>
      <c r="J129" s="247"/>
      <c r="K129" s="247"/>
      <c r="L129" s="247"/>
      <c r="M129" s="247"/>
      <c r="N129" s="247"/>
      <c r="O129" s="240">
        <f t="shared" si="79"/>
        <v>3868</v>
      </c>
      <c r="P129" s="238"/>
      <c r="Q129" s="263"/>
      <c r="R129" s="227">
        <f t="shared" si="37"/>
        <v>0</v>
      </c>
      <c r="S129" s="1241"/>
      <c r="T129" s="1247"/>
      <c r="U129" s="1243">
        <f t="shared" si="38"/>
        <v>0</v>
      </c>
      <c r="V129" s="1244"/>
      <c r="W129" s="1245">
        <f t="shared" si="40"/>
        <v>0</v>
      </c>
      <c r="X129" s="1245"/>
      <c r="Y129" s="1245"/>
      <c r="Z129" s="1245">
        <f t="shared" si="41"/>
        <v>0</v>
      </c>
      <c r="AA129" s="497"/>
      <c r="AB129" s="258"/>
      <c r="AC129" s="259"/>
      <c r="AD129" s="227">
        <f t="shared" si="49"/>
        <v>5255214.1130876541</v>
      </c>
      <c r="AE129" s="1250">
        <f t="shared" si="76"/>
        <v>3868</v>
      </c>
      <c r="AF129" s="1246">
        <v>0.95</v>
      </c>
      <c r="AG129" s="1252">
        <f t="shared" si="77"/>
        <v>6624385.1499999994</v>
      </c>
      <c r="AH129" s="1253">
        <f t="shared" si="78"/>
        <v>9.6845889730746947E-3</v>
      </c>
      <c r="AI129" s="1254">
        <f t="shared" si="70"/>
        <v>-1369171.0369123451</v>
      </c>
      <c r="AJ129" s="1254"/>
      <c r="AK129" s="1254">
        <f t="shared" si="53"/>
        <v>5255214.1130876541</v>
      </c>
      <c r="AM129" s="227">
        <f t="shared" si="42"/>
        <v>5255214.1130876541</v>
      </c>
      <c r="AP129" s="227">
        <f t="shared" si="43"/>
        <v>115614.71048792839</v>
      </c>
      <c r="AQ129" s="223">
        <f t="shared" si="80"/>
        <v>236484.63508894443</v>
      </c>
      <c r="AS129" s="227">
        <f t="shared" si="71"/>
        <v>421164.461763</v>
      </c>
      <c r="AU129" s="223">
        <f t="shared" si="81"/>
        <v>6028477.9204275273</v>
      </c>
      <c r="AW129" s="227">
        <f t="shared" si="72"/>
        <v>0</v>
      </c>
      <c r="AY129" s="54"/>
      <c r="AZ129" s="54">
        <v>262295</v>
      </c>
      <c r="BA129" s="54"/>
    </row>
    <row r="130" spans="2:53">
      <c r="B130" s="246" t="s">
        <v>406</v>
      </c>
      <c r="C130" s="604">
        <v>96</v>
      </c>
      <c r="D130" s="226">
        <f>+'INPUT VOL'!J100</f>
        <v>3379.1104000000005</v>
      </c>
      <c r="E130" s="247"/>
      <c r="F130" s="247"/>
      <c r="G130" s="247"/>
      <c r="H130" s="247"/>
      <c r="I130" s="247"/>
      <c r="J130" s="247"/>
      <c r="K130" s="247"/>
      <c r="L130" s="247"/>
      <c r="M130" s="247"/>
      <c r="N130" s="247"/>
      <c r="O130" s="240">
        <f t="shared" si="79"/>
        <v>3392</v>
      </c>
      <c r="P130" s="238"/>
      <c r="Q130" s="263"/>
      <c r="R130" s="227">
        <f t="shared" si="37"/>
        <v>0</v>
      </c>
      <c r="S130" s="1241"/>
      <c r="T130" s="1247"/>
      <c r="U130" s="1243">
        <f t="shared" si="38"/>
        <v>0</v>
      </c>
      <c r="V130" s="1244"/>
      <c r="W130" s="1245">
        <f t="shared" si="40"/>
        <v>0</v>
      </c>
      <c r="X130" s="1245"/>
      <c r="Y130" s="1245"/>
      <c r="Z130" s="1245">
        <f t="shared" si="41"/>
        <v>0</v>
      </c>
      <c r="AA130" s="497"/>
      <c r="AB130" s="258"/>
      <c r="AC130" s="259"/>
      <c r="AD130" s="227">
        <f t="shared" si="49"/>
        <v>4608502.1384677673</v>
      </c>
      <c r="AE130" s="1250">
        <f t="shared" si="76"/>
        <v>3392</v>
      </c>
      <c r="AF130" s="1246">
        <v>0.95</v>
      </c>
      <c r="AG130" s="1252">
        <f t="shared" si="77"/>
        <v>5809181.5999999996</v>
      </c>
      <c r="AH130" s="1253">
        <f t="shared" si="78"/>
        <v>8.4927936392630195E-3</v>
      </c>
      <c r="AI130" s="1254">
        <f t="shared" si="70"/>
        <v>-1200679.4615322321</v>
      </c>
      <c r="AJ130" s="1254"/>
      <c r="AK130" s="1254">
        <f t="shared" si="53"/>
        <v>4608502.1384677673</v>
      </c>
      <c r="AM130" s="227">
        <f t="shared" si="42"/>
        <v>4608502.1384677673</v>
      </c>
      <c r="AP130" s="227">
        <f t="shared" si="43"/>
        <v>101387.04704629087</v>
      </c>
      <c r="AQ130" s="223">
        <f t="shared" si="80"/>
        <v>207382.59623104951</v>
      </c>
      <c r="AS130" s="227">
        <f t="shared" si="71"/>
        <v>369335.536272</v>
      </c>
      <c r="AU130" s="223">
        <f t="shared" si="81"/>
        <v>5286607.3180171074</v>
      </c>
      <c r="AW130" s="227">
        <f t="shared" si="72"/>
        <v>0</v>
      </c>
      <c r="AY130" s="54"/>
      <c r="AZ130" s="54">
        <v>63694</v>
      </c>
      <c r="BA130" s="54"/>
    </row>
    <row r="131" spans="2:53">
      <c r="B131" s="246" t="s">
        <v>369</v>
      </c>
      <c r="C131" s="604">
        <v>97</v>
      </c>
      <c r="D131" s="226">
        <f>+'INPUT VOL'!J101</f>
        <v>6731.3234000000002</v>
      </c>
      <c r="E131" s="247"/>
      <c r="F131" s="247"/>
      <c r="G131" s="247"/>
      <c r="H131" s="247"/>
      <c r="I131" s="247"/>
      <c r="J131" s="247"/>
      <c r="K131" s="247"/>
      <c r="L131" s="247"/>
      <c r="M131" s="247"/>
      <c r="N131" s="247"/>
      <c r="O131" s="240">
        <f t="shared" si="79"/>
        <v>6757</v>
      </c>
      <c r="P131" s="238"/>
      <c r="Q131" s="263"/>
      <c r="R131" s="227">
        <f t="shared" si="37"/>
        <v>0</v>
      </c>
      <c r="S131" s="1241"/>
      <c r="T131" s="1247"/>
      <c r="U131" s="1243">
        <f t="shared" si="38"/>
        <v>0</v>
      </c>
      <c r="V131" s="1244"/>
      <c r="W131" s="1245">
        <f t="shared" si="40"/>
        <v>0</v>
      </c>
      <c r="X131" s="1245"/>
      <c r="Y131" s="1245"/>
      <c r="Z131" s="1245">
        <f t="shared" si="41"/>
        <v>0</v>
      </c>
      <c r="AA131" s="497"/>
      <c r="AB131" s="258"/>
      <c r="AC131" s="259"/>
      <c r="AD131" s="227">
        <f t="shared" si="49"/>
        <v>9180321.0346776843</v>
      </c>
      <c r="AE131" s="1250">
        <f t="shared" si="76"/>
        <v>6757</v>
      </c>
      <c r="AF131" s="1246">
        <v>0.95</v>
      </c>
      <c r="AG131" s="1252">
        <f t="shared" si="77"/>
        <v>11572122.6625</v>
      </c>
      <c r="AH131" s="1253">
        <f t="shared" si="78"/>
        <v>1.6917985442364454E-2</v>
      </c>
      <c r="AI131" s="1254">
        <f t="shared" si="70"/>
        <v>-2391801.6278223153</v>
      </c>
      <c r="AJ131" s="1254"/>
      <c r="AK131" s="1254">
        <f t="shared" si="53"/>
        <v>9180321.0346776843</v>
      </c>
      <c r="AM131" s="227">
        <f t="shared" si="42"/>
        <v>9180321.0346776843</v>
      </c>
      <c r="AP131" s="227">
        <f t="shared" si="43"/>
        <v>201967.06276290904</v>
      </c>
      <c r="AQ131" s="223">
        <f t="shared" si="80"/>
        <v>413114.44656049577</v>
      </c>
      <c r="AS131" s="227">
        <f t="shared" si="71"/>
        <v>735731.19651825004</v>
      </c>
      <c r="AU131" s="223">
        <f t="shared" si="81"/>
        <v>10531133.740519339</v>
      </c>
      <c r="AW131" s="227">
        <f t="shared" si="72"/>
        <v>0</v>
      </c>
      <c r="AY131" s="54"/>
      <c r="AZ131" s="54">
        <v>4809</v>
      </c>
      <c r="BA131" s="54"/>
    </row>
    <row r="132" spans="2:53">
      <c r="B132" s="246" t="s">
        <v>408</v>
      </c>
      <c r="C132" s="604">
        <v>97</v>
      </c>
      <c r="D132" s="226">
        <f>+'INPUT VOL'!J102</f>
        <v>3923.0356000000002</v>
      </c>
      <c r="E132" s="247"/>
      <c r="F132" s="247"/>
      <c r="G132" s="247"/>
      <c r="H132" s="247"/>
      <c r="I132" s="247"/>
      <c r="J132" s="247"/>
      <c r="K132" s="247"/>
      <c r="L132" s="247"/>
      <c r="M132" s="247"/>
      <c r="N132" s="229">
        <f>+D132/$G$6</f>
        <v>3938</v>
      </c>
      <c r="O132" s="229"/>
      <c r="P132" s="238"/>
      <c r="Q132" s="263"/>
      <c r="R132" s="227">
        <f t="shared" si="37"/>
        <v>6957244.9099999992</v>
      </c>
      <c r="S132" s="1241">
        <f>SUM(E132:O132)</f>
        <v>3938</v>
      </c>
      <c r="T132" s="1246">
        <v>0.98</v>
      </c>
      <c r="U132" s="1243">
        <f t="shared" si="38"/>
        <v>6957244.9099999992</v>
      </c>
      <c r="V132" s="1244"/>
      <c r="W132" s="1245">
        <f t="shared" si="40"/>
        <v>0</v>
      </c>
      <c r="X132" s="1245"/>
      <c r="Y132" s="1245"/>
      <c r="Z132" s="1245">
        <f t="shared" si="41"/>
        <v>6957244.9099999992</v>
      </c>
      <c r="AA132" s="595"/>
      <c r="AB132" s="258"/>
      <c r="AC132" s="259"/>
      <c r="AD132" s="227">
        <f t="shared" si="49"/>
        <v>0</v>
      </c>
      <c r="AE132" s="1250"/>
      <c r="AF132" s="1254"/>
      <c r="AG132" s="1254"/>
      <c r="AH132" s="1251"/>
      <c r="AI132" s="1254"/>
      <c r="AJ132" s="1254"/>
      <c r="AK132" s="1254">
        <f t="shared" si="53"/>
        <v>0</v>
      </c>
      <c r="AM132" s="227">
        <f t="shared" si="42"/>
        <v>6957244.9099999992</v>
      </c>
      <c r="AP132" s="227">
        <f t="shared" si="43"/>
        <v>153059.38801999998</v>
      </c>
      <c r="AQ132" s="223">
        <f t="shared" si="80"/>
        <v>313076.02094999998</v>
      </c>
      <c r="AS132" s="227">
        <f t="shared" si="71"/>
        <v>428786.36257050006</v>
      </c>
      <c r="AU132" s="223">
        <f t="shared" si="81"/>
        <v>7852166.6815404994</v>
      </c>
      <c r="AW132" s="223">
        <v>0</v>
      </c>
      <c r="AX132" s="457">
        <f>+AW132+AS132</f>
        <v>428786.36257050006</v>
      </c>
      <c r="AY132" s="54"/>
      <c r="AZ132" s="54">
        <v>1265903</v>
      </c>
      <c r="BA132" s="54"/>
    </row>
    <row r="133" spans="2:53">
      <c r="B133" s="246" t="s">
        <v>422</v>
      </c>
      <c r="C133" s="604">
        <v>96</v>
      </c>
      <c r="D133" s="226">
        <f>+'INPUT VOL'!J104</f>
        <v>3820.2690242305653</v>
      </c>
      <c r="E133" s="247"/>
      <c r="F133" s="247"/>
      <c r="G133" s="247"/>
      <c r="H133" s="247"/>
      <c r="I133" s="247"/>
      <c r="J133" s="247"/>
      <c r="K133" s="247"/>
      <c r="L133" s="247"/>
      <c r="M133" s="247"/>
      <c r="N133" s="229">
        <f>+D133/$G$6</f>
        <v>3834.8414216327697</v>
      </c>
      <c r="O133" s="229"/>
      <c r="P133" s="238"/>
      <c r="Q133" s="263"/>
      <c r="R133" s="227">
        <f t="shared" si="37"/>
        <v>6774995.1653915057</v>
      </c>
      <c r="S133" s="1241">
        <f>SUM(E133:O133)</f>
        <v>3834.8414216327697</v>
      </c>
      <c r="T133" s="1246">
        <v>0.98</v>
      </c>
      <c r="U133" s="1243">
        <f t="shared" si="38"/>
        <v>6774995.1653915057</v>
      </c>
      <c r="V133" s="1244"/>
      <c r="W133" s="1245">
        <f t="shared" si="40"/>
        <v>0</v>
      </c>
      <c r="X133" s="1245"/>
      <c r="Y133" s="1245"/>
      <c r="Z133" s="1245">
        <f t="shared" si="41"/>
        <v>6774995.1653915057</v>
      </c>
      <c r="AA133" s="595"/>
      <c r="AB133" s="258"/>
      <c r="AC133" s="259"/>
      <c r="AD133" s="227">
        <f t="shared" si="49"/>
        <v>0</v>
      </c>
      <c r="AE133" s="1250"/>
      <c r="AF133" s="1254"/>
      <c r="AG133" s="1254"/>
      <c r="AH133" s="1251"/>
      <c r="AI133" s="1254"/>
      <c r="AJ133" s="1254"/>
      <c r="AK133" s="1254">
        <f t="shared" si="53"/>
        <v>0</v>
      </c>
      <c r="AM133" s="227">
        <f t="shared" si="42"/>
        <v>6774995.1653915057</v>
      </c>
      <c r="AP133" s="227">
        <f t="shared" si="43"/>
        <v>149049.89363861311</v>
      </c>
      <c r="AQ133" s="223">
        <f t="shared" si="80"/>
        <v>304874.78244261775</v>
      </c>
      <c r="AS133" s="227">
        <f t="shared" si="71"/>
        <v>417554.01325967506</v>
      </c>
      <c r="AU133" s="223">
        <f t="shared" si="81"/>
        <v>7646473.8547324119</v>
      </c>
      <c r="AW133" s="223">
        <v>0</v>
      </c>
      <c r="AX133" s="457">
        <f>+AW133+AS133</f>
        <v>417554.01325967506</v>
      </c>
      <c r="AY133" s="54"/>
      <c r="AZ133" s="54">
        <v>35735</v>
      </c>
      <c r="BA133" s="54"/>
    </row>
    <row r="134" spans="2:53">
      <c r="B134" s="246" t="s">
        <v>433</v>
      </c>
      <c r="C134" s="604">
        <v>96</v>
      </c>
      <c r="D134" s="226">
        <f>+'INPUT VOL'!J105</f>
        <v>3306.3878000000004</v>
      </c>
      <c r="E134" s="247"/>
      <c r="F134" s="247"/>
      <c r="G134" s="247"/>
      <c r="H134" s="247"/>
      <c r="I134" s="247"/>
      <c r="J134" s="247"/>
      <c r="K134" s="247"/>
      <c r="L134" s="247"/>
      <c r="M134" s="247"/>
      <c r="N134" s="229">
        <f>+D134/$G$6</f>
        <v>3319</v>
      </c>
      <c r="O134" s="229"/>
      <c r="P134" s="238"/>
      <c r="Q134" s="263"/>
      <c r="R134" s="227">
        <f t="shared" si="37"/>
        <v>5863660.7050000001</v>
      </c>
      <c r="S134" s="1241">
        <f>SUM(E134:O134)</f>
        <v>3319</v>
      </c>
      <c r="T134" s="1246">
        <v>0.98</v>
      </c>
      <c r="U134" s="1243">
        <f t="shared" si="38"/>
        <v>5863660.7050000001</v>
      </c>
      <c r="V134" s="1244"/>
      <c r="W134" s="1245">
        <f t="shared" si="40"/>
        <v>0</v>
      </c>
      <c r="X134" s="1245"/>
      <c r="Y134" s="1245"/>
      <c r="Z134" s="1245">
        <f t="shared" si="41"/>
        <v>5863660.7050000001</v>
      </c>
      <c r="AA134" s="595"/>
      <c r="AB134" s="258"/>
      <c r="AC134" s="259"/>
      <c r="AD134" s="227">
        <f t="shared" si="49"/>
        <v>0</v>
      </c>
      <c r="AE134" s="1250"/>
      <c r="AF134" s="1254"/>
      <c r="AG134" s="1254"/>
      <c r="AH134" s="1251"/>
      <c r="AI134" s="1254"/>
      <c r="AJ134" s="1254"/>
      <c r="AK134" s="1254">
        <f t="shared" si="53"/>
        <v>0</v>
      </c>
      <c r="AM134" s="227">
        <f t="shared" si="42"/>
        <v>5863660.7050000001</v>
      </c>
      <c r="AP134" s="227">
        <f t="shared" si="43"/>
        <v>129000.53550999999</v>
      </c>
      <c r="AQ134" s="223">
        <f t="shared" si="80"/>
        <v>263864.73172500002</v>
      </c>
      <c r="AS134" s="227">
        <f t="shared" si="71"/>
        <v>361386.98257275001</v>
      </c>
      <c r="AU134" s="223">
        <f t="shared" si="81"/>
        <v>6617912.9548077499</v>
      </c>
      <c r="AW134" s="223">
        <v>0</v>
      </c>
      <c r="AX134" s="457">
        <f>+AW134+AS134</f>
        <v>361386.98257275001</v>
      </c>
      <c r="AY134" s="54"/>
      <c r="AZ134" s="54">
        <v>144811</v>
      </c>
      <c r="BA134" s="54"/>
    </row>
    <row r="135" spans="2:53">
      <c r="B135" s="242"/>
      <c r="C135" s="609"/>
      <c r="D135" s="243"/>
      <c r="E135" s="239"/>
      <c r="F135" s="239"/>
      <c r="G135" s="239"/>
      <c r="H135" s="239"/>
      <c r="I135" s="239"/>
      <c r="J135" s="239"/>
      <c r="K135" s="239"/>
      <c r="L135" s="239"/>
      <c r="M135" s="239"/>
      <c r="N135" s="239"/>
      <c r="O135" s="243"/>
      <c r="P135" s="238"/>
      <c r="Q135" s="263"/>
      <c r="R135" s="227">
        <f t="shared" si="37"/>
        <v>0</v>
      </c>
      <c r="S135" s="1241"/>
      <c r="T135" s="1247"/>
      <c r="U135" s="1243">
        <f t="shared" si="38"/>
        <v>0</v>
      </c>
      <c r="V135" s="1244"/>
      <c r="W135" s="1245">
        <f t="shared" si="40"/>
        <v>0</v>
      </c>
      <c r="X135" s="1245"/>
      <c r="Y135" s="1245"/>
      <c r="Z135" s="1245">
        <f t="shared" si="41"/>
        <v>0</v>
      </c>
      <c r="AA135" s="497"/>
      <c r="AB135" s="258"/>
      <c r="AC135" s="259"/>
      <c r="AD135" s="227">
        <f t="shared" si="49"/>
        <v>0</v>
      </c>
      <c r="AE135" s="1250"/>
      <c r="AF135" s="1257"/>
      <c r="AG135" s="1257"/>
      <c r="AH135" s="1258"/>
      <c r="AI135" s="1257"/>
      <c r="AJ135" s="1257"/>
      <c r="AK135" s="1254">
        <f t="shared" si="53"/>
        <v>0</v>
      </c>
      <c r="AM135" s="227">
        <f t="shared" si="42"/>
        <v>0</v>
      </c>
      <c r="AP135" s="227">
        <f t="shared" si="43"/>
        <v>0</v>
      </c>
      <c r="AQ135" s="243"/>
      <c r="AS135" s="243"/>
      <c r="AU135" s="243"/>
      <c r="AW135" s="243"/>
      <c r="AY135" s="54"/>
      <c r="AZ135" s="54">
        <v>182703</v>
      </c>
      <c r="BA135" s="54"/>
    </row>
    <row r="136" spans="2:53">
      <c r="B136" s="225" t="s">
        <v>64</v>
      </c>
      <c r="C136" s="602">
        <v>98</v>
      </c>
      <c r="D136" s="226">
        <f>+'INPUT VOL'!J107</f>
        <v>37802.901020000005</v>
      </c>
      <c r="E136" s="223">
        <f>+D136/$G$6</f>
        <v>37947.1</v>
      </c>
      <c r="F136" s="223"/>
      <c r="G136" s="223"/>
      <c r="H136" s="223"/>
      <c r="I136" s="223"/>
      <c r="J136" s="223"/>
      <c r="K136" s="223"/>
      <c r="L136" s="223"/>
      <c r="M136" s="223"/>
      <c r="N136" s="223"/>
      <c r="O136" s="223"/>
      <c r="P136" s="224"/>
      <c r="Q136" s="253"/>
      <c r="R136" s="227">
        <f t="shared" si="37"/>
        <v>45834120.131750003</v>
      </c>
      <c r="S136" s="1241">
        <f t="shared" ref="S136:S148" si="85">SUM(E136:O136)</f>
        <v>37947.1</v>
      </c>
      <c r="T136" s="1246">
        <v>0.67</v>
      </c>
      <c r="U136" s="1243">
        <f t="shared" si="38"/>
        <v>45834120.131750003</v>
      </c>
      <c r="V136" s="1244"/>
      <c r="W136" s="1245">
        <f t="shared" si="40"/>
        <v>0</v>
      </c>
      <c r="X136" s="1245"/>
      <c r="Y136" s="1245"/>
      <c r="Z136" s="1245">
        <f t="shared" si="41"/>
        <v>45834120.131750003</v>
      </c>
      <c r="AA136" s="497"/>
      <c r="AB136" s="258"/>
      <c r="AC136" s="259"/>
      <c r="AD136" s="227">
        <f t="shared" si="49"/>
        <v>0</v>
      </c>
      <c r="AE136" s="1250"/>
      <c r="AF136" s="1254"/>
      <c r="AG136" s="1254"/>
      <c r="AH136" s="1251"/>
      <c r="AI136" s="1254"/>
      <c r="AJ136" s="1254"/>
      <c r="AK136" s="1254">
        <f t="shared" si="53"/>
        <v>0</v>
      </c>
      <c r="AM136" s="227">
        <f t="shared" si="42"/>
        <v>45834120.131750003</v>
      </c>
      <c r="AP136" s="227">
        <f t="shared" si="43"/>
        <v>1008350.6428985</v>
      </c>
      <c r="AQ136" s="223">
        <f t="shared" ref="AQ136:AQ157" si="86">+AM136*$AQ$5</f>
        <v>2062535.4059287501</v>
      </c>
      <c r="AS136" s="227">
        <f t="shared" ref="AS136:AS162" si="87">+(D136/$AS$4)*$AS$2*$AS$3*$AS$1</f>
        <v>4131843.3161754748</v>
      </c>
      <c r="AU136" s="223">
        <f t="shared" ref="AU136:AU157" si="88">+AM136+AP136+AQ136+AS136</f>
        <v>53036849.496752732</v>
      </c>
      <c r="AW136" s="227">
        <f t="shared" ref="AW136:AW162" si="89">+(D136/$G$6)*$AW$2*$AW$3</f>
        <v>0</v>
      </c>
      <c r="AY136" s="54"/>
      <c r="AZ136" s="54">
        <v>7472864</v>
      </c>
      <c r="BA136" s="54"/>
    </row>
    <row r="137" spans="2:53">
      <c r="B137" s="225" t="s">
        <v>65</v>
      </c>
      <c r="C137" s="602">
        <v>98</v>
      </c>
      <c r="D137" s="226">
        <f>+'INPUT VOL'!J108</f>
        <v>4482.9000000000005</v>
      </c>
      <c r="E137" s="229"/>
      <c r="F137" s="229"/>
      <c r="G137" s="229">
        <f>+D137/$G$6</f>
        <v>4500</v>
      </c>
      <c r="H137" s="229"/>
      <c r="I137" s="229"/>
      <c r="J137" s="229"/>
      <c r="K137" s="229"/>
      <c r="L137" s="229"/>
      <c r="M137" s="229"/>
      <c r="N137" s="229"/>
      <c r="O137" s="229"/>
      <c r="P137" s="224"/>
      <c r="Q137" s="253"/>
      <c r="R137" s="227">
        <f t="shared" si="37"/>
        <v>5435291.25</v>
      </c>
      <c r="S137" s="1241">
        <f t="shared" si="85"/>
        <v>4500</v>
      </c>
      <c r="T137" s="1246">
        <v>0.67</v>
      </c>
      <c r="U137" s="1243">
        <f t="shared" si="38"/>
        <v>5435291.25</v>
      </c>
      <c r="V137" s="1244"/>
      <c r="W137" s="1245">
        <f t="shared" si="40"/>
        <v>0</v>
      </c>
      <c r="X137" s="1245"/>
      <c r="Y137" s="1245"/>
      <c r="Z137" s="1245">
        <f t="shared" si="41"/>
        <v>5435291.25</v>
      </c>
      <c r="AA137" s="497"/>
      <c r="AB137" s="258"/>
      <c r="AC137" s="259"/>
      <c r="AD137" s="227">
        <f t="shared" si="49"/>
        <v>0</v>
      </c>
      <c r="AE137" s="1250"/>
      <c r="AF137" s="1254"/>
      <c r="AG137" s="1254"/>
      <c r="AH137" s="1251"/>
      <c r="AI137" s="1254"/>
      <c r="AJ137" s="1254"/>
      <c r="AK137" s="1254">
        <f t="shared" si="53"/>
        <v>0</v>
      </c>
      <c r="AM137" s="227">
        <f t="shared" si="42"/>
        <v>5435291.25</v>
      </c>
      <c r="AP137" s="227">
        <f t="shared" si="43"/>
        <v>119576.40749999999</v>
      </c>
      <c r="AQ137" s="223">
        <f t="shared" si="86"/>
        <v>244588.10624999998</v>
      </c>
      <c r="AS137" s="227">
        <f t="shared" si="87"/>
        <v>489979.33762499999</v>
      </c>
      <c r="AU137" s="223">
        <f t="shared" si="88"/>
        <v>6289435.1013749996</v>
      </c>
      <c r="AW137" s="227">
        <f t="shared" si="89"/>
        <v>0</v>
      </c>
      <c r="AY137" s="54"/>
      <c r="AZ137" s="54">
        <v>4297590</v>
      </c>
      <c r="BA137" s="54"/>
    </row>
    <row r="138" spans="2:53">
      <c r="B138" s="225" t="s">
        <v>66</v>
      </c>
      <c r="C138" s="602">
        <v>98</v>
      </c>
      <c r="D138" s="226">
        <f>+'INPUT VOL'!J109</f>
        <v>4682.1400000000003</v>
      </c>
      <c r="E138" s="229"/>
      <c r="F138" s="229"/>
      <c r="G138" s="229">
        <f t="shared" ref="G138:G157" si="90">+D138/$G$6</f>
        <v>4700</v>
      </c>
      <c r="H138" s="229"/>
      <c r="I138" s="229"/>
      <c r="J138" s="229"/>
      <c r="K138" s="229"/>
      <c r="L138" s="229"/>
      <c r="M138" s="229"/>
      <c r="N138" s="229"/>
      <c r="O138" s="229"/>
      <c r="P138" s="224"/>
      <c r="Q138" s="253"/>
      <c r="R138" s="227">
        <f t="shared" ref="R138:R190" si="91">+Z138</f>
        <v>5676859.75</v>
      </c>
      <c r="S138" s="1241">
        <f t="shared" si="85"/>
        <v>4700</v>
      </c>
      <c r="T138" s="1246">
        <v>0.67</v>
      </c>
      <c r="U138" s="1243">
        <f t="shared" ref="U138:U184" si="92">+S138*T138*$U$3</f>
        <v>5676859.75</v>
      </c>
      <c r="V138" s="1244"/>
      <c r="W138" s="1245">
        <f t="shared" ref="W138:W184" si="93">+$W$7*V138</f>
        <v>0</v>
      </c>
      <c r="X138" s="1245"/>
      <c r="Y138" s="1245"/>
      <c r="Z138" s="1245">
        <f t="shared" ref="Z138:Z187" si="94">+U138+W138+X138+Y138</f>
        <v>5676859.75</v>
      </c>
      <c r="AA138" s="497"/>
      <c r="AB138" s="258"/>
      <c r="AC138" s="259"/>
      <c r="AD138" s="227">
        <f t="shared" si="49"/>
        <v>0</v>
      </c>
      <c r="AE138" s="1250"/>
      <c r="AF138" s="1254"/>
      <c r="AG138" s="1254"/>
      <c r="AH138" s="1251"/>
      <c r="AI138" s="1254"/>
      <c r="AJ138" s="1254"/>
      <c r="AK138" s="1254">
        <f t="shared" si="53"/>
        <v>0</v>
      </c>
      <c r="AM138" s="227">
        <f t="shared" ref="AM138:AM191" si="95">+R138+AD138</f>
        <v>5676859.75</v>
      </c>
      <c r="AP138" s="227">
        <f t="shared" ref="AP138:AP191" si="96">+AM138*$AP$5</f>
        <v>124890.9145</v>
      </c>
      <c r="AQ138" s="223">
        <f t="shared" si="86"/>
        <v>255458.68875</v>
      </c>
      <c r="AS138" s="227">
        <f t="shared" si="87"/>
        <v>511756.19707500009</v>
      </c>
      <c r="AU138" s="223">
        <f t="shared" si="88"/>
        <v>6568965.5503249997</v>
      </c>
      <c r="AW138" s="227">
        <f t="shared" si="89"/>
        <v>0</v>
      </c>
      <c r="AY138" s="54"/>
      <c r="AZ138" s="54">
        <v>6495082</v>
      </c>
      <c r="BA138" s="54"/>
    </row>
    <row r="139" spans="2:53">
      <c r="B139" s="225" t="s">
        <v>67</v>
      </c>
      <c r="C139" s="602">
        <v>98</v>
      </c>
      <c r="D139" s="226">
        <f>+'INPUT VOL'!J110</f>
        <v>0</v>
      </c>
      <c r="E139" s="229"/>
      <c r="F139" s="229"/>
      <c r="G139" s="229">
        <f t="shared" si="90"/>
        <v>0</v>
      </c>
      <c r="H139" s="229"/>
      <c r="I139" s="229"/>
      <c r="J139" s="229"/>
      <c r="K139" s="229"/>
      <c r="L139" s="229"/>
      <c r="M139" s="229"/>
      <c r="N139" s="229"/>
      <c r="O139" s="229"/>
      <c r="P139" s="224"/>
      <c r="Q139" s="253"/>
      <c r="R139" s="227">
        <f t="shared" si="91"/>
        <v>0</v>
      </c>
      <c r="S139" s="1241">
        <f t="shared" si="85"/>
        <v>0</v>
      </c>
      <c r="T139" s="1246">
        <v>0.67</v>
      </c>
      <c r="U139" s="1243">
        <f t="shared" si="92"/>
        <v>0</v>
      </c>
      <c r="V139" s="1244"/>
      <c r="W139" s="1245">
        <f t="shared" si="93"/>
        <v>0</v>
      </c>
      <c r="X139" s="1245"/>
      <c r="Y139" s="1245"/>
      <c r="Z139" s="1245">
        <f t="shared" si="94"/>
        <v>0</v>
      </c>
      <c r="AA139" s="497"/>
      <c r="AB139" s="258"/>
      <c r="AC139" s="259"/>
      <c r="AD139" s="227">
        <f t="shared" si="49"/>
        <v>0</v>
      </c>
      <c r="AE139" s="1250"/>
      <c r="AF139" s="1254"/>
      <c r="AG139" s="1254"/>
      <c r="AH139" s="1251"/>
      <c r="AI139" s="1254"/>
      <c r="AJ139" s="1254"/>
      <c r="AK139" s="1254">
        <f t="shared" si="53"/>
        <v>0</v>
      </c>
      <c r="AM139" s="227">
        <f t="shared" si="95"/>
        <v>0</v>
      </c>
      <c r="AP139" s="227">
        <f t="shared" si="96"/>
        <v>0</v>
      </c>
      <c r="AQ139" s="223">
        <f t="shared" si="86"/>
        <v>0</v>
      </c>
      <c r="AS139" s="227">
        <f t="shared" si="87"/>
        <v>0</v>
      </c>
      <c r="AU139" s="223">
        <f t="shared" si="88"/>
        <v>0</v>
      </c>
      <c r="AW139" s="227">
        <f t="shared" si="89"/>
        <v>0</v>
      </c>
      <c r="AY139" s="54"/>
      <c r="AZ139" s="54">
        <v>16442896</v>
      </c>
      <c r="BA139" s="54"/>
    </row>
    <row r="140" spans="2:53">
      <c r="B140" s="225" t="s">
        <v>68</v>
      </c>
      <c r="C140" s="602">
        <v>98</v>
      </c>
      <c r="D140" s="226">
        <f>+'INPUT VOL'!J111</f>
        <v>684.84794153870223</v>
      </c>
      <c r="E140" s="229"/>
      <c r="F140" s="229"/>
      <c r="G140" s="229">
        <f t="shared" si="90"/>
        <v>687.4602906431461</v>
      </c>
      <c r="H140" s="229"/>
      <c r="I140" s="229"/>
      <c r="J140" s="229"/>
      <c r="K140" s="229"/>
      <c r="L140" s="229"/>
      <c r="M140" s="229"/>
      <c r="N140" s="229"/>
      <c r="O140" s="229"/>
      <c r="P140" s="224"/>
      <c r="Q140" s="253"/>
      <c r="R140" s="227">
        <f t="shared" si="91"/>
        <v>830343.75610114424</v>
      </c>
      <c r="S140" s="1241">
        <f t="shared" si="85"/>
        <v>687.4602906431461</v>
      </c>
      <c r="T140" s="1246">
        <v>0.67</v>
      </c>
      <c r="U140" s="1243">
        <f t="shared" si="92"/>
        <v>830343.75610114424</v>
      </c>
      <c r="V140" s="1244"/>
      <c r="W140" s="1245">
        <f t="shared" si="93"/>
        <v>0</v>
      </c>
      <c r="X140" s="1245"/>
      <c r="Y140" s="1245"/>
      <c r="Z140" s="1245">
        <f t="shared" si="94"/>
        <v>830343.75610114424</v>
      </c>
      <c r="AA140" s="497"/>
      <c r="AB140" s="258"/>
      <c r="AC140" s="259"/>
      <c r="AD140" s="227">
        <f t="shared" si="49"/>
        <v>0</v>
      </c>
      <c r="AE140" s="1250"/>
      <c r="AF140" s="1254"/>
      <c r="AG140" s="1254"/>
      <c r="AH140" s="1251"/>
      <c r="AI140" s="1254"/>
      <c r="AJ140" s="1254"/>
      <c r="AK140" s="1254">
        <f t="shared" si="53"/>
        <v>0</v>
      </c>
      <c r="AM140" s="227">
        <f t="shared" si="95"/>
        <v>830343.75610114424</v>
      </c>
      <c r="AP140" s="227">
        <f t="shared" si="96"/>
        <v>18267.562634225171</v>
      </c>
      <c r="AQ140" s="223">
        <f t="shared" si="86"/>
        <v>37365.469024551487</v>
      </c>
      <c r="AS140" s="227">
        <f t="shared" si="87"/>
        <v>74853.630633959721</v>
      </c>
      <c r="AU140" s="223">
        <f t="shared" si="88"/>
        <v>960830.41839388059</v>
      </c>
      <c r="AW140" s="227">
        <f t="shared" si="89"/>
        <v>0</v>
      </c>
      <c r="AY140" s="54"/>
      <c r="AZ140" s="54">
        <v>2686857</v>
      </c>
      <c r="BA140" s="54"/>
    </row>
    <row r="141" spans="2:53">
      <c r="B141" s="225" t="s">
        <v>69</v>
      </c>
      <c r="C141" s="602">
        <v>98</v>
      </c>
      <c r="D141" s="226">
        <f>+'INPUT VOL'!J112</f>
        <v>7139.7864734615387</v>
      </c>
      <c r="E141" s="229"/>
      <c r="F141" s="229"/>
      <c r="G141" s="229">
        <f t="shared" si="90"/>
        <v>7167.0211538461535</v>
      </c>
      <c r="H141" s="229"/>
      <c r="I141" s="229"/>
      <c r="J141" s="229"/>
      <c r="K141" s="229"/>
      <c r="L141" s="229"/>
      <c r="M141" s="229"/>
      <c r="N141" s="229"/>
      <c r="O141" s="229"/>
      <c r="P141" s="224"/>
      <c r="Q141" s="253"/>
      <c r="R141" s="227">
        <f t="shared" si="91"/>
        <v>8656632.748014424</v>
      </c>
      <c r="S141" s="1241">
        <f t="shared" si="85"/>
        <v>7167.0211538461535</v>
      </c>
      <c r="T141" s="1246">
        <v>0.67</v>
      </c>
      <c r="U141" s="1243">
        <f t="shared" si="92"/>
        <v>8656632.748014424</v>
      </c>
      <c r="V141" s="1244"/>
      <c r="W141" s="1245">
        <f t="shared" si="93"/>
        <v>0</v>
      </c>
      <c r="X141" s="1245"/>
      <c r="Y141" s="1245"/>
      <c r="Z141" s="1245">
        <f t="shared" si="94"/>
        <v>8656632.748014424</v>
      </c>
      <c r="AA141" s="497"/>
      <c r="AB141" s="258"/>
      <c r="AC141" s="259"/>
      <c r="AD141" s="227">
        <f t="shared" si="49"/>
        <v>0</v>
      </c>
      <c r="AE141" s="1250"/>
      <c r="AF141" s="1254"/>
      <c r="AG141" s="1254"/>
      <c r="AH141" s="1251"/>
      <c r="AI141" s="1254"/>
      <c r="AJ141" s="1254"/>
      <c r="AK141" s="1254">
        <f t="shared" si="53"/>
        <v>0</v>
      </c>
      <c r="AM141" s="227">
        <f t="shared" si="95"/>
        <v>8656632.748014424</v>
      </c>
      <c r="AP141" s="227">
        <f t="shared" si="96"/>
        <v>190445.92045631731</v>
      </c>
      <c r="AQ141" s="223">
        <f t="shared" si="86"/>
        <v>389548.47366064909</v>
      </c>
      <c r="AS141" s="227">
        <f t="shared" si="87"/>
        <v>780376.06171242276</v>
      </c>
      <c r="AU141" s="223">
        <f t="shared" si="88"/>
        <v>10017003.203843815</v>
      </c>
      <c r="AW141" s="227">
        <f t="shared" si="89"/>
        <v>0</v>
      </c>
      <c r="AY141" s="54"/>
      <c r="AZ141" s="54">
        <v>22275323</v>
      </c>
      <c r="BA141" s="54"/>
    </row>
    <row r="142" spans="2:53">
      <c r="B142" s="225" t="s">
        <v>70</v>
      </c>
      <c r="C142" s="602">
        <v>98</v>
      </c>
      <c r="D142" s="226">
        <f>+'INPUT VOL'!J113</f>
        <v>90.654200000000003</v>
      </c>
      <c r="E142" s="229"/>
      <c r="F142" s="229"/>
      <c r="G142" s="229">
        <f t="shared" si="90"/>
        <v>91</v>
      </c>
      <c r="H142" s="229"/>
      <c r="I142" s="229"/>
      <c r="J142" s="229"/>
      <c r="K142" s="229"/>
      <c r="L142" s="229"/>
      <c r="M142" s="229"/>
      <c r="N142" s="229"/>
      <c r="O142" s="229"/>
      <c r="P142" s="224"/>
      <c r="Q142" s="253"/>
      <c r="R142" s="227">
        <f t="shared" si="91"/>
        <v>109913.66750000001</v>
      </c>
      <c r="S142" s="1241">
        <f t="shared" si="85"/>
        <v>91</v>
      </c>
      <c r="T142" s="1246">
        <v>0.67</v>
      </c>
      <c r="U142" s="1243">
        <f t="shared" si="92"/>
        <v>109913.66750000001</v>
      </c>
      <c r="V142" s="1244"/>
      <c r="W142" s="1245">
        <f t="shared" si="93"/>
        <v>0</v>
      </c>
      <c r="X142" s="1245"/>
      <c r="Y142" s="1245"/>
      <c r="Z142" s="1245">
        <f t="shared" si="94"/>
        <v>109913.66750000001</v>
      </c>
      <c r="AA142" s="497"/>
      <c r="AB142" s="258"/>
      <c r="AC142" s="259"/>
      <c r="AD142" s="227">
        <f t="shared" si="49"/>
        <v>0</v>
      </c>
      <c r="AE142" s="1250"/>
      <c r="AF142" s="1254"/>
      <c r="AG142" s="1254"/>
      <c r="AH142" s="1251"/>
      <c r="AI142" s="1254"/>
      <c r="AJ142" s="1254"/>
      <c r="AK142" s="1254">
        <f t="shared" si="53"/>
        <v>0</v>
      </c>
      <c r="AM142" s="227">
        <f t="shared" si="95"/>
        <v>109913.66750000001</v>
      </c>
      <c r="AP142" s="227">
        <f t="shared" si="96"/>
        <v>2418.1006849999999</v>
      </c>
      <c r="AQ142" s="223">
        <f t="shared" si="86"/>
        <v>4946.1150375000007</v>
      </c>
      <c r="AS142" s="227">
        <f t="shared" si="87"/>
        <v>9908.47104975</v>
      </c>
      <c r="AU142" s="223">
        <f t="shared" si="88"/>
        <v>127186.35427225001</v>
      </c>
      <c r="AW142" s="227">
        <f t="shared" si="89"/>
        <v>0</v>
      </c>
      <c r="AY142" s="54"/>
      <c r="AZ142" s="54">
        <v>3608194</v>
      </c>
      <c r="BA142" s="54"/>
    </row>
    <row r="143" spans="2:53">
      <c r="B143" s="225" t="s">
        <v>71</v>
      </c>
      <c r="C143" s="602">
        <v>98</v>
      </c>
      <c r="D143" s="226">
        <f>+'INPUT VOL'!J114</f>
        <v>2667.9251357692297</v>
      </c>
      <c r="E143" s="229"/>
      <c r="F143" s="229"/>
      <c r="G143" s="229">
        <f t="shared" si="90"/>
        <v>2678.1019230769216</v>
      </c>
      <c r="H143" s="229"/>
      <c r="I143" s="229"/>
      <c r="J143" s="229"/>
      <c r="K143" s="229"/>
      <c r="L143" s="229"/>
      <c r="M143" s="229"/>
      <c r="N143" s="229"/>
      <c r="O143" s="229"/>
      <c r="P143" s="224"/>
      <c r="Q143" s="253"/>
      <c r="R143" s="227">
        <f t="shared" si="91"/>
        <v>3234725.3220240367</v>
      </c>
      <c r="S143" s="1241">
        <f t="shared" si="85"/>
        <v>2678.1019230769216</v>
      </c>
      <c r="T143" s="1246">
        <v>0.67</v>
      </c>
      <c r="U143" s="1243">
        <f t="shared" si="92"/>
        <v>3234725.3220240367</v>
      </c>
      <c r="V143" s="1244"/>
      <c r="W143" s="1245">
        <f t="shared" si="93"/>
        <v>0</v>
      </c>
      <c r="X143" s="1245"/>
      <c r="Y143" s="1245"/>
      <c r="Z143" s="1245">
        <f t="shared" si="94"/>
        <v>3234725.3220240367</v>
      </c>
      <c r="AA143" s="497"/>
      <c r="AB143" s="258"/>
      <c r="AC143" s="259"/>
      <c r="AD143" s="227">
        <f t="shared" si="49"/>
        <v>0</v>
      </c>
      <c r="AE143" s="1250"/>
      <c r="AF143" s="1254"/>
      <c r="AG143" s="1254"/>
      <c r="AH143" s="1251"/>
      <c r="AI143" s="1254"/>
      <c r="AJ143" s="1254"/>
      <c r="AK143" s="1254">
        <f t="shared" si="53"/>
        <v>0</v>
      </c>
      <c r="AM143" s="227">
        <f t="shared" si="95"/>
        <v>3234725.3220240367</v>
      </c>
      <c r="AP143" s="227">
        <f t="shared" si="96"/>
        <v>71163.957084528796</v>
      </c>
      <c r="AQ143" s="223">
        <f t="shared" si="86"/>
        <v>145562.63949108165</v>
      </c>
      <c r="AS143" s="227">
        <f t="shared" si="87"/>
        <v>291603.2458581042</v>
      </c>
      <c r="AU143" s="223">
        <f t="shared" si="88"/>
        <v>3743055.1644577514</v>
      </c>
      <c r="AW143" s="227">
        <f t="shared" si="89"/>
        <v>0</v>
      </c>
      <c r="AY143" s="54"/>
      <c r="AZ143" s="54">
        <v>4283561</v>
      </c>
      <c r="BA143" s="54"/>
    </row>
    <row r="144" spans="2:53">
      <c r="B144" s="225" t="s">
        <v>72</v>
      </c>
      <c r="C144" s="602">
        <v>98</v>
      </c>
      <c r="D144" s="226">
        <f>+'INPUT VOL'!J115</f>
        <v>0</v>
      </c>
      <c r="E144" s="229"/>
      <c r="F144" s="229"/>
      <c r="G144" s="229">
        <f t="shared" si="90"/>
        <v>0</v>
      </c>
      <c r="H144" s="229"/>
      <c r="I144" s="229"/>
      <c r="J144" s="229"/>
      <c r="K144" s="229"/>
      <c r="L144" s="229"/>
      <c r="M144" s="229"/>
      <c r="N144" s="229"/>
      <c r="O144" s="229"/>
      <c r="P144" s="224"/>
      <c r="Q144" s="253"/>
      <c r="R144" s="227">
        <f t="shared" si="91"/>
        <v>0</v>
      </c>
      <c r="S144" s="1241">
        <f t="shared" si="85"/>
        <v>0</v>
      </c>
      <c r="T144" s="1246">
        <v>0.67</v>
      </c>
      <c r="U144" s="1243">
        <f t="shared" si="92"/>
        <v>0</v>
      </c>
      <c r="V144" s="1244"/>
      <c r="W144" s="1245">
        <f t="shared" si="93"/>
        <v>0</v>
      </c>
      <c r="X144" s="1245"/>
      <c r="Y144" s="1245"/>
      <c r="Z144" s="1245">
        <f t="shared" si="94"/>
        <v>0</v>
      </c>
      <c r="AA144" s="497"/>
      <c r="AB144" s="258"/>
      <c r="AC144" s="259"/>
      <c r="AD144" s="227">
        <f t="shared" si="49"/>
        <v>0</v>
      </c>
      <c r="AE144" s="1250"/>
      <c r="AF144" s="1254"/>
      <c r="AG144" s="1254"/>
      <c r="AH144" s="1251"/>
      <c r="AI144" s="1254"/>
      <c r="AJ144" s="1254"/>
      <c r="AK144" s="1254">
        <f t="shared" si="53"/>
        <v>0</v>
      </c>
      <c r="AM144" s="227">
        <f t="shared" si="95"/>
        <v>0</v>
      </c>
      <c r="AP144" s="227">
        <f t="shared" si="96"/>
        <v>0</v>
      </c>
      <c r="AQ144" s="223">
        <f t="shared" si="86"/>
        <v>0</v>
      </c>
      <c r="AS144" s="227">
        <f t="shared" si="87"/>
        <v>0</v>
      </c>
      <c r="AU144" s="223">
        <f t="shared" si="88"/>
        <v>0</v>
      </c>
      <c r="AW144" s="227">
        <f t="shared" si="89"/>
        <v>0</v>
      </c>
      <c r="AY144" s="54"/>
      <c r="AZ144" s="54">
        <v>11833841</v>
      </c>
      <c r="BA144" s="54"/>
    </row>
    <row r="145" spans="2:53">
      <c r="B145" s="225" t="s">
        <v>73</v>
      </c>
      <c r="C145" s="602">
        <v>98</v>
      </c>
      <c r="D145" s="226">
        <f>+'INPUT VOL'!J116</f>
        <v>293.87900000000002</v>
      </c>
      <c r="E145" s="229"/>
      <c r="F145" s="229"/>
      <c r="G145" s="229">
        <f t="shared" si="90"/>
        <v>295</v>
      </c>
      <c r="H145" s="229"/>
      <c r="I145" s="229"/>
      <c r="J145" s="229"/>
      <c r="K145" s="229"/>
      <c r="L145" s="229"/>
      <c r="M145" s="229"/>
      <c r="N145" s="229"/>
      <c r="O145" s="229"/>
      <c r="P145" s="224"/>
      <c r="Q145" s="253"/>
      <c r="R145" s="227">
        <f t="shared" si="91"/>
        <v>356313.53750000003</v>
      </c>
      <c r="S145" s="1241">
        <f t="shared" si="85"/>
        <v>295</v>
      </c>
      <c r="T145" s="1246">
        <v>0.67</v>
      </c>
      <c r="U145" s="1243">
        <f t="shared" si="92"/>
        <v>356313.53750000003</v>
      </c>
      <c r="V145" s="1244"/>
      <c r="W145" s="1245">
        <f t="shared" si="93"/>
        <v>0</v>
      </c>
      <c r="X145" s="1245"/>
      <c r="Y145" s="1245"/>
      <c r="Z145" s="1245">
        <f t="shared" si="94"/>
        <v>356313.53750000003</v>
      </c>
      <c r="AA145" s="497"/>
      <c r="AB145" s="258"/>
      <c r="AC145" s="259"/>
      <c r="AD145" s="227">
        <f t="shared" si="49"/>
        <v>0</v>
      </c>
      <c r="AE145" s="1250"/>
      <c r="AF145" s="1254"/>
      <c r="AG145" s="1254"/>
      <c r="AH145" s="1251"/>
      <c r="AI145" s="1254"/>
      <c r="AJ145" s="1254"/>
      <c r="AK145" s="1254">
        <f t="shared" si="53"/>
        <v>0</v>
      </c>
      <c r="AM145" s="227">
        <f t="shared" si="95"/>
        <v>356313.53750000003</v>
      </c>
      <c r="AP145" s="227">
        <f t="shared" si="96"/>
        <v>7838.897825</v>
      </c>
      <c r="AQ145" s="223">
        <f t="shared" si="86"/>
        <v>16034.1091875</v>
      </c>
      <c r="AS145" s="227">
        <f t="shared" si="87"/>
        <v>32120.867688750001</v>
      </c>
      <c r="AU145" s="223">
        <f t="shared" si="88"/>
        <v>412307.41220125003</v>
      </c>
      <c r="AW145" s="227">
        <f t="shared" si="89"/>
        <v>0</v>
      </c>
      <c r="AY145" s="54"/>
      <c r="AZ145" s="54">
        <v>216376</v>
      </c>
      <c r="BA145" s="54"/>
    </row>
    <row r="146" spans="2:53">
      <c r="B146" s="493" t="s">
        <v>536</v>
      </c>
      <c r="C146" s="602">
        <v>98</v>
      </c>
      <c r="D146" s="226">
        <f>+'INPUT VOL'!J117</f>
        <v>5977.2000000000007</v>
      </c>
      <c r="E146" s="229"/>
      <c r="F146" s="229"/>
      <c r="G146" s="229">
        <f t="shared" si="90"/>
        <v>6000</v>
      </c>
      <c r="H146" s="229"/>
      <c r="I146" s="229"/>
      <c r="J146" s="229"/>
      <c r="K146" s="229"/>
      <c r="L146" s="229"/>
      <c r="M146" s="229"/>
      <c r="N146" s="229"/>
      <c r="O146" s="229"/>
      <c r="P146" s="224"/>
      <c r="Q146" s="253"/>
      <c r="R146" s="227">
        <f t="shared" si="91"/>
        <v>7247055.0000000009</v>
      </c>
      <c r="S146" s="1241">
        <f t="shared" si="85"/>
        <v>6000</v>
      </c>
      <c r="T146" s="1246">
        <v>0.67</v>
      </c>
      <c r="U146" s="1243">
        <f t="shared" si="92"/>
        <v>7247055.0000000009</v>
      </c>
      <c r="V146" s="1244"/>
      <c r="W146" s="1245">
        <f t="shared" si="93"/>
        <v>0</v>
      </c>
      <c r="X146" s="1245"/>
      <c r="Y146" s="1245"/>
      <c r="Z146" s="1245">
        <f t="shared" si="94"/>
        <v>7247055.0000000009</v>
      </c>
      <c r="AA146" s="497"/>
      <c r="AB146" s="258"/>
      <c r="AC146" s="259"/>
      <c r="AD146" s="227">
        <f t="shared" si="49"/>
        <v>0</v>
      </c>
      <c r="AE146" s="1250"/>
      <c r="AF146" s="1254"/>
      <c r="AG146" s="1254"/>
      <c r="AH146" s="1251"/>
      <c r="AI146" s="1254"/>
      <c r="AJ146" s="1254"/>
      <c r="AK146" s="1254">
        <f t="shared" si="53"/>
        <v>0</v>
      </c>
      <c r="AM146" s="227">
        <f t="shared" si="95"/>
        <v>7247055.0000000009</v>
      </c>
      <c r="AP146" s="227">
        <f t="shared" si="96"/>
        <v>159435.21000000002</v>
      </c>
      <c r="AQ146" s="223">
        <f t="shared" si="86"/>
        <v>326117.47500000003</v>
      </c>
      <c r="AS146" s="227">
        <f t="shared" si="87"/>
        <v>653305.78350000002</v>
      </c>
      <c r="AU146" s="223">
        <f t="shared" si="88"/>
        <v>8385913.4685000004</v>
      </c>
      <c r="AW146" s="227">
        <f t="shared" si="89"/>
        <v>0</v>
      </c>
      <c r="AY146" s="54"/>
      <c r="AZ146" s="54">
        <v>4399</v>
      </c>
      <c r="BA146" s="54"/>
    </row>
    <row r="147" spans="2:53">
      <c r="B147" s="654" t="s">
        <v>535</v>
      </c>
      <c r="C147" s="602">
        <v>99</v>
      </c>
      <c r="D147" s="226">
        <f>+'INPUT VOL'!D181</f>
        <v>44006.903383500015</v>
      </c>
      <c r="E147" s="229"/>
      <c r="F147" s="229"/>
      <c r="G147" s="229">
        <f t="shared" ref="G147" si="97">+D147/$G$6</f>
        <v>44174.767500000009</v>
      </c>
      <c r="H147" s="229"/>
      <c r="I147" s="229"/>
      <c r="J147" s="229"/>
      <c r="K147" s="229"/>
      <c r="L147" s="229"/>
      <c r="M147" s="229"/>
      <c r="N147" s="229"/>
      <c r="O147" s="229"/>
      <c r="P147" s="224"/>
      <c r="Q147" s="253"/>
      <c r="R147" s="227">
        <f t="shared" si="91"/>
        <v>53356161.614118762</v>
      </c>
      <c r="S147" s="1241">
        <f t="shared" si="85"/>
        <v>44174.767500000009</v>
      </c>
      <c r="T147" s="1246">
        <v>0.67</v>
      </c>
      <c r="U147" s="1243">
        <f t="shared" si="92"/>
        <v>53356161.614118762</v>
      </c>
      <c r="V147" s="1244"/>
      <c r="W147" s="1245">
        <f t="shared" si="93"/>
        <v>0</v>
      </c>
      <c r="X147" s="1245"/>
      <c r="Y147" s="1245"/>
      <c r="Z147" s="1245">
        <f t="shared" si="94"/>
        <v>53356161.614118762</v>
      </c>
      <c r="AA147" s="497"/>
      <c r="AB147" s="258"/>
      <c r="AC147" s="259"/>
      <c r="AD147" s="227">
        <f t="shared" ref="AD147:AD191" si="98">+AK147</f>
        <v>0</v>
      </c>
      <c r="AE147" s="1250"/>
      <c r="AF147" s="1254"/>
      <c r="AG147" s="1254"/>
      <c r="AH147" s="1251"/>
      <c r="AI147" s="1254"/>
      <c r="AJ147" s="1254"/>
      <c r="AK147" s="1254">
        <f t="shared" ref="AK147:AK191" si="99">+AG147+AI147+AJ147</f>
        <v>0</v>
      </c>
      <c r="AM147" s="227">
        <f t="shared" si="95"/>
        <v>53356161.614118762</v>
      </c>
      <c r="AP147" s="227">
        <f t="shared" si="96"/>
        <v>1173835.5555106127</v>
      </c>
      <c r="AQ147" s="223">
        <f t="shared" ref="AQ147" si="100">+AM147*$AQ$5</f>
        <v>2401027.2726353444</v>
      </c>
      <c r="AS147" s="227">
        <f t="shared" si="87"/>
        <v>4809938.5154196406</v>
      </c>
      <c r="AU147" s="223">
        <f t="shared" ref="AU147" si="101">+AM147+AP147+AQ147+AS147</f>
        <v>61740962.95768436</v>
      </c>
      <c r="AW147" s="227">
        <f t="shared" si="89"/>
        <v>0</v>
      </c>
      <c r="AY147" s="54"/>
      <c r="AZ147" s="54">
        <v>558962</v>
      </c>
      <c r="BA147" s="54"/>
    </row>
    <row r="148" spans="2:53">
      <c r="B148" s="225" t="s">
        <v>75</v>
      </c>
      <c r="C148" s="602">
        <v>98</v>
      </c>
      <c r="D148" s="226">
        <f>+'INPUT VOL'!J118</f>
        <v>0</v>
      </c>
      <c r="E148" s="229"/>
      <c r="F148" s="229"/>
      <c r="G148" s="229">
        <f t="shared" si="90"/>
        <v>0</v>
      </c>
      <c r="H148" s="229"/>
      <c r="I148" s="229"/>
      <c r="J148" s="229"/>
      <c r="K148" s="229"/>
      <c r="L148" s="229"/>
      <c r="M148" s="229"/>
      <c r="N148" s="229"/>
      <c r="O148" s="229"/>
      <c r="P148" s="224"/>
      <c r="Q148" s="253"/>
      <c r="R148" s="227">
        <f t="shared" si="91"/>
        <v>0</v>
      </c>
      <c r="S148" s="1241">
        <f t="shared" si="85"/>
        <v>0</v>
      </c>
      <c r="T148" s="1246">
        <v>0.67</v>
      </c>
      <c r="U148" s="1243">
        <f t="shared" si="92"/>
        <v>0</v>
      </c>
      <c r="V148" s="1244"/>
      <c r="W148" s="1245">
        <f t="shared" si="93"/>
        <v>0</v>
      </c>
      <c r="X148" s="1245"/>
      <c r="Y148" s="1245"/>
      <c r="Z148" s="1245">
        <f t="shared" si="94"/>
        <v>0</v>
      </c>
      <c r="AA148" s="497"/>
      <c r="AB148" s="258"/>
      <c r="AC148" s="259"/>
      <c r="AD148" s="227">
        <f t="shared" si="98"/>
        <v>0</v>
      </c>
      <c r="AE148" s="1250"/>
      <c r="AF148" s="1254"/>
      <c r="AG148" s="1254"/>
      <c r="AH148" s="1251"/>
      <c r="AI148" s="1254"/>
      <c r="AJ148" s="1254"/>
      <c r="AK148" s="1254">
        <f t="shared" si="99"/>
        <v>0</v>
      </c>
      <c r="AM148" s="227">
        <f t="shared" si="95"/>
        <v>0</v>
      </c>
      <c r="AP148" s="227">
        <f t="shared" si="96"/>
        <v>0</v>
      </c>
      <c r="AQ148" s="223">
        <f t="shared" si="86"/>
        <v>0</v>
      </c>
      <c r="AS148" s="227">
        <f t="shared" si="87"/>
        <v>0</v>
      </c>
      <c r="AU148" s="223">
        <f t="shared" si="88"/>
        <v>0</v>
      </c>
      <c r="AW148" s="227">
        <f t="shared" si="89"/>
        <v>0</v>
      </c>
      <c r="AY148" s="54"/>
      <c r="AZ148" s="54">
        <v>165280</v>
      </c>
      <c r="BA148" s="54"/>
    </row>
    <row r="149" spans="2:53">
      <c r="B149" s="225" t="s">
        <v>76</v>
      </c>
      <c r="C149" s="602">
        <v>98</v>
      </c>
      <c r="D149" s="226">
        <f>+'INPUT VOL'!J119</f>
        <v>20361.627203944823</v>
      </c>
      <c r="E149" s="229"/>
      <c r="F149" s="229"/>
      <c r="G149" s="229"/>
      <c r="H149" s="229">
        <f>+D149/G6</f>
        <v>20439.296530761716</v>
      </c>
      <c r="I149" s="229"/>
      <c r="J149" s="229"/>
      <c r="K149" s="229"/>
      <c r="L149" s="229"/>
      <c r="M149" s="229"/>
      <c r="N149" s="229"/>
      <c r="O149" s="229"/>
      <c r="P149" s="224"/>
      <c r="Q149" s="253"/>
      <c r="R149" s="227">
        <f t="shared" si="91"/>
        <v>0</v>
      </c>
      <c r="S149" s="1241"/>
      <c r="T149" s="1246">
        <v>0.67</v>
      </c>
      <c r="U149" s="1243">
        <f t="shared" si="92"/>
        <v>0</v>
      </c>
      <c r="V149" s="1244"/>
      <c r="W149" s="1245">
        <f t="shared" si="93"/>
        <v>0</v>
      </c>
      <c r="X149" s="1245"/>
      <c r="Y149" s="1245"/>
      <c r="Z149" s="1245">
        <f t="shared" si="94"/>
        <v>0</v>
      </c>
      <c r="AA149" s="497"/>
      <c r="AB149" s="258"/>
      <c r="AC149" s="259"/>
      <c r="AD149" s="227">
        <f t="shared" si="98"/>
        <v>16715534.721083403</v>
      </c>
      <c r="AE149" s="1250">
        <f>SUM(E149:O149)</f>
        <v>20439.296530761716</v>
      </c>
      <c r="AF149" s="1259">
        <v>0.65</v>
      </c>
      <c r="AG149" s="1252">
        <f>+AE149*AF149*$AF$3</f>
        <v>23950512.183539946</v>
      </c>
      <c r="AH149" s="1253">
        <f t="shared" ref="AH149" si="102">+AE149/$AE$192</f>
        <v>5.1175332419653247E-2</v>
      </c>
      <c r="AI149" s="1254">
        <f>+AH149*$AI$7</f>
        <v>-7234977.4624565439</v>
      </c>
      <c r="AJ149" s="1254"/>
      <c r="AK149" s="1254">
        <f t="shared" si="99"/>
        <v>16715534.721083403</v>
      </c>
      <c r="AM149" s="227">
        <f t="shared" si="95"/>
        <v>16715534.721083403</v>
      </c>
      <c r="AP149" s="227">
        <f t="shared" si="96"/>
        <v>367741.76386383484</v>
      </c>
      <c r="AQ149" s="223">
        <f t="shared" si="86"/>
        <v>752199.06244875304</v>
      </c>
      <c r="AS149" s="227">
        <f t="shared" si="87"/>
        <v>2225518.4390363526</v>
      </c>
      <c r="AU149" s="223">
        <f t="shared" si="88"/>
        <v>20060993.986432344</v>
      </c>
      <c r="AW149" s="227">
        <f t="shared" si="89"/>
        <v>0</v>
      </c>
      <c r="AY149" s="54"/>
      <c r="AZ149" s="54">
        <v>81036</v>
      </c>
      <c r="BA149" s="54"/>
    </row>
    <row r="150" spans="2:53">
      <c r="B150" s="493" t="s">
        <v>343</v>
      </c>
      <c r="C150" s="608">
        <v>99</v>
      </c>
      <c r="D150" s="226">
        <f>+'INPUT VOL'!J120</f>
        <v>0</v>
      </c>
      <c r="E150" s="229"/>
      <c r="F150" s="229"/>
      <c r="G150" s="229">
        <f t="shared" si="90"/>
        <v>0</v>
      </c>
      <c r="H150" s="229"/>
      <c r="I150" s="229"/>
      <c r="J150" s="229"/>
      <c r="K150" s="229"/>
      <c r="L150" s="229"/>
      <c r="M150" s="229"/>
      <c r="N150" s="229"/>
      <c r="O150" s="229"/>
      <c r="P150" s="224"/>
      <c r="Q150" s="253"/>
      <c r="R150" s="227">
        <f t="shared" si="91"/>
        <v>0</v>
      </c>
      <c r="S150" s="1241">
        <f t="shared" ref="S150:S162" si="103">SUM(E150:O150)</f>
        <v>0</v>
      </c>
      <c r="T150" s="1246">
        <v>0.67</v>
      </c>
      <c r="U150" s="1243">
        <f t="shared" si="92"/>
        <v>0</v>
      </c>
      <c r="V150" s="1244"/>
      <c r="W150" s="1245">
        <f t="shared" si="93"/>
        <v>0</v>
      </c>
      <c r="X150" s="1245"/>
      <c r="Y150" s="1245"/>
      <c r="Z150" s="1245">
        <f t="shared" si="94"/>
        <v>0</v>
      </c>
      <c r="AA150" s="497"/>
      <c r="AB150" s="258"/>
      <c r="AC150" s="259"/>
      <c r="AD150" s="227">
        <f t="shared" si="98"/>
        <v>0</v>
      </c>
      <c r="AE150" s="1250"/>
      <c r="AF150" s="1254"/>
      <c r="AG150" s="1254"/>
      <c r="AH150" s="1251"/>
      <c r="AI150" s="1254"/>
      <c r="AJ150" s="1254"/>
      <c r="AK150" s="1254">
        <f t="shared" si="99"/>
        <v>0</v>
      </c>
      <c r="AM150" s="227">
        <f t="shared" si="95"/>
        <v>0</v>
      </c>
      <c r="AP150" s="227">
        <f t="shared" si="96"/>
        <v>0</v>
      </c>
      <c r="AQ150" s="223">
        <f>+AM150*$AQ$5</f>
        <v>0</v>
      </c>
      <c r="AS150" s="227">
        <f t="shared" si="87"/>
        <v>0</v>
      </c>
      <c r="AU150" s="223">
        <f>+AM150+AP150+AQ150+AS150</f>
        <v>0</v>
      </c>
      <c r="AW150" s="227">
        <f t="shared" si="89"/>
        <v>0</v>
      </c>
      <c r="AY150" s="54"/>
      <c r="AZ150" s="54">
        <v>1329475</v>
      </c>
      <c r="BA150" s="54"/>
    </row>
    <row r="151" spans="2:53">
      <c r="B151" s="493" t="s">
        <v>389</v>
      </c>
      <c r="C151" s="608">
        <v>99</v>
      </c>
      <c r="D151" s="226">
        <f>+'INPUT VOL'!J121</f>
        <v>111.07286635515982</v>
      </c>
      <c r="E151" s="229"/>
      <c r="F151" s="229"/>
      <c r="G151" s="229">
        <f t="shared" si="90"/>
        <v>111.49655325753845</v>
      </c>
      <c r="H151" s="229"/>
      <c r="I151" s="229"/>
      <c r="J151" s="229"/>
      <c r="K151" s="229"/>
      <c r="L151" s="229"/>
      <c r="M151" s="229"/>
      <c r="N151" s="229"/>
      <c r="O151" s="229"/>
      <c r="P151" s="224"/>
      <c r="Q151" s="253"/>
      <c r="R151" s="227">
        <f t="shared" si="91"/>
        <v>134670.2756279684</v>
      </c>
      <c r="S151" s="1241">
        <f t="shared" si="103"/>
        <v>111.49655325753845</v>
      </c>
      <c r="T151" s="1246">
        <v>0.67</v>
      </c>
      <c r="U151" s="1243">
        <f t="shared" si="92"/>
        <v>134670.2756279684</v>
      </c>
      <c r="V151" s="1244"/>
      <c r="W151" s="1245">
        <f t="shared" si="93"/>
        <v>0</v>
      </c>
      <c r="X151" s="1245"/>
      <c r="Y151" s="1245"/>
      <c r="Z151" s="1245">
        <f t="shared" si="94"/>
        <v>134670.2756279684</v>
      </c>
      <c r="AA151" s="497"/>
      <c r="AB151" s="258"/>
      <c r="AC151" s="259"/>
      <c r="AD151" s="227">
        <f t="shared" si="98"/>
        <v>0</v>
      </c>
      <c r="AE151" s="1250"/>
      <c r="AF151" s="1254"/>
      <c r="AG151" s="1254"/>
      <c r="AH151" s="1251"/>
      <c r="AI151" s="1254"/>
      <c r="AJ151" s="1254"/>
      <c r="AK151" s="1254">
        <f t="shared" si="99"/>
        <v>0</v>
      </c>
      <c r="AM151" s="227">
        <f t="shared" si="95"/>
        <v>134670.2756279684</v>
      </c>
      <c r="AP151" s="227">
        <f t="shared" si="96"/>
        <v>2962.7460638153048</v>
      </c>
      <c r="AQ151" s="223">
        <f>+AM151*$AQ$5</f>
        <v>6060.1624032585778</v>
      </c>
      <c r="AS151" s="227">
        <f t="shared" si="87"/>
        <v>12140.223847244273</v>
      </c>
      <c r="AU151" s="223">
        <f>+AM151+AP151+AQ151+AS151</f>
        <v>155833.40794228658</v>
      </c>
      <c r="AW151" s="227">
        <f t="shared" si="89"/>
        <v>0</v>
      </c>
      <c r="AY151" s="54"/>
      <c r="AZ151" s="54">
        <v>499672</v>
      </c>
      <c r="BA151" s="54"/>
    </row>
    <row r="152" spans="2:53">
      <c r="B152" s="493" t="s">
        <v>413</v>
      </c>
      <c r="C152" s="608">
        <v>99</v>
      </c>
      <c r="D152" s="226">
        <f>+'INPUT VOL'!J122</f>
        <v>1.6249859677488263</v>
      </c>
      <c r="E152" s="229"/>
      <c r="F152" s="229"/>
      <c r="G152" s="229">
        <f t="shared" si="90"/>
        <v>1.6311844687300001</v>
      </c>
      <c r="H152" s="229"/>
      <c r="I152" s="229"/>
      <c r="J152" s="229"/>
      <c r="K152" s="229"/>
      <c r="L152" s="229"/>
      <c r="M152" s="229"/>
      <c r="N152" s="229"/>
      <c r="O152" s="229"/>
      <c r="P152" s="224"/>
      <c r="Q152" s="253"/>
      <c r="R152" s="227">
        <f t="shared" si="91"/>
        <v>1970.2139266720155</v>
      </c>
      <c r="S152" s="1241">
        <f t="shared" si="103"/>
        <v>1.6311844687300001</v>
      </c>
      <c r="T152" s="1246">
        <v>0.67</v>
      </c>
      <c r="U152" s="1243">
        <f t="shared" si="92"/>
        <v>1970.2139266720155</v>
      </c>
      <c r="V152" s="1244"/>
      <c r="W152" s="1245">
        <f t="shared" si="93"/>
        <v>0</v>
      </c>
      <c r="X152" s="1245"/>
      <c r="Y152" s="1245"/>
      <c r="Z152" s="1245">
        <f t="shared" si="94"/>
        <v>1970.2139266720155</v>
      </c>
      <c r="AA152" s="497"/>
      <c r="AB152" s="258"/>
      <c r="AC152" s="259"/>
      <c r="AD152" s="227">
        <f t="shared" si="98"/>
        <v>0</v>
      </c>
      <c r="AE152" s="1250"/>
      <c r="AF152" s="1254"/>
      <c r="AG152" s="1254"/>
      <c r="AH152" s="1251"/>
      <c r="AI152" s="1254"/>
      <c r="AJ152" s="1254"/>
      <c r="AK152" s="1254">
        <f t="shared" si="99"/>
        <v>0</v>
      </c>
      <c r="AM152" s="227">
        <f t="shared" si="95"/>
        <v>1970.2139266720155</v>
      </c>
      <c r="AP152" s="227">
        <f t="shared" si="96"/>
        <v>43.344706386784338</v>
      </c>
      <c r="AQ152" s="223">
        <f>+AM152*$AQ$5</f>
        <v>88.659626700240693</v>
      </c>
      <c r="AS152" s="227">
        <f t="shared" si="87"/>
        <v>177.61037456278066</v>
      </c>
      <c r="AU152" s="223">
        <f>+AM152+AP152+AQ152+AS152</f>
        <v>2279.828634321821</v>
      </c>
      <c r="AW152" s="227">
        <f t="shared" si="89"/>
        <v>0</v>
      </c>
      <c r="AY152" s="54"/>
      <c r="AZ152" s="54">
        <v>6747502</v>
      </c>
      <c r="BA152" s="54"/>
    </row>
    <row r="153" spans="2:53">
      <c r="B153" s="493" t="s">
        <v>414</v>
      </c>
      <c r="C153" s="608">
        <v>99</v>
      </c>
      <c r="D153" s="226">
        <f>+'INPUT VOL'!J123</f>
        <v>0</v>
      </c>
      <c r="E153" s="229"/>
      <c r="F153" s="229"/>
      <c r="G153" s="229">
        <f t="shared" si="90"/>
        <v>0</v>
      </c>
      <c r="H153" s="229"/>
      <c r="I153" s="229"/>
      <c r="J153" s="229"/>
      <c r="K153" s="229"/>
      <c r="L153" s="229"/>
      <c r="M153" s="229"/>
      <c r="N153" s="229"/>
      <c r="O153" s="229"/>
      <c r="P153" s="224"/>
      <c r="Q153" s="253"/>
      <c r="R153" s="227">
        <f t="shared" si="91"/>
        <v>0</v>
      </c>
      <c r="S153" s="1241">
        <f t="shared" si="103"/>
        <v>0</v>
      </c>
      <c r="T153" s="1246">
        <v>0.67</v>
      </c>
      <c r="U153" s="1243">
        <f t="shared" si="92"/>
        <v>0</v>
      </c>
      <c r="V153" s="1244"/>
      <c r="W153" s="1245">
        <f t="shared" si="93"/>
        <v>0</v>
      </c>
      <c r="X153" s="1245"/>
      <c r="Y153" s="1245"/>
      <c r="Z153" s="1245">
        <f t="shared" si="94"/>
        <v>0</v>
      </c>
      <c r="AA153" s="497"/>
      <c r="AB153" s="258"/>
      <c r="AC153" s="259"/>
      <c r="AD153" s="227">
        <f t="shared" si="98"/>
        <v>0</v>
      </c>
      <c r="AE153" s="1250"/>
      <c r="AF153" s="1254"/>
      <c r="AG153" s="1254"/>
      <c r="AH153" s="1251"/>
      <c r="AI153" s="1254"/>
      <c r="AJ153" s="1254"/>
      <c r="AK153" s="1254">
        <f t="shared" si="99"/>
        <v>0</v>
      </c>
      <c r="AM153" s="227">
        <f t="shared" si="95"/>
        <v>0</v>
      </c>
      <c r="AP153" s="227">
        <f t="shared" si="96"/>
        <v>0</v>
      </c>
      <c r="AQ153" s="223">
        <f>+AM153*$AQ$5</f>
        <v>0</v>
      </c>
      <c r="AS153" s="227">
        <f t="shared" si="87"/>
        <v>0</v>
      </c>
      <c r="AU153" s="223">
        <f>+AM153+AP153+AQ153+AS153</f>
        <v>0</v>
      </c>
      <c r="AW153" s="227">
        <f t="shared" si="89"/>
        <v>0</v>
      </c>
      <c r="AY153" s="54"/>
      <c r="AZ153" s="54">
        <v>1989809</v>
      </c>
      <c r="BA153" s="54"/>
    </row>
    <row r="154" spans="2:53">
      <c r="B154" s="225" t="s">
        <v>77</v>
      </c>
      <c r="C154" s="602">
        <v>99</v>
      </c>
      <c r="D154" s="226">
        <f>+'INPUT VOL'!J124</f>
        <v>0</v>
      </c>
      <c r="E154" s="229"/>
      <c r="F154" s="229"/>
      <c r="G154" s="229">
        <f t="shared" si="90"/>
        <v>0</v>
      </c>
      <c r="H154" s="229"/>
      <c r="I154" s="229"/>
      <c r="J154" s="229"/>
      <c r="K154" s="229"/>
      <c r="L154" s="229"/>
      <c r="M154" s="229"/>
      <c r="N154" s="229"/>
      <c r="O154" s="229"/>
      <c r="P154" s="224"/>
      <c r="Q154" s="253"/>
      <c r="R154" s="227">
        <f t="shared" si="91"/>
        <v>0</v>
      </c>
      <c r="S154" s="1241">
        <f t="shared" si="103"/>
        <v>0</v>
      </c>
      <c r="T154" s="1246">
        <v>0.67</v>
      </c>
      <c r="U154" s="1243">
        <f t="shared" si="92"/>
        <v>0</v>
      </c>
      <c r="V154" s="1244"/>
      <c r="W154" s="1245">
        <f t="shared" si="93"/>
        <v>0</v>
      </c>
      <c r="X154" s="1245"/>
      <c r="Y154" s="1245"/>
      <c r="Z154" s="1245">
        <f t="shared" si="94"/>
        <v>0</v>
      </c>
      <c r="AA154" s="497"/>
      <c r="AB154" s="258"/>
      <c r="AC154" s="259"/>
      <c r="AD154" s="227">
        <f t="shared" si="98"/>
        <v>0</v>
      </c>
      <c r="AE154" s="1250"/>
      <c r="AF154" s="1254"/>
      <c r="AG154" s="1254"/>
      <c r="AH154" s="1251"/>
      <c r="AI154" s="1254"/>
      <c r="AJ154" s="1254"/>
      <c r="AK154" s="1254">
        <f t="shared" si="99"/>
        <v>0</v>
      </c>
      <c r="AM154" s="227">
        <f t="shared" si="95"/>
        <v>0</v>
      </c>
      <c r="AP154" s="227">
        <f t="shared" si="96"/>
        <v>0</v>
      </c>
      <c r="AQ154" s="223">
        <f t="shared" si="86"/>
        <v>0</v>
      </c>
      <c r="AS154" s="227">
        <f t="shared" si="87"/>
        <v>0</v>
      </c>
      <c r="AU154" s="223">
        <f t="shared" si="88"/>
        <v>0</v>
      </c>
      <c r="AW154" s="227">
        <f t="shared" si="89"/>
        <v>0</v>
      </c>
      <c r="AY154" s="54"/>
      <c r="AZ154" s="54">
        <v>41858315</v>
      </c>
      <c r="BA154" s="54"/>
    </row>
    <row r="155" spans="2:53">
      <c r="B155" s="225" t="s">
        <v>78</v>
      </c>
      <c r="C155" s="602">
        <v>98</v>
      </c>
      <c r="D155" s="226">
        <f>+'INPUT VOL'!J125</f>
        <v>0</v>
      </c>
      <c r="E155" s="229"/>
      <c r="F155" s="229"/>
      <c r="G155" s="229">
        <f t="shared" si="90"/>
        <v>0</v>
      </c>
      <c r="H155" s="229"/>
      <c r="I155" s="229"/>
      <c r="J155" s="229"/>
      <c r="K155" s="229"/>
      <c r="L155" s="229"/>
      <c r="M155" s="229"/>
      <c r="N155" s="229"/>
      <c r="O155" s="229"/>
      <c r="P155" s="224"/>
      <c r="Q155" s="253"/>
      <c r="R155" s="227">
        <f t="shared" si="91"/>
        <v>0</v>
      </c>
      <c r="S155" s="1241">
        <f t="shared" si="103"/>
        <v>0</v>
      </c>
      <c r="T155" s="1246">
        <v>0.67</v>
      </c>
      <c r="U155" s="1243">
        <f t="shared" si="92"/>
        <v>0</v>
      </c>
      <c r="V155" s="1244"/>
      <c r="W155" s="1245">
        <f t="shared" si="93"/>
        <v>0</v>
      </c>
      <c r="X155" s="1245"/>
      <c r="Y155" s="1245"/>
      <c r="Z155" s="1245">
        <f t="shared" si="94"/>
        <v>0</v>
      </c>
      <c r="AA155" s="497"/>
      <c r="AB155" s="258"/>
      <c r="AC155" s="259"/>
      <c r="AD155" s="227">
        <f t="shared" si="98"/>
        <v>0</v>
      </c>
      <c r="AE155" s="1250"/>
      <c r="AF155" s="1254"/>
      <c r="AG155" s="1254"/>
      <c r="AH155" s="1251"/>
      <c r="AI155" s="1254"/>
      <c r="AJ155" s="1254"/>
      <c r="AK155" s="1254">
        <f t="shared" si="99"/>
        <v>0</v>
      </c>
      <c r="AM155" s="227">
        <f t="shared" si="95"/>
        <v>0</v>
      </c>
      <c r="AP155" s="227">
        <f t="shared" si="96"/>
        <v>0</v>
      </c>
      <c r="AQ155" s="223">
        <f t="shared" si="86"/>
        <v>0</v>
      </c>
      <c r="AS155" s="227">
        <f t="shared" si="87"/>
        <v>0</v>
      </c>
      <c r="AU155" s="223">
        <f t="shared" si="88"/>
        <v>0</v>
      </c>
      <c r="AW155" s="227">
        <f t="shared" si="89"/>
        <v>0</v>
      </c>
      <c r="AY155" s="54"/>
      <c r="AZ155" s="54">
        <v>29241513</v>
      </c>
      <c r="BA155" s="54"/>
    </row>
    <row r="156" spans="2:53">
      <c r="B156" s="225" t="s">
        <v>79</v>
      </c>
      <c r="C156" s="602">
        <v>98</v>
      </c>
      <c r="D156" s="226">
        <f>+'INPUT VOL'!J126</f>
        <v>7591.5065214285714</v>
      </c>
      <c r="E156" s="229"/>
      <c r="F156" s="229"/>
      <c r="G156" s="229">
        <f t="shared" si="90"/>
        <v>7620.4642857142853</v>
      </c>
      <c r="H156" s="229"/>
      <c r="I156" s="229"/>
      <c r="J156" s="229"/>
      <c r="K156" s="229"/>
      <c r="L156" s="229"/>
      <c r="M156" s="229"/>
      <c r="N156" s="229"/>
      <c r="O156" s="229"/>
      <c r="P156" s="224"/>
      <c r="Q156" s="253"/>
      <c r="R156" s="227">
        <f t="shared" si="91"/>
        <v>9204320.6340178587</v>
      </c>
      <c r="S156" s="1241">
        <f t="shared" si="103"/>
        <v>7620.4642857142853</v>
      </c>
      <c r="T156" s="1246">
        <v>0.67</v>
      </c>
      <c r="U156" s="1243">
        <f t="shared" si="92"/>
        <v>9204320.6340178587</v>
      </c>
      <c r="V156" s="1244"/>
      <c r="W156" s="1245">
        <f t="shared" si="93"/>
        <v>0</v>
      </c>
      <c r="X156" s="1245"/>
      <c r="Y156" s="1245"/>
      <c r="Z156" s="1245">
        <f t="shared" si="94"/>
        <v>9204320.6340178587</v>
      </c>
      <c r="AA156" s="497"/>
      <c r="AB156" s="258"/>
      <c r="AC156" s="259"/>
      <c r="AD156" s="227">
        <f t="shared" si="98"/>
        <v>0</v>
      </c>
      <c r="AE156" s="1250"/>
      <c r="AF156" s="1254"/>
      <c r="AG156" s="1254"/>
      <c r="AH156" s="1251"/>
      <c r="AI156" s="1254"/>
      <c r="AJ156" s="1254"/>
      <c r="AK156" s="1254">
        <f t="shared" si="99"/>
        <v>0</v>
      </c>
      <c r="AM156" s="227">
        <f t="shared" si="95"/>
        <v>9204320.6340178587</v>
      </c>
      <c r="AP156" s="227">
        <f t="shared" si="96"/>
        <v>202495.05394839289</v>
      </c>
      <c r="AQ156" s="223">
        <f t="shared" si="86"/>
        <v>414194.42853080365</v>
      </c>
      <c r="AS156" s="227">
        <f t="shared" si="87"/>
        <v>829748.89846872329</v>
      </c>
      <c r="AU156" s="223">
        <f t="shared" si="88"/>
        <v>10650759.014965778</v>
      </c>
      <c r="AW156" s="227">
        <f t="shared" si="89"/>
        <v>0</v>
      </c>
      <c r="AY156" s="54"/>
      <c r="AZ156" s="54"/>
      <c r="BA156" s="54"/>
    </row>
    <row r="157" spans="2:53">
      <c r="B157" s="493" t="s">
        <v>424</v>
      </c>
      <c r="C157" s="602">
        <v>98</v>
      </c>
      <c r="D157" s="226">
        <f>+'INPUT VOL'!J127</f>
        <v>1245.8365572562698</v>
      </c>
      <c r="E157" s="229"/>
      <c r="F157" s="229"/>
      <c r="G157" s="229">
        <f t="shared" si="90"/>
        <v>1250.5887946760386</v>
      </c>
      <c r="H157" s="229"/>
      <c r="I157" s="229"/>
      <c r="J157" s="229"/>
      <c r="K157" s="229"/>
      <c r="L157" s="229"/>
      <c r="M157" s="229"/>
      <c r="N157" s="229"/>
      <c r="O157" s="229"/>
      <c r="P157" s="224"/>
      <c r="Q157" s="253"/>
      <c r="R157" s="227">
        <f t="shared" si="91"/>
        <v>1510514.2962334931</v>
      </c>
      <c r="S157" s="1241">
        <f t="shared" si="103"/>
        <v>1250.5887946760386</v>
      </c>
      <c r="T157" s="1246">
        <v>0.67</v>
      </c>
      <c r="U157" s="1243">
        <f t="shared" si="92"/>
        <v>1510514.2962334931</v>
      </c>
      <c r="V157" s="1244"/>
      <c r="W157" s="1245">
        <f t="shared" si="93"/>
        <v>0</v>
      </c>
      <c r="X157" s="1245"/>
      <c r="Y157" s="1245"/>
      <c r="Z157" s="1245">
        <f t="shared" si="94"/>
        <v>1510514.2962334931</v>
      </c>
      <c r="AA157" s="497"/>
      <c r="AB157" s="258"/>
      <c r="AC157" s="259"/>
      <c r="AD157" s="227">
        <f t="shared" si="98"/>
        <v>0</v>
      </c>
      <c r="AE157" s="1250"/>
      <c r="AF157" s="1254"/>
      <c r="AG157" s="1254"/>
      <c r="AH157" s="1251"/>
      <c r="AI157" s="1254"/>
      <c r="AJ157" s="1254"/>
      <c r="AK157" s="1254">
        <f t="shared" si="99"/>
        <v>0</v>
      </c>
      <c r="AM157" s="227">
        <f t="shared" si="95"/>
        <v>1510514.2962334931</v>
      </c>
      <c r="AP157" s="227">
        <f t="shared" si="96"/>
        <v>33231.314517136845</v>
      </c>
      <c r="AQ157" s="223">
        <f t="shared" si="86"/>
        <v>67973.143330507184</v>
      </c>
      <c r="AS157" s="227">
        <f t="shared" si="87"/>
        <v>136169.48205702499</v>
      </c>
      <c r="AU157" s="223">
        <f t="shared" si="88"/>
        <v>1747888.2361381622</v>
      </c>
      <c r="AW157" s="227">
        <f t="shared" si="89"/>
        <v>0</v>
      </c>
      <c r="AY157" s="54"/>
      <c r="AZ157" s="54">
        <f>SUM(AZ9:AZ156)</f>
        <v>5009967968</v>
      </c>
      <c r="BA157" s="54">
        <f>AZ157/2</f>
        <v>2504983984</v>
      </c>
    </row>
    <row r="158" spans="2:53">
      <c r="B158" s="225" t="s">
        <v>216</v>
      </c>
      <c r="C158" s="602">
        <v>98</v>
      </c>
      <c r="D158" s="226">
        <f>+'INPUT VOL'!J128</f>
        <v>323.36652000000004</v>
      </c>
      <c r="E158" s="223">
        <f>+D158/$G$6</f>
        <v>324.60000000000002</v>
      </c>
      <c r="F158" s="229"/>
      <c r="G158" s="229"/>
      <c r="H158" s="229"/>
      <c r="I158" s="229"/>
      <c r="J158" s="229"/>
      <c r="K158" s="229"/>
      <c r="L158" s="229"/>
      <c r="M158" s="229"/>
      <c r="N158" s="229"/>
      <c r="O158" s="229"/>
      <c r="P158" s="224"/>
      <c r="Q158" s="253"/>
      <c r="R158" s="227">
        <f t="shared" si="91"/>
        <v>392065.67550000007</v>
      </c>
      <c r="S158" s="1241">
        <f t="shared" si="103"/>
        <v>324.60000000000002</v>
      </c>
      <c r="T158" s="1246">
        <v>0.67</v>
      </c>
      <c r="U158" s="1243">
        <f t="shared" si="92"/>
        <v>392065.67550000007</v>
      </c>
      <c r="V158" s="1244"/>
      <c r="W158" s="1245">
        <f t="shared" si="93"/>
        <v>0</v>
      </c>
      <c r="X158" s="1245"/>
      <c r="Y158" s="1245"/>
      <c r="Z158" s="1245">
        <f t="shared" si="94"/>
        <v>392065.67550000007</v>
      </c>
      <c r="AA158" s="497"/>
      <c r="AB158" s="258"/>
      <c r="AC158" s="259"/>
      <c r="AD158" s="227">
        <f t="shared" si="98"/>
        <v>0</v>
      </c>
      <c r="AE158" s="1250"/>
      <c r="AF158" s="1254"/>
      <c r="AG158" s="1254"/>
      <c r="AH158" s="1251"/>
      <c r="AI158" s="1254"/>
      <c r="AJ158" s="1254"/>
      <c r="AK158" s="1254">
        <f t="shared" si="99"/>
        <v>0</v>
      </c>
      <c r="AM158" s="227">
        <f t="shared" si="95"/>
        <v>392065.67550000007</v>
      </c>
      <c r="AP158" s="227">
        <f t="shared" si="96"/>
        <v>8625.4448610000018</v>
      </c>
      <c r="AQ158" s="223">
        <f t="shared" ref="AQ158:AQ172" si="104">+AM158*$AQ$5</f>
        <v>17642.955397500002</v>
      </c>
      <c r="AS158" s="227">
        <f t="shared" si="87"/>
        <v>35343.842887350009</v>
      </c>
      <c r="AU158" s="223">
        <f>+AM158+AP158+AQ158+AS158</f>
        <v>453677.91864585009</v>
      </c>
      <c r="AW158" s="227">
        <f t="shared" si="89"/>
        <v>0</v>
      </c>
      <c r="AY158" s="54"/>
      <c r="AZ158" s="54"/>
      <c r="BA158" s="54"/>
    </row>
    <row r="159" spans="2:53">
      <c r="B159" s="225" t="s">
        <v>360</v>
      </c>
      <c r="C159" s="602">
        <v>99</v>
      </c>
      <c r="D159" s="226">
        <f>+'INPUT VOL'!J129</f>
        <v>30784.172088715306</v>
      </c>
      <c r="E159" s="229"/>
      <c r="F159" s="229"/>
      <c r="G159" s="229">
        <f>+D159/$G$6</f>
        <v>30901.598161729878</v>
      </c>
      <c r="H159" s="229"/>
      <c r="I159" s="229"/>
      <c r="J159" s="229"/>
      <c r="K159" s="229"/>
      <c r="L159" s="229"/>
      <c r="M159" s="229"/>
      <c r="N159" s="229"/>
      <c r="O159" s="229"/>
      <c r="P159" s="224"/>
      <c r="Q159" s="253"/>
      <c r="R159" s="227">
        <f t="shared" si="91"/>
        <v>37324263.57765922</v>
      </c>
      <c r="S159" s="1241">
        <f t="shared" si="103"/>
        <v>30901.598161729878</v>
      </c>
      <c r="T159" s="1246">
        <v>0.67</v>
      </c>
      <c r="U159" s="1243">
        <f t="shared" si="92"/>
        <v>37324263.57765922</v>
      </c>
      <c r="V159" s="1244"/>
      <c r="W159" s="1245">
        <f t="shared" si="93"/>
        <v>0</v>
      </c>
      <c r="X159" s="1245"/>
      <c r="Y159" s="1245"/>
      <c r="Z159" s="1245">
        <f t="shared" si="94"/>
        <v>37324263.57765922</v>
      </c>
      <c r="AA159" s="497"/>
      <c r="AB159" s="258"/>
      <c r="AC159" s="259"/>
      <c r="AD159" s="227">
        <f t="shared" si="98"/>
        <v>0</v>
      </c>
      <c r="AE159" s="1250"/>
      <c r="AF159" s="1254"/>
      <c r="AG159" s="1254"/>
      <c r="AH159" s="1251"/>
      <c r="AI159" s="1254"/>
      <c r="AJ159" s="1254"/>
      <c r="AK159" s="1254">
        <f t="shared" si="99"/>
        <v>0</v>
      </c>
      <c r="AM159" s="227">
        <f t="shared" si="95"/>
        <v>37324263.57765922</v>
      </c>
      <c r="AP159" s="227">
        <f t="shared" si="96"/>
        <v>821133.79870850279</v>
      </c>
      <c r="AQ159" s="223">
        <f t="shared" si="104"/>
        <v>1679591.8609946647</v>
      </c>
      <c r="AS159" s="227">
        <f t="shared" si="87"/>
        <v>3364698.7997418502</v>
      </c>
      <c r="AU159" s="223">
        <f>+AM159+AP159+AQ159+AS159</f>
        <v>43189688.037104242</v>
      </c>
      <c r="AW159" s="227">
        <f t="shared" si="89"/>
        <v>0</v>
      </c>
      <c r="AY159" s="54"/>
      <c r="AZ159" s="54"/>
      <c r="BA159" s="54"/>
    </row>
    <row r="160" spans="2:53">
      <c r="B160" s="225" t="s">
        <v>394</v>
      </c>
      <c r="C160" s="602">
        <v>99</v>
      </c>
      <c r="D160" s="226">
        <f>+'INPUT VOL'!J130</f>
        <v>15977.378808967451</v>
      </c>
      <c r="E160" s="229"/>
      <c r="F160" s="229"/>
      <c r="G160" s="229">
        <f>+D160/$G$6</f>
        <v>16038.324441846466</v>
      </c>
      <c r="H160" s="229"/>
      <c r="I160" s="229"/>
      <c r="J160" s="229"/>
      <c r="K160" s="229"/>
      <c r="L160" s="229"/>
      <c r="M160" s="229"/>
      <c r="N160" s="229"/>
      <c r="O160" s="229"/>
      <c r="P160" s="224"/>
      <c r="Q160" s="253"/>
      <c r="R160" s="227">
        <f t="shared" si="91"/>
        <v>19371769.889650941</v>
      </c>
      <c r="S160" s="1241">
        <f t="shared" si="103"/>
        <v>16038.324441846466</v>
      </c>
      <c r="T160" s="1246">
        <v>0.67</v>
      </c>
      <c r="U160" s="1243">
        <f t="shared" si="92"/>
        <v>19371769.889650941</v>
      </c>
      <c r="V160" s="1244"/>
      <c r="W160" s="1245">
        <f t="shared" si="93"/>
        <v>0</v>
      </c>
      <c r="X160" s="1245"/>
      <c r="Y160" s="1245"/>
      <c r="Z160" s="1245">
        <f t="shared" si="94"/>
        <v>19371769.889650941</v>
      </c>
      <c r="AA160" s="497"/>
      <c r="AB160" s="258"/>
      <c r="AC160" s="259"/>
      <c r="AD160" s="227">
        <f t="shared" si="98"/>
        <v>0</v>
      </c>
      <c r="AE160" s="1250"/>
      <c r="AF160" s="1254"/>
      <c r="AG160" s="1254"/>
      <c r="AH160" s="1251"/>
      <c r="AI160" s="1254"/>
      <c r="AJ160" s="1254"/>
      <c r="AK160" s="1254">
        <f t="shared" si="99"/>
        <v>0</v>
      </c>
      <c r="AM160" s="227">
        <f t="shared" si="95"/>
        <v>19371769.889650941</v>
      </c>
      <c r="AP160" s="227">
        <f t="shared" si="96"/>
        <v>426178.93757232069</v>
      </c>
      <c r="AQ160" s="223">
        <f>+AM160*$AQ$5</f>
        <v>871729.64503429236</v>
      </c>
      <c r="AS160" s="227">
        <f t="shared" si="87"/>
        <v>1746321.6859179512</v>
      </c>
      <c r="AU160" s="223">
        <f>+AM160+AP160+AQ160+AS160</f>
        <v>22416000.158175502</v>
      </c>
      <c r="AW160" s="227">
        <f t="shared" si="89"/>
        <v>0</v>
      </c>
      <c r="AY160" s="54"/>
      <c r="AZ160" s="54"/>
      <c r="BA160" s="54"/>
    </row>
    <row r="161" spans="2:53">
      <c r="B161" s="493" t="s">
        <v>428</v>
      </c>
      <c r="C161" s="602">
        <v>99</v>
      </c>
      <c r="D161" s="226">
        <f>+'INPUT VOL'!J131</f>
        <v>30551.246247752249</v>
      </c>
      <c r="E161" s="229"/>
      <c r="F161" s="229"/>
      <c r="G161" s="229">
        <f>+D161/$G$6</f>
        <v>30667.783826292158</v>
      </c>
      <c r="H161" s="229"/>
      <c r="I161" s="229"/>
      <c r="J161" s="229"/>
      <c r="K161" s="229"/>
      <c r="L161" s="229"/>
      <c r="M161" s="229"/>
      <c r="N161" s="229"/>
      <c r="O161" s="229"/>
      <c r="P161" s="224"/>
      <c r="Q161" s="253"/>
      <c r="R161" s="227">
        <f t="shared" si="91"/>
        <v>37041852.686208285</v>
      </c>
      <c r="S161" s="1241">
        <f t="shared" si="103"/>
        <v>30667.783826292158</v>
      </c>
      <c r="T161" s="1246">
        <v>0.67</v>
      </c>
      <c r="U161" s="1243">
        <f t="shared" si="92"/>
        <v>37041852.686208285</v>
      </c>
      <c r="V161" s="1244"/>
      <c r="W161" s="1245">
        <f t="shared" si="93"/>
        <v>0</v>
      </c>
      <c r="X161" s="1245"/>
      <c r="Y161" s="1245"/>
      <c r="Z161" s="1245">
        <f t="shared" si="94"/>
        <v>37041852.686208285</v>
      </c>
      <c r="AA161" s="497"/>
      <c r="AB161" s="258"/>
      <c r="AC161" s="259"/>
      <c r="AD161" s="227">
        <f t="shared" si="98"/>
        <v>0</v>
      </c>
      <c r="AE161" s="1250"/>
      <c r="AF161" s="1254"/>
      <c r="AG161" s="1254"/>
      <c r="AH161" s="1251"/>
      <c r="AI161" s="1254"/>
      <c r="AJ161" s="1254"/>
      <c r="AK161" s="1254">
        <f t="shared" si="99"/>
        <v>0</v>
      </c>
      <c r="AM161" s="227">
        <f t="shared" si="95"/>
        <v>37041852.686208285</v>
      </c>
      <c r="AP161" s="227">
        <f t="shared" si="96"/>
        <v>814920.75909658219</v>
      </c>
      <c r="AQ161" s="223">
        <f>+AM161*$AQ$5</f>
        <v>1666883.3708793728</v>
      </c>
      <c r="AS161" s="227">
        <f t="shared" si="87"/>
        <v>3339240.0901407376</v>
      </c>
      <c r="AU161" s="223">
        <f>+AM161+AP161+AQ161+AS161</f>
        <v>42862896.906324983</v>
      </c>
      <c r="AW161" s="227">
        <f t="shared" si="89"/>
        <v>0</v>
      </c>
      <c r="AY161" s="54"/>
      <c r="AZ161" s="54"/>
      <c r="BA161" s="54"/>
    </row>
    <row r="162" spans="2:53">
      <c r="B162" s="493" t="s">
        <v>509</v>
      </c>
      <c r="C162" s="602">
        <v>99</v>
      </c>
      <c r="D162" s="226">
        <f>+'INPUT VOL'!J155</f>
        <v>8282.4788138309796</v>
      </c>
      <c r="E162" s="229"/>
      <c r="F162" s="229"/>
      <c r="G162" s="229">
        <f>+D162/$G$6</f>
        <v>8314.0722885273826</v>
      </c>
      <c r="H162" s="229"/>
      <c r="I162" s="229"/>
      <c r="J162" s="229"/>
      <c r="K162" s="229"/>
      <c r="L162" s="229"/>
      <c r="M162" s="229"/>
      <c r="N162" s="229"/>
      <c r="O162" s="229"/>
      <c r="P162" s="224"/>
      <c r="Q162" s="253"/>
      <c r="R162" s="227">
        <f t="shared" si="91"/>
        <v>10042089.858155636</v>
      </c>
      <c r="S162" s="1241">
        <f t="shared" si="103"/>
        <v>8314.0722885273826</v>
      </c>
      <c r="T162" s="1246">
        <v>0.67</v>
      </c>
      <c r="U162" s="1243">
        <f t="shared" si="92"/>
        <v>10042089.858155636</v>
      </c>
      <c r="V162" s="1244"/>
      <c r="W162" s="1245">
        <f t="shared" si="93"/>
        <v>0</v>
      </c>
      <c r="X162" s="1245"/>
      <c r="Y162" s="1245"/>
      <c r="Z162" s="1245">
        <f t="shared" si="94"/>
        <v>10042089.858155636</v>
      </c>
      <c r="AA162" s="497"/>
      <c r="AB162" s="258"/>
      <c r="AC162" s="259"/>
      <c r="AD162" s="227">
        <f t="shared" si="98"/>
        <v>0</v>
      </c>
      <c r="AE162" s="1250"/>
      <c r="AF162" s="1254"/>
      <c r="AG162" s="1254"/>
      <c r="AH162" s="1251"/>
      <c r="AI162" s="1254"/>
      <c r="AJ162" s="1254"/>
      <c r="AK162" s="1254">
        <f t="shared" si="99"/>
        <v>0</v>
      </c>
      <c r="AM162" s="227">
        <f t="shared" si="95"/>
        <v>10042089.858155636</v>
      </c>
      <c r="AP162" s="227">
        <f t="shared" si="96"/>
        <v>220925.97687942398</v>
      </c>
      <c r="AQ162" s="223">
        <f>+AM162*$AQ$5</f>
        <v>451894.0436170036</v>
      </c>
      <c r="AS162" s="227">
        <f t="shared" si="87"/>
        <v>905271.91842200339</v>
      </c>
      <c r="AU162" s="223">
        <f>+AM162+AP162+AQ162+AS162</f>
        <v>11620181.797074066</v>
      </c>
      <c r="AW162" s="227">
        <f t="shared" si="89"/>
        <v>0</v>
      </c>
      <c r="AY162" s="54"/>
      <c r="AZ162" s="54"/>
      <c r="BA162" s="54"/>
    </row>
    <row r="163" spans="2:53">
      <c r="B163" s="231"/>
      <c r="C163" s="605"/>
      <c r="D163" s="232"/>
      <c r="E163" s="233"/>
      <c r="F163" s="233"/>
      <c r="G163" s="233"/>
      <c r="H163" s="233"/>
      <c r="I163" s="233"/>
      <c r="J163" s="233"/>
      <c r="K163" s="233"/>
      <c r="L163" s="233"/>
      <c r="M163" s="233"/>
      <c r="N163" s="233"/>
      <c r="O163" s="233"/>
      <c r="P163" s="224"/>
      <c r="Q163" s="253"/>
      <c r="R163" s="227">
        <f t="shared" si="91"/>
        <v>0</v>
      </c>
      <c r="S163" s="1241"/>
      <c r="T163" s="1247"/>
      <c r="U163" s="1243">
        <f t="shared" si="92"/>
        <v>0</v>
      </c>
      <c r="V163" s="1244"/>
      <c r="W163" s="1245">
        <f t="shared" si="93"/>
        <v>0</v>
      </c>
      <c r="X163" s="1245"/>
      <c r="Y163" s="1245"/>
      <c r="Z163" s="1245">
        <f t="shared" si="94"/>
        <v>0</v>
      </c>
      <c r="AA163" s="497"/>
      <c r="AB163" s="258"/>
      <c r="AC163" s="259"/>
      <c r="AD163" s="227">
        <f t="shared" si="98"/>
        <v>0</v>
      </c>
      <c r="AE163" s="1250"/>
      <c r="AF163" s="1255"/>
      <c r="AG163" s="1255"/>
      <c r="AH163" s="1256"/>
      <c r="AI163" s="1255"/>
      <c r="AJ163" s="1255"/>
      <c r="AK163" s="1254">
        <f t="shared" si="99"/>
        <v>0</v>
      </c>
      <c r="AM163" s="227">
        <f t="shared" si="95"/>
        <v>0</v>
      </c>
      <c r="AP163" s="227">
        <f t="shared" si="96"/>
        <v>0</v>
      </c>
      <c r="AQ163" s="233"/>
      <c r="AS163" s="233"/>
      <c r="AU163" s="233"/>
      <c r="AW163" s="233"/>
      <c r="AY163" s="54"/>
      <c r="AZ163" s="54"/>
      <c r="BA163" s="54"/>
    </row>
    <row r="164" spans="2:53">
      <c r="B164" s="348" t="s">
        <v>80</v>
      </c>
      <c r="C164" s="603">
        <v>99</v>
      </c>
      <c r="D164" s="235">
        <v>0</v>
      </c>
      <c r="E164" s="223"/>
      <c r="F164" s="229"/>
      <c r="G164" s="229"/>
      <c r="H164" s="229"/>
      <c r="I164" s="229">
        <f>+(D164+D168+D173)/G6</f>
        <v>0</v>
      </c>
      <c r="J164" s="229"/>
      <c r="K164" s="229"/>
      <c r="L164" s="229"/>
      <c r="M164" s="229"/>
      <c r="N164" s="229"/>
      <c r="O164" s="229"/>
      <c r="P164" s="224"/>
      <c r="Q164" s="253"/>
      <c r="R164" s="227">
        <f t="shared" si="91"/>
        <v>0</v>
      </c>
      <c r="S164" s="1241">
        <f>SUM(E164:O164)</f>
        <v>0</v>
      </c>
      <c r="T164" s="1247"/>
      <c r="U164" s="1243">
        <f t="shared" si="92"/>
        <v>0</v>
      </c>
      <c r="V164" s="1244"/>
      <c r="W164" s="1245">
        <f t="shared" si="93"/>
        <v>0</v>
      </c>
      <c r="X164" s="1245"/>
      <c r="Y164" s="1245"/>
      <c r="Z164" s="1245">
        <f t="shared" si="94"/>
        <v>0</v>
      </c>
      <c r="AA164" s="497"/>
      <c r="AB164" s="258"/>
      <c r="AC164" s="259"/>
      <c r="AD164" s="227">
        <f t="shared" si="98"/>
        <v>0</v>
      </c>
      <c r="AE164" s="1250"/>
      <c r="AF164" s="1254"/>
      <c r="AG164" s="1254"/>
      <c r="AH164" s="1251"/>
      <c r="AI164" s="1254"/>
      <c r="AJ164" s="1254"/>
      <c r="AK164" s="1254">
        <f t="shared" si="99"/>
        <v>0</v>
      </c>
      <c r="AM164" s="227">
        <f t="shared" si="95"/>
        <v>0</v>
      </c>
      <c r="AP164" s="227">
        <f t="shared" si="96"/>
        <v>0</v>
      </c>
      <c r="AQ164" s="469">
        <f t="shared" si="104"/>
        <v>0</v>
      </c>
      <c r="AS164" s="227">
        <f>+((D164/$AS$4)+(D168/$AS$4))*$AS$2*$AS$3*$AS$1</f>
        <v>0</v>
      </c>
      <c r="AU164" s="223">
        <f t="shared" ref="AU164:AU172" si="105">+AM164+AP164+AQ164+AS164</f>
        <v>0</v>
      </c>
      <c r="AW164" s="227">
        <f>+(D164/$G$6)*$AW$2*$AW$3</f>
        <v>0</v>
      </c>
      <c r="BA164" s="54"/>
    </row>
    <row r="165" spans="2:53">
      <c r="B165" s="225" t="s">
        <v>186</v>
      </c>
      <c r="C165" s="602">
        <v>99</v>
      </c>
      <c r="D165" s="235">
        <v>0</v>
      </c>
      <c r="E165" s="229"/>
      <c r="F165" s="229"/>
      <c r="G165" s="229"/>
      <c r="H165" s="229"/>
      <c r="I165" s="229">
        <f>+(D165)/G6</f>
        <v>0</v>
      </c>
      <c r="J165" s="229"/>
      <c r="K165" s="229"/>
      <c r="L165" s="229"/>
      <c r="M165" s="229"/>
      <c r="N165" s="229"/>
      <c r="O165" s="229"/>
      <c r="P165" s="224"/>
      <c r="Q165" s="253"/>
      <c r="R165" s="227">
        <f t="shared" si="91"/>
        <v>0</v>
      </c>
      <c r="S165" s="1241">
        <f>SUM(E165:O165)</f>
        <v>0</v>
      </c>
      <c r="T165" s="1247"/>
      <c r="U165" s="1243">
        <f t="shared" si="92"/>
        <v>0</v>
      </c>
      <c r="V165" s="1244"/>
      <c r="W165" s="1245">
        <f t="shared" si="93"/>
        <v>0</v>
      </c>
      <c r="X165" s="1245"/>
      <c r="Y165" s="1245"/>
      <c r="Z165" s="1245">
        <f t="shared" si="94"/>
        <v>0</v>
      </c>
      <c r="AA165" s="497"/>
      <c r="AB165" s="258"/>
      <c r="AC165" s="259"/>
      <c r="AD165" s="227">
        <f t="shared" si="98"/>
        <v>0</v>
      </c>
      <c r="AE165" s="1250"/>
      <c r="AF165" s="1254"/>
      <c r="AG165" s="1254"/>
      <c r="AH165" s="1251"/>
      <c r="AI165" s="1254"/>
      <c r="AJ165" s="1254"/>
      <c r="AK165" s="1254">
        <f t="shared" si="99"/>
        <v>0</v>
      </c>
      <c r="AM165" s="227">
        <f t="shared" si="95"/>
        <v>0</v>
      </c>
      <c r="AP165" s="227">
        <f t="shared" si="96"/>
        <v>0</v>
      </c>
      <c r="AQ165" s="469">
        <f t="shared" si="104"/>
        <v>0</v>
      </c>
      <c r="AS165" s="227">
        <f>+((D165/$AS$4))*$AS$2*$AS$3*$AS$1</f>
        <v>0</v>
      </c>
      <c r="AU165" s="223">
        <f t="shared" si="105"/>
        <v>0</v>
      </c>
      <c r="AW165" s="227">
        <v>0</v>
      </c>
      <c r="BA165" s="54"/>
    </row>
    <row r="166" spans="2:53">
      <c r="B166" s="225" t="s">
        <v>419</v>
      </c>
      <c r="C166" s="602">
        <v>99</v>
      </c>
      <c r="D166" s="226">
        <f>+'INPUT VOL'!J135</f>
        <v>37250.143562812773</v>
      </c>
      <c r="E166" s="229"/>
      <c r="F166" s="229"/>
      <c r="G166" s="229"/>
      <c r="H166" s="229">
        <f>+D166/G6</f>
        <v>37392.23405221117</v>
      </c>
      <c r="I166" s="229"/>
      <c r="J166" s="229"/>
      <c r="K166" s="229"/>
      <c r="L166" s="229"/>
      <c r="M166" s="229"/>
      <c r="N166" s="229"/>
      <c r="O166" s="229"/>
      <c r="P166" s="224"/>
      <c r="Q166" s="253"/>
      <c r="R166" s="227">
        <f t="shared" si="91"/>
        <v>0</v>
      </c>
      <c r="S166" s="1241"/>
      <c r="T166" s="1247"/>
      <c r="U166" s="1243">
        <f t="shared" si="92"/>
        <v>0</v>
      </c>
      <c r="V166" s="1244"/>
      <c r="W166" s="1245">
        <f t="shared" si="93"/>
        <v>0</v>
      </c>
      <c r="X166" s="1245"/>
      <c r="Y166" s="1245"/>
      <c r="Z166" s="1245">
        <f t="shared" si="94"/>
        <v>0</v>
      </c>
      <c r="AA166" s="497"/>
      <c r="AB166" s="258"/>
      <c r="AC166" s="259"/>
      <c r="AD166" s="227">
        <f t="shared" si="98"/>
        <v>30579877.622398764</v>
      </c>
      <c r="AE166" s="1250">
        <f>SUM(E166:O166)</f>
        <v>37392.23405221117</v>
      </c>
      <c r="AF166" s="1246">
        <v>0.65</v>
      </c>
      <c r="AG166" s="1252">
        <f>+AE166*AF166*$AF$3</f>
        <v>43815752.459455401</v>
      </c>
      <c r="AH166" s="1253">
        <f t="shared" ref="AH166" si="106">+AE166/$AE$192</f>
        <v>9.3621617781973213E-2</v>
      </c>
      <c r="AI166" s="1254">
        <f>+AH166*$AI$7</f>
        <v>-13235874.837056635</v>
      </c>
      <c r="AJ166" s="1254"/>
      <c r="AK166" s="1254">
        <f t="shared" si="99"/>
        <v>30579877.622398764</v>
      </c>
      <c r="AM166" s="227">
        <f t="shared" si="95"/>
        <v>30579877.622398764</v>
      </c>
      <c r="AP166" s="227">
        <f t="shared" si="96"/>
        <v>672757.30769277271</v>
      </c>
      <c r="AQ166" s="223">
        <f t="shared" si="104"/>
        <v>1376094.4930079444</v>
      </c>
      <c r="AS166" s="227">
        <f t="shared" ref="AS166:AS181" si="107">+(D166/$AS$4)*$AS$2*$AS$3*$AS$1</f>
        <v>4071427.1273825332</v>
      </c>
      <c r="AU166" s="223">
        <f t="shared" si="105"/>
        <v>36700156.550482012</v>
      </c>
      <c r="AW166" s="227">
        <f t="shared" ref="AW166:AW172" si="108">+(D166/$G$6)*$AW$2*$AW$3</f>
        <v>0</v>
      </c>
      <c r="BA166" s="54"/>
    </row>
    <row r="167" spans="2:53">
      <c r="B167" s="493" t="s">
        <v>432</v>
      </c>
      <c r="C167" s="602">
        <v>99</v>
      </c>
      <c r="D167" s="743"/>
      <c r="E167" s="229"/>
      <c r="F167" s="229"/>
      <c r="G167" s="229"/>
      <c r="H167" s="229">
        <f>+D167/G6</f>
        <v>0</v>
      </c>
      <c r="I167" s="229"/>
      <c r="J167" s="229"/>
      <c r="K167" s="229"/>
      <c r="L167" s="229"/>
      <c r="M167" s="229"/>
      <c r="N167" s="229"/>
      <c r="O167" s="229"/>
      <c r="P167" s="224"/>
      <c r="Q167" s="253"/>
      <c r="R167" s="227">
        <f t="shared" si="91"/>
        <v>0</v>
      </c>
      <c r="S167" s="1241"/>
      <c r="T167" s="1247"/>
      <c r="U167" s="1243">
        <f t="shared" si="92"/>
        <v>0</v>
      </c>
      <c r="V167" s="1244"/>
      <c r="W167" s="1245">
        <f t="shared" si="93"/>
        <v>0</v>
      </c>
      <c r="X167" s="1245"/>
      <c r="Y167" s="1245"/>
      <c r="Z167" s="1245">
        <f t="shared" si="94"/>
        <v>0</v>
      </c>
      <c r="AA167" s="497"/>
      <c r="AB167" s="258"/>
      <c r="AC167" s="259"/>
      <c r="AD167" s="227">
        <f t="shared" si="98"/>
        <v>0</v>
      </c>
      <c r="AE167" s="1250"/>
      <c r="AF167" s="1247"/>
      <c r="AG167" s="1247"/>
      <c r="AH167" s="1246"/>
      <c r="AI167" s="1247"/>
      <c r="AJ167" s="1247"/>
      <c r="AK167" s="1254">
        <f t="shared" si="99"/>
        <v>0</v>
      </c>
      <c r="AM167" s="227">
        <f t="shared" si="95"/>
        <v>0</v>
      </c>
      <c r="AP167" s="227">
        <f t="shared" si="96"/>
        <v>0</v>
      </c>
      <c r="AQ167" s="223">
        <f>+AM167*$AQ$5</f>
        <v>0</v>
      </c>
      <c r="AS167" s="227">
        <f t="shared" si="107"/>
        <v>0</v>
      </c>
      <c r="AU167" s="644">
        <f>+AM167+AP167+AQ167+AS167</f>
        <v>0</v>
      </c>
      <c r="AW167" s="227">
        <f t="shared" si="108"/>
        <v>0</v>
      </c>
      <c r="BA167" s="54"/>
    </row>
    <row r="168" spans="2:53">
      <c r="B168" s="225" t="s">
        <v>83</v>
      </c>
      <c r="C168" s="602">
        <v>99</v>
      </c>
      <c r="D168" s="235">
        <f>+'INPUT VOL'!J136</f>
        <v>0</v>
      </c>
      <c r="E168" s="229"/>
      <c r="F168" s="229"/>
      <c r="G168" s="229"/>
      <c r="H168" s="229"/>
      <c r="I168" s="229"/>
      <c r="J168" s="229"/>
      <c r="K168" s="229"/>
      <c r="L168" s="229"/>
      <c r="M168" s="229"/>
      <c r="N168" s="229"/>
      <c r="O168" s="229"/>
      <c r="P168" s="224"/>
      <c r="Q168" s="253"/>
      <c r="R168" s="227">
        <f t="shared" si="91"/>
        <v>0</v>
      </c>
      <c r="S168" s="1241"/>
      <c r="T168" s="1247"/>
      <c r="U168" s="1243">
        <f t="shared" si="92"/>
        <v>0</v>
      </c>
      <c r="V168" s="1244"/>
      <c r="W168" s="1245">
        <f t="shared" si="93"/>
        <v>0</v>
      </c>
      <c r="X168" s="1245"/>
      <c r="Y168" s="1245"/>
      <c r="Z168" s="1245">
        <f t="shared" si="94"/>
        <v>0</v>
      </c>
      <c r="AA168" s="497"/>
      <c r="AB168" s="258"/>
      <c r="AC168" s="259"/>
      <c r="AD168" s="227">
        <f t="shared" si="98"/>
        <v>0</v>
      </c>
      <c r="AE168" s="1250"/>
      <c r="AF168" s="1247"/>
      <c r="AG168" s="1247"/>
      <c r="AH168" s="1246"/>
      <c r="AI168" s="1247"/>
      <c r="AJ168" s="1247"/>
      <c r="AK168" s="1254">
        <f t="shared" si="99"/>
        <v>0</v>
      </c>
      <c r="AM168" s="227">
        <f t="shared" si="95"/>
        <v>0</v>
      </c>
      <c r="AP168" s="227">
        <f t="shared" si="96"/>
        <v>0</v>
      </c>
      <c r="AQ168" s="223">
        <f t="shared" si="104"/>
        <v>0</v>
      </c>
      <c r="AS168" s="227">
        <f t="shared" si="107"/>
        <v>0</v>
      </c>
      <c r="AU168" s="223">
        <f t="shared" si="105"/>
        <v>0</v>
      </c>
      <c r="AW168" s="227">
        <f t="shared" si="108"/>
        <v>0</v>
      </c>
      <c r="AY168" s="54"/>
      <c r="AZ168" s="54"/>
      <c r="BA168" s="54"/>
    </row>
    <row r="169" spans="2:53">
      <c r="B169" s="225" t="s">
        <v>436</v>
      </c>
      <c r="C169" s="602">
        <v>99</v>
      </c>
      <c r="D169" s="226">
        <f>+'INPUT VOL'!J137</f>
        <v>41104.208200000001</v>
      </c>
      <c r="E169" s="229"/>
      <c r="F169" s="229"/>
      <c r="G169" s="229"/>
      <c r="H169" s="229">
        <f>+D169/G6</f>
        <v>41261</v>
      </c>
      <c r="I169" s="229"/>
      <c r="J169" s="229"/>
      <c r="K169" s="229"/>
      <c r="L169" s="229"/>
      <c r="M169" s="229"/>
      <c r="N169" s="229"/>
      <c r="O169" s="229"/>
      <c r="P169" s="224"/>
      <c r="Q169" s="253"/>
      <c r="R169" s="227">
        <f t="shared" si="91"/>
        <v>0</v>
      </c>
      <c r="S169" s="1241"/>
      <c r="T169" s="1247"/>
      <c r="U169" s="1243">
        <f t="shared" si="92"/>
        <v>0</v>
      </c>
      <c r="V169" s="1244"/>
      <c r="W169" s="1245">
        <f t="shared" si="93"/>
        <v>0</v>
      </c>
      <c r="X169" s="1245"/>
      <c r="Y169" s="1245"/>
      <c r="Z169" s="1245">
        <f t="shared" si="94"/>
        <v>0</v>
      </c>
      <c r="AA169" s="497"/>
      <c r="AB169" s="258"/>
      <c r="AC169" s="259"/>
      <c r="AD169" s="227">
        <f t="shared" si="98"/>
        <v>33743807.038006656</v>
      </c>
      <c r="AE169" s="1250">
        <f>SUM(E169:O169)</f>
        <v>41261</v>
      </c>
      <c r="AF169" s="1246">
        <v>0.65</v>
      </c>
      <c r="AG169" s="1252">
        <f t="shared" ref="AG169:AG172" si="109">+AE169*AF169*$AF$3</f>
        <v>48349124.037500001</v>
      </c>
      <c r="AH169" s="1253">
        <f t="shared" ref="AH169:AH172" si="110">+AE169/$AE$192</f>
        <v>0.10330812451345267</v>
      </c>
      <c r="AI169" s="1254">
        <f t="shared" ref="AI169:AI172" si="111">+AH169*$AI$7</f>
        <v>-14605316.999493346</v>
      </c>
      <c r="AJ169" s="1254"/>
      <c r="AK169" s="1254">
        <f t="shared" si="99"/>
        <v>33743807.038006656</v>
      </c>
      <c r="AM169" s="227">
        <f t="shared" si="95"/>
        <v>33743807.038006656</v>
      </c>
      <c r="AP169" s="227">
        <f t="shared" si="96"/>
        <v>742363.75483614637</v>
      </c>
      <c r="AQ169" s="223">
        <f t="shared" si="104"/>
        <v>1518471.3167102993</v>
      </c>
      <c r="AS169" s="227">
        <f t="shared" si="107"/>
        <v>4492674.9888322502</v>
      </c>
      <c r="AU169" s="223">
        <f t="shared" si="105"/>
        <v>40497317.098385356</v>
      </c>
      <c r="AW169" s="227">
        <f t="shared" si="108"/>
        <v>0</v>
      </c>
      <c r="AY169" s="54"/>
      <c r="AZ169" s="54"/>
      <c r="BA169" s="54"/>
    </row>
    <row r="170" spans="2:53">
      <c r="B170" s="225" t="s">
        <v>399</v>
      </c>
      <c r="C170" s="602">
        <v>99</v>
      </c>
      <c r="D170" s="226">
        <f>+'INPUT VOL'!J138</f>
        <v>44474.783731865457</v>
      </c>
      <c r="E170" s="229"/>
      <c r="F170" s="229"/>
      <c r="G170" s="229"/>
      <c r="H170" s="229">
        <f>+D170/G6</f>
        <v>44644.432575652936</v>
      </c>
      <c r="I170" s="229"/>
      <c r="J170" s="229"/>
      <c r="K170" s="229"/>
      <c r="L170" s="229"/>
      <c r="M170" s="229"/>
      <c r="N170" s="229"/>
      <c r="O170" s="229"/>
      <c r="P170" s="224"/>
      <c r="Q170" s="253"/>
      <c r="R170" s="227">
        <f t="shared" si="91"/>
        <v>0</v>
      </c>
      <c r="S170" s="1241"/>
      <c r="T170" s="1247"/>
      <c r="U170" s="1243">
        <f t="shared" si="92"/>
        <v>0</v>
      </c>
      <c r="V170" s="1244"/>
      <c r="W170" s="1245">
        <f t="shared" si="93"/>
        <v>0</v>
      </c>
      <c r="X170" s="1245"/>
      <c r="Y170" s="1245"/>
      <c r="Z170" s="1245">
        <f t="shared" si="94"/>
        <v>0</v>
      </c>
      <c r="AA170" s="497"/>
      <c r="AB170" s="258"/>
      <c r="AC170" s="259"/>
      <c r="AD170" s="227">
        <f t="shared" si="98"/>
        <v>36510824.220308065</v>
      </c>
      <c r="AE170" s="1250">
        <f>SUM(E170:O170)</f>
        <v>44644.432575652936</v>
      </c>
      <c r="AF170" s="1246">
        <v>0.65</v>
      </c>
      <c r="AG170" s="1252">
        <f t="shared" si="109"/>
        <v>52313788.036742918</v>
      </c>
      <c r="AH170" s="1253">
        <f t="shared" si="110"/>
        <v>0.11177946727801062</v>
      </c>
      <c r="AI170" s="1254">
        <f t="shared" si="111"/>
        <v>-15802963.816434851</v>
      </c>
      <c r="AJ170" s="1254"/>
      <c r="AK170" s="1254">
        <f t="shared" si="99"/>
        <v>36510824.220308065</v>
      </c>
      <c r="AM170" s="227">
        <f t="shared" si="95"/>
        <v>36510824.220308065</v>
      </c>
      <c r="AP170" s="227">
        <f t="shared" si="96"/>
        <v>803238.13284677744</v>
      </c>
      <c r="AQ170" s="223">
        <f>+AM170*$AQ$5</f>
        <v>1642987.089913863</v>
      </c>
      <c r="AS170" s="227">
        <f t="shared" si="107"/>
        <v>4861077.6671249773</v>
      </c>
      <c r="AU170" s="223">
        <f>+AM170+AP170+AQ170+AS170</f>
        <v>43818127.110193685</v>
      </c>
      <c r="AW170" s="227">
        <f t="shared" si="108"/>
        <v>0</v>
      </c>
      <c r="AY170" s="54"/>
      <c r="AZ170" s="54"/>
      <c r="BA170" s="54"/>
    </row>
    <row r="171" spans="2:53">
      <c r="B171" s="1080" t="s">
        <v>554</v>
      </c>
      <c r="C171" s="602">
        <v>99</v>
      </c>
      <c r="D171" s="226">
        <f>+'INPUT VOL'!D183</f>
        <v>48399.414271009759</v>
      </c>
      <c r="E171" s="229"/>
      <c r="F171" s="229"/>
      <c r="G171" s="229"/>
      <c r="H171" s="229">
        <f>+D171/G6</f>
        <v>48584.033598684757</v>
      </c>
      <c r="I171" s="229"/>
      <c r="J171" s="229"/>
      <c r="K171" s="229"/>
      <c r="L171" s="229"/>
      <c r="M171" s="229"/>
      <c r="N171" s="229"/>
      <c r="O171" s="229"/>
      <c r="P171" s="224"/>
      <c r="Q171" s="253"/>
      <c r="R171" s="227">
        <f t="shared" si="91"/>
        <v>0</v>
      </c>
      <c r="S171" s="1241"/>
      <c r="T171" s="1247"/>
      <c r="U171" s="1243">
        <f t="shared" si="92"/>
        <v>0</v>
      </c>
      <c r="V171" s="1244"/>
      <c r="W171" s="1245">
        <f t="shared" si="93"/>
        <v>0</v>
      </c>
      <c r="X171" s="1245"/>
      <c r="Y171" s="1245"/>
      <c r="Z171" s="1245">
        <f t="shared" si="94"/>
        <v>0</v>
      </c>
      <c r="AA171" s="497"/>
      <c r="AB171" s="258"/>
      <c r="AC171" s="259"/>
      <c r="AD171" s="227">
        <f t="shared" si="98"/>
        <v>39732683.523958474</v>
      </c>
      <c r="AE171" s="1250">
        <f>SUM(E171:O171)</f>
        <v>48584.033598684757</v>
      </c>
      <c r="AF171" s="1246">
        <v>0.65</v>
      </c>
      <c r="AG171" s="1252">
        <f t="shared" si="109"/>
        <v>56930163.270518817</v>
      </c>
      <c r="AH171" s="1253">
        <f t="shared" si="110"/>
        <v>0.12164332886693713</v>
      </c>
      <c r="AI171" s="1254">
        <f t="shared" si="111"/>
        <v>-17197479.746560343</v>
      </c>
      <c r="AJ171" s="1254"/>
      <c r="AK171" s="1254">
        <f t="shared" si="99"/>
        <v>39732683.523958474</v>
      </c>
      <c r="AM171" s="227">
        <f t="shared" si="95"/>
        <v>39732683.523958474</v>
      </c>
      <c r="AP171" s="227">
        <f t="shared" si="96"/>
        <v>874119.03752708633</v>
      </c>
      <c r="AQ171" s="223">
        <f>+AM171*$AQ$5</f>
        <v>1787970.7585781312</v>
      </c>
      <c r="AS171" s="227">
        <f t="shared" si="107"/>
        <v>5290038.355963178</v>
      </c>
      <c r="AU171" s="223">
        <f>+AM171+AP171+AQ171+AS171</f>
        <v>47684811.676026866</v>
      </c>
      <c r="AW171" s="227">
        <f t="shared" si="108"/>
        <v>0</v>
      </c>
      <c r="AY171" s="54"/>
      <c r="AZ171" s="54"/>
      <c r="BA171" s="54"/>
    </row>
    <row r="172" spans="2:53">
      <c r="B172" s="225" t="s">
        <v>146</v>
      </c>
      <c r="C172" s="602">
        <v>99</v>
      </c>
      <c r="D172" s="226">
        <f>+'INPUT VOL'!J139</f>
        <v>37058.640000000007</v>
      </c>
      <c r="E172" s="236"/>
      <c r="F172" s="236"/>
      <c r="G172" s="236"/>
      <c r="H172" s="229">
        <f>+D172/G6</f>
        <v>37200</v>
      </c>
      <c r="I172" s="236"/>
      <c r="J172" s="236"/>
      <c r="K172" s="236"/>
      <c r="L172" s="236"/>
      <c r="M172" s="236"/>
      <c r="N172" s="236"/>
      <c r="O172" s="236"/>
      <c r="P172" s="224"/>
      <c r="Q172" s="253"/>
      <c r="R172" s="227">
        <f t="shared" si="91"/>
        <v>0</v>
      </c>
      <c r="S172" s="1241"/>
      <c r="T172" s="1247"/>
      <c r="U172" s="1243">
        <f t="shared" si="92"/>
        <v>0</v>
      </c>
      <c r="V172" s="1244"/>
      <c r="W172" s="1245">
        <f t="shared" si="93"/>
        <v>0</v>
      </c>
      <c r="X172" s="1245"/>
      <c r="Y172" s="1245"/>
      <c r="Z172" s="1245">
        <f t="shared" si="94"/>
        <v>0</v>
      </c>
      <c r="AA172" s="497"/>
      <c r="AB172" s="258"/>
      <c r="AC172" s="259"/>
      <c r="AD172" s="227">
        <f t="shared" si="98"/>
        <v>30422665.999705471</v>
      </c>
      <c r="AE172" s="1250">
        <f>SUM(E172:O172)</f>
        <v>37200</v>
      </c>
      <c r="AF172" s="1246">
        <v>0.65</v>
      </c>
      <c r="AG172" s="1252">
        <f t="shared" si="109"/>
        <v>43590495</v>
      </c>
      <c r="AH172" s="1253">
        <f t="shared" si="110"/>
        <v>9.3140307600408118E-2</v>
      </c>
      <c r="AI172" s="1254">
        <f t="shared" si="111"/>
        <v>-13167829.000294527</v>
      </c>
      <c r="AJ172" s="1254"/>
      <c r="AK172" s="1254">
        <f t="shared" si="99"/>
        <v>30422665.999705471</v>
      </c>
      <c r="AM172" s="227">
        <f t="shared" si="95"/>
        <v>30422665.999705471</v>
      </c>
      <c r="AP172" s="227">
        <f t="shared" si="96"/>
        <v>669298.65199352033</v>
      </c>
      <c r="AQ172" s="223">
        <f t="shared" si="104"/>
        <v>1369019.9699867461</v>
      </c>
      <c r="AS172" s="227">
        <f t="shared" si="107"/>
        <v>4050495.8576999996</v>
      </c>
      <c r="AU172" s="223">
        <f t="shared" si="105"/>
        <v>36511480.479385734</v>
      </c>
      <c r="AW172" s="227">
        <f t="shared" si="108"/>
        <v>0</v>
      </c>
      <c r="AY172" s="54"/>
      <c r="AZ172" s="54"/>
      <c r="BA172" s="54"/>
    </row>
    <row r="173" spans="2:53">
      <c r="B173" s="244" t="s">
        <v>82</v>
      </c>
      <c r="C173" s="610">
        <v>99</v>
      </c>
      <c r="D173" s="226">
        <v>0</v>
      </c>
      <c r="E173" s="229"/>
      <c r="F173" s="229"/>
      <c r="G173" s="229"/>
      <c r="H173" s="229"/>
      <c r="I173" s="229"/>
      <c r="J173" s="229"/>
      <c r="K173" s="229"/>
      <c r="L173" s="229"/>
      <c r="M173" s="229">
        <f>+D173/$G$6</f>
        <v>0</v>
      </c>
      <c r="N173" s="229"/>
      <c r="O173" s="245"/>
      <c r="P173" s="238"/>
      <c r="Q173" s="263"/>
      <c r="R173" s="227">
        <f t="shared" si="91"/>
        <v>0</v>
      </c>
      <c r="S173" s="1241"/>
      <c r="T173" s="1247"/>
      <c r="U173" s="1243">
        <f t="shared" si="92"/>
        <v>0</v>
      </c>
      <c r="V173" s="1244"/>
      <c r="W173" s="1245">
        <f t="shared" si="93"/>
        <v>0</v>
      </c>
      <c r="X173" s="1245"/>
      <c r="Y173" s="1245"/>
      <c r="Z173" s="1245">
        <f t="shared" si="94"/>
        <v>0</v>
      </c>
      <c r="AA173" s="497"/>
      <c r="AB173" s="258"/>
      <c r="AC173" s="259"/>
      <c r="AD173" s="227">
        <f t="shared" si="98"/>
        <v>0</v>
      </c>
      <c r="AE173" s="1250"/>
      <c r="AF173" s="1254"/>
      <c r="AG173" s="1254"/>
      <c r="AH173" s="1251"/>
      <c r="AI173" s="1254"/>
      <c r="AJ173" s="1254"/>
      <c r="AK173" s="1254">
        <f t="shared" si="99"/>
        <v>0</v>
      </c>
      <c r="AM173" s="227">
        <f t="shared" si="95"/>
        <v>0</v>
      </c>
      <c r="AP173" s="227">
        <f t="shared" si="96"/>
        <v>0</v>
      </c>
      <c r="AQ173" s="223">
        <f>+AM173*$AQ$5</f>
        <v>0</v>
      </c>
      <c r="AS173" s="227">
        <f t="shared" si="107"/>
        <v>0</v>
      </c>
      <c r="AU173" s="223">
        <f t="shared" ref="AU173:AU190" si="112">+AM173+AP173+AQ173+AS173</f>
        <v>0</v>
      </c>
      <c r="AW173" s="282"/>
      <c r="AY173" s="54"/>
      <c r="AZ173" s="54"/>
      <c r="BA173" s="54"/>
    </row>
    <row r="174" spans="2:53">
      <c r="B174" s="674" t="s">
        <v>446</v>
      </c>
      <c r="C174" s="610">
        <v>99</v>
      </c>
      <c r="D174" s="226">
        <f>+'INPUT VOL'!J141</f>
        <v>2798.6993750000001</v>
      </c>
      <c r="E174" s="229"/>
      <c r="F174" s="229"/>
      <c r="G174" s="229"/>
      <c r="H174" s="229"/>
      <c r="I174" s="229"/>
      <c r="J174" s="229"/>
      <c r="K174" s="229">
        <f>+D174/$G$6</f>
        <v>2809.375</v>
      </c>
      <c r="L174" s="229"/>
      <c r="M174" s="229"/>
      <c r="N174" s="229"/>
      <c r="O174" s="240"/>
      <c r="P174" s="238"/>
      <c r="Q174" s="263"/>
      <c r="R174" s="227">
        <f t="shared" si="91"/>
        <v>0</v>
      </c>
      <c r="S174" s="1241"/>
      <c r="T174" s="1247"/>
      <c r="U174" s="1243">
        <f t="shared" si="92"/>
        <v>0</v>
      </c>
      <c r="V174" s="1244"/>
      <c r="W174" s="1245">
        <f t="shared" si="93"/>
        <v>0</v>
      </c>
      <c r="X174" s="1245"/>
      <c r="Y174" s="1245"/>
      <c r="Z174" s="1245">
        <f t="shared" si="94"/>
        <v>0</v>
      </c>
      <c r="AA174" s="497"/>
      <c r="AB174" s="258"/>
      <c r="AC174" s="259"/>
      <c r="AD174" s="227">
        <f t="shared" si="98"/>
        <v>3158527.2213319237</v>
      </c>
      <c r="AE174" s="1250">
        <f>SUM(E174:O174)</f>
        <v>2809.375</v>
      </c>
      <c r="AF174" s="1246">
        <v>0.82</v>
      </c>
      <c r="AG174" s="1252">
        <f>+AE174*AF174*$AF$3</f>
        <v>4152972.640625</v>
      </c>
      <c r="AH174" s="1253">
        <f t="shared" ref="AH174" si="113">+AE174/$AE$192</f>
        <v>7.0340336469058217E-3</v>
      </c>
      <c r="AI174" s="1254">
        <f>+AH174*$AI$7</f>
        <v>-994445.41929307627</v>
      </c>
      <c r="AJ174" s="1254"/>
      <c r="AK174" s="1254">
        <f t="shared" si="99"/>
        <v>3158527.2213319237</v>
      </c>
      <c r="AM174" s="227">
        <f t="shared" si="95"/>
        <v>3158527.2213319237</v>
      </c>
      <c r="AP174" s="227">
        <f t="shared" si="96"/>
        <v>69487.598869302325</v>
      </c>
      <c r="AQ174" s="223">
        <f>+AM174*$AQ$5</f>
        <v>142133.72495993658</v>
      </c>
      <c r="AS174" s="227">
        <f t="shared" si="107"/>
        <v>305896.82258671877</v>
      </c>
      <c r="AU174" s="223">
        <f t="shared" si="112"/>
        <v>3676045.3677478814</v>
      </c>
      <c r="AW174" s="227">
        <f t="shared" ref="AW174:AW184" si="114">+(D174/$G$6)*$AW$2*$AW$3</f>
        <v>0</v>
      </c>
      <c r="AY174" s="54"/>
      <c r="AZ174" s="54"/>
      <c r="BA174" s="54"/>
    </row>
    <row r="175" spans="2:53">
      <c r="B175" s="1188" t="s">
        <v>589</v>
      </c>
      <c r="C175" s="610">
        <v>99</v>
      </c>
      <c r="D175" s="226">
        <f>+'INPUT VOL'!D196</f>
        <v>2589.8266293430056</v>
      </c>
      <c r="E175" s="229"/>
      <c r="F175" s="229"/>
      <c r="G175" s="229"/>
      <c r="H175" s="229"/>
      <c r="I175" s="229"/>
      <c r="J175" s="229">
        <f>+D175/$G$6</f>
        <v>2599.7055102820773</v>
      </c>
      <c r="K175" s="229"/>
      <c r="L175" s="229"/>
      <c r="M175" s="229"/>
      <c r="N175" s="229"/>
      <c r="O175" s="229"/>
      <c r="P175" s="238"/>
      <c r="Q175" s="263"/>
      <c r="R175" s="227">
        <f t="shared" si="91"/>
        <v>3046302.4206296597</v>
      </c>
      <c r="S175" s="1241">
        <f t="shared" ref="S175:S184" si="115">SUM(E175:O175)</f>
        <v>2599.7055102820773</v>
      </c>
      <c r="T175" s="1246">
        <v>0.65</v>
      </c>
      <c r="U175" s="1243">
        <f t="shared" si="92"/>
        <v>3046302.4206296597</v>
      </c>
      <c r="V175" s="1244"/>
      <c r="W175" s="1245">
        <f t="shared" si="93"/>
        <v>0</v>
      </c>
      <c r="X175" s="1245"/>
      <c r="Y175" s="1245"/>
      <c r="Z175" s="1245">
        <f t="shared" si="94"/>
        <v>3046302.4206296597</v>
      </c>
      <c r="AA175" s="595"/>
      <c r="AB175" s="258"/>
      <c r="AC175" s="259"/>
      <c r="AD175" s="227">
        <f t="shared" si="98"/>
        <v>0</v>
      </c>
      <c r="AE175" s="1250"/>
      <c r="AF175" s="1254"/>
      <c r="AG175" s="1254"/>
      <c r="AH175" s="1251"/>
      <c r="AI175" s="1254"/>
      <c r="AJ175" s="1254"/>
      <c r="AK175" s="1254">
        <f t="shared" si="99"/>
        <v>0</v>
      </c>
      <c r="AM175" s="227">
        <f t="shared" si="95"/>
        <v>3046302.4206296597</v>
      </c>
      <c r="AP175" s="227">
        <f t="shared" si="96"/>
        <v>67018.653253852506</v>
      </c>
      <c r="AQ175" s="223">
        <f t="shared" ref="AQ175" si="116">+AM175*$AQ$5</f>
        <v>137083.60892833467</v>
      </c>
      <c r="AS175" s="227">
        <f t="shared" si="107"/>
        <v>283067.10754401668</v>
      </c>
      <c r="AU175" s="223">
        <f t="shared" ref="AU175" si="117">+AM175+AP175+AQ175+AS175</f>
        <v>3533471.7903558635</v>
      </c>
      <c r="AW175" s="227">
        <f t="shared" si="114"/>
        <v>0</v>
      </c>
      <c r="AX175" s="457">
        <f>+AW175+AS175</f>
        <v>283067.10754401668</v>
      </c>
      <c r="AY175" s="54"/>
      <c r="AZ175" s="54"/>
      <c r="BA175" s="54"/>
    </row>
    <row r="176" spans="2:53">
      <c r="B176" s="895" t="s">
        <v>144</v>
      </c>
      <c r="C176" s="610">
        <v>99</v>
      </c>
      <c r="D176" s="235">
        <f>+'INPUT VOL'!D159</f>
        <v>14605.288200000001</v>
      </c>
      <c r="E176" s="229"/>
      <c r="F176" s="229"/>
      <c r="G176" s="229"/>
      <c r="H176" s="229"/>
      <c r="I176" s="229"/>
      <c r="J176" s="229"/>
      <c r="K176" s="229"/>
      <c r="L176" s="229"/>
      <c r="M176" s="229"/>
      <c r="N176" s="229">
        <f>+D176/$G$6</f>
        <v>14661</v>
      </c>
      <c r="O176" s="240"/>
      <c r="P176" s="238"/>
      <c r="Q176" s="263"/>
      <c r="R176" s="227">
        <f t="shared" si="91"/>
        <v>25901515.395</v>
      </c>
      <c r="S176" s="1241">
        <f t="shared" si="115"/>
        <v>14661</v>
      </c>
      <c r="T176" s="1246">
        <v>0.98</v>
      </c>
      <c r="U176" s="1243">
        <f t="shared" si="92"/>
        <v>25901515.395</v>
      </c>
      <c r="V176" s="1244"/>
      <c r="W176" s="1245">
        <f t="shared" si="93"/>
        <v>0</v>
      </c>
      <c r="X176" s="1245"/>
      <c r="Y176" s="1245"/>
      <c r="Z176" s="1245">
        <f t="shared" si="94"/>
        <v>25901515.395</v>
      </c>
      <c r="AA176" s="595"/>
      <c r="AB176" s="258"/>
      <c r="AC176" s="259"/>
      <c r="AD176" s="227">
        <f t="shared" si="98"/>
        <v>0</v>
      </c>
      <c r="AE176" s="1250"/>
      <c r="AF176" s="1254"/>
      <c r="AG176" s="1254"/>
      <c r="AH176" s="1251"/>
      <c r="AI176" s="1254"/>
      <c r="AJ176" s="1254"/>
      <c r="AK176" s="1254">
        <f t="shared" si="99"/>
        <v>0</v>
      </c>
      <c r="AM176" s="227">
        <f t="shared" si="95"/>
        <v>25901515.395</v>
      </c>
      <c r="AP176" s="227">
        <f t="shared" si="96"/>
        <v>569833.33869</v>
      </c>
      <c r="AQ176" s="346">
        <f t="shared" ref="AQ176:AQ184" si="118">+AM176*$AQ$5</f>
        <v>1165568.1927749999</v>
      </c>
      <c r="AS176" s="227">
        <f t="shared" si="107"/>
        <v>1596352.6819822502</v>
      </c>
      <c r="AU176" s="223">
        <f t="shared" si="112"/>
        <v>29233269.60844725</v>
      </c>
      <c r="AW176" s="227">
        <f t="shared" si="114"/>
        <v>0</v>
      </c>
      <c r="AX176" s="457"/>
      <c r="AY176" s="54"/>
      <c r="AZ176" s="54"/>
      <c r="BA176" s="54"/>
    </row>
    <row r="177" spans="2:53">
      <c r="B177" s="895" t="s">
        <v>143</v>
      </c>
      <c r="C177" s="610">
        <v>99</v>
      </c>
      <c r="D177" s="235">
        <f>+'INPUT VOL'!D160</f>
        <v>9852.4180000000015</v>
      </c>
      <c r="E177" s="229"/>
      <c r="F177" s="229"/>
      <c r="G177" s="229"/>
      <c r="H177" s="229"/>
      <c r="I177" s="229"/>
      <c r="J177" s="229"/>
      <c r="K177" s="229"/>
      <c r="L177" s="229"/>
      <c r="M177" s="229"/>
      <c r="N177" s="229">
        <f>+D177/$G$6</f>
        <v>9890</v>
      </c>
      <c r="O177" s="240"/>
      <c r="P177" s="238"/>
      <c r="Q177" s="263"/>
      <c r="R177" s="227">
        <f t="shared" si="91"/>
        <v>17472613.550000001</v>
      </c>
      <c r="S177" s="1241">
        <f t="shared" si="115"/>
        <v>9890</v>
      </c>
      <c r="T177" s="1246">
        <v>0.98</v>
      </c>
      <c r="U177" s="1243">
        <f t="shared" si="92"/>
        <v>17472613.550000001</v>
      </c>
      <c r="V177" s="1244"/>
      <c r="W177" s="1245">
        <f t="shared" si="93"/>
        <v>0</v>
      </c>
      <c r="X177" s="1245"/>
      <c r="Y177" s="1245"/>
      <c r="Z177" s="1245">
        <f t="shared" si="94"/>
        <v>17472613.550000001</v>
      </c>
      <c r="AA177" s="595"/>
      <c r="AB177" s="258"/>
      <c r="AC177" s="259"/>
      <c r="AD177" s="227">
        <f t="shared" si="98"/>
        <v>0</v>
      </c>
      <c r="AE177" s="1250"/>
      <c r="AF177" s="1254"/>
      <c r="AG177" s="1254"/>
      <c r="AH177" s="1251"/>
      <c r="AI177" s="1254"/>
      <c r="AJ177" s="1254"/>
      <c r="AK177" s="1254">
        <f t="shared" si="99"/>
        <v>0</v>
      </c>
      <c r="AM177" s="227">
        <f t="shared" si="95"/>
        <v>17472613.550000001</v>
      </c>
      <c r="AP177" s="227">
        <f t="shared" si="96"/>
        <v>384397.49809999997</v>
      </c>
      <c r="AQ177" s="346">
        <f t="shared" ref="AQ177" si="119">+AM177*$AQ$5</f>
        <v>786267.60975000006</v>
      </c>
      <c r="AS177" s="227">
        <f t="shared" si="107"/>
        <v>1076865.6998025002</v>
      </c>
      <c r="AU177" s="223">
        <f t="shared" ref="AU177" si="120">+AM177+AP177+AQ177+AS177</f>
        <v>19720144.3576525</v>
      </c>
      <c r="AW177" s="227">
        <f t="shared" si="114"/>
        <v>0</v>
      </c>
      <c r="AX177" s="457"/>
      <c r="AY177" s="54"/>
      <c r="AZ177" s="54"/>
      <c r="BA177" s="54"/>
    </row>
    <row r="178" spans="2:53">
      <c r="B178" s="670" t="s">
        <v>517</v>
      </c>
      <c r="C178" s="610">
        <v>99</v>
      </c>
      <c r="D178" s="235">
        <f>+'INPUT VOL'!G69</f>
        <v>0</v>
      </c>
      <c r="E178" s="229"/>
      <c r="F178" s="229"/>
      <c r="G178" s="229"/>
      <c r="H178" s="229"/>
      <c r="I178" s="229"/>
      <c r="J178" s="229">
        <f>+D178/$G$6</f>
        <v>0</v>
      </c>
      <c r="K178" s="229"/>
      <c r="L178" s="229"/>
      <c r="M178" s="229"/>
      <c r="N178" s="229"/>
      <c r="O178" s="229"/>
      <c r="P178" s="238"/>
      <c r="Q178" s="263"/>
      <c r="R178" s="227">
        <f t="shared" si="91"/>
        <v>0</v>
      </c>
      <c r="S178" s="1241">
        <f t="shared" si="115"/>
        <v>0</v>
      </c>
      <c r="T178" s="1246">
        <v>0.98</v>
      </c>
      <c r="U178" s="1243">
        <f t="shared" si="92"/>
        <v>0</v>
      </c>
      <c r="V178" s="1244"/>
      <c r="W178" s="1245">
        <f t="shared" si="93"/>
        <v>0</v>
      </c>
      <c r="X178" s="1245"/>
      <c r="Y178" s="1245"/>
      <c r="Z178" s="1245">
        <f t="shared" si="94"/>
        <v>0</v>
      </c>
      <c r="AA178" s="595"/>
      <c r="AB178" s="258"/>
      <c r="AC178" s="259"/>
      <c r="AD178" s="227">
        <f t="shared" si="98"/>
        <v>0</v>
      </c>
      <c r="AE178" s="1250"/>
      <c r="AF178" s="1254"/>
      <c r="AG178" s="1254"/>
      <c r="AH178" s="1251"/>
      <c r="AI178" s="1254"/>
      <c r="AJ178" s="1254"/>
      <c r="AK178" s="1254">
        <f t="shared" si="99"/>
        <v>0</v>
      </c>
      <c r="AM178" s="227">
        <f t="shared" si="95"/>
        <v>0</v>
      </c>
      <c r="AP178" s="227">
        <f t="shared" si="96"/>
        <v>0</v>
      </c>
      <c r="AQ178" s="223">
        <f t="shared" si="118"/>
        <v>0</v>
      </c>
      <c r="AS178" s="227">
        <f t="shared" si="107"/>
        <v>0</v>
      </c>
      <c r="AU178" s="223">
        <f t="shared" si="112"/>
        <v>0</v>
      </c>
      <c r="AW178" s="227">
        <f t="shared" si="114"/>
        <v>0</v>
      </c>
      <c r="AX178" s="457">
        <f>+AW178+AS178</f>
        <v>0</v>
      </c>
      <c r="AY178" s="54"/>
      <c r="AZ178" s="54"/>
      <c r="BA178" s="54"/>
    </row>
    <row r="179" spans="2:53">
      <c r="B179" s="670" t="s">
        <v>518</v>
      </c>
      <c r="C179" s="610">
        <v>99</v>
      </c>
      <c r="D179" s="235">
        <f>+'INPUT VOL'!G70</f>
        <v>3949.9330000000004</v>
      </c>
      <c r="E179" s="229"/>
      <c r="F179" s="229"/>
      <c r="G179" s="229"/>
      <c r="H179" s="229"/>
      <c r="I179" s="229"/>
      <c r="J179" s="229">
        <f>+D179/$G$6</f>
        <v>3965</v>
      </c>
      <c r="K179" s="229"/>
      <c r="L179" s="229"/>
      <c r="M179" s="229"/>
      <c r="N179" s="229"/>
      <c r="O179" s="229"/>
      <c r="P179" s="238"/>
      <c r="Q179" s="263"/>
      <c r="R179" s="227">
        <f t="shared" si="91"/>
        <v>7004945.6749999998</v>
      </c>
      <c r="S179" s="1241">
        <f t="shared" si="115"/>
        <v>3965</v>
      </c>
      <c r="T179" s="1246">
        <v>0.98</v>
      </c>
      <c r="U179" s="1243">
        <f t="shared" si="92"/>
        <v>7004945.6749999998</v>
      </c>
      <c r="V179" s="1244"/>
      <c r="W179" s="1245">
        <f t="shared" si="93"/>
        <v>0</v>
      </c>
      <c r="X179" s="1245"/>
      <c r="Y179" s="1245"/>
      <c r="Z179" s="1245">
        <f t="shared" si="94"/>
        <v>7004945.6749999998</v>
      </c>
      <c r="AA179" s="595"/>
      <c r="AB179" s="258"/>
      <c r="AC179" s="259"/>
      <c r="AD179" s="227">
        <f t="shared" si="98"/>
        <v>0</v>
      </c>
      <c r="AE179" s="1250"/>
      <c r="AF179" s="1254"/>
      <c r="AG179" s="1254"/>
      <c r="AH179" s="1251"/>
      <c r="AI179" s="1254"/>
      <c r="AJ179" s="1254"/>
      <c r="AK179" s="1254">
        <f t="shared" si="99"/>
        <v>0</v>
      </c>
      <c r="AM179" s="227">
        <f t="shared" si="95"/>
        <v>7004945.6749999998</v>
      </c>
      <c r="AP179" s="227">
        <f t="shared" si="96"/>
        <v>154108.80484999999</v>
      </c>
      <c r="AQ179" s="223">
        <f t="shared" si="118"/>
        <v>315222.555375</v>
      </c>
      <c r="AS179" s="227">
        <f t="shared" si="107"/>
        <v>431726.23859625001</v>
      </c>
      <c r="AU179" s="223">
        <f t="shared" si="112"/>
        <v>7906003.2738212505</v>
      </c>
      <c r="AW179" s="227">
        <f t="shared" si="114"/>
        <v>0</v>
      </c>
      <c r="AX179" s="457">
        <f>+AW179+AS179</f>
        <v>431726.23859625001</v>
      </c>
      <c r="AY179" s="54"/>
      <c r="AZ179" s="54"/>
      <c r="BA179" s="54"/>
    </row>
    <row r="180" spans="2:53">
      <c r="B180" s="225" t="s">
        <v>502</v>
      </c>
      <c r="C180" s="610">
        <v>99</v>
      </c>
      <c r="D180" s="1088">
        <v>0</v>
      </c>
      <c r="E180" s="229"/>
      <c r="F180" s="229"/>
      <c r="G180" s="229"/>
      <c r="H180" s="247">
        <f>+D180/$G$6</f>
        <v>0</v>
      </c>
      <c r="I180" s="229"/>
      <c r="J180" s="229"/>
      <c r="K180" s="229"/>
      <c r="L180" s="229"/>
      <c r="M180" s="229"/>
      <c r="N180" s="229"/>
      <c r="O180" s="245"/>
      <c r="P180" s="238"/>
      <c r="Q180" s="263"/>
      <c r="R180" s="227">
        <f t="shared" si="91"/>
        <v>0</v>
      </c>
      <c r="S180" s="1241">
        <f t="shared" si="115"/>
        <v>0</v>
      </c>
      <c r="T180" s="1246"/>
      <c r="U180" s="1243">
        <f t="shared" si="92"/>
        <v>0</v>
      </c>
      <c r="V180" s="1244"/>
      <c r="W180" s="1245">
        <f t="shared" si="93"/>
        <v>0</v>
      </c>
      <c r="X180" s="1245"/>
      <c r="Y180" s="1245"/>
      <c r="Z180" s="1245">
        <f t="shared" si="94"/>
        <v>0</v>
      </c>
      <c r="AA180" s="497"/>
      <c r="AB180" s="258"/>
      <c r="AC180" s="259"/>
      <c r="AD180" s="227">
        <f t="shared" si="98"/>
        <v>0</v>
      </c>
      <c r="AE180" s="1250">
        <f t="shared" ref="AE180:AE189" si="121">SUM(E180:O180)</f>
        <v>0</v>
      </c>
      <c r="AF180" s="1247"/>
      <c r="AG180" s="1252">
        <f t="shared" ref="AG180:AG184" si="122">+AE180*AF180*$AF$3</f>
        <v>0</v>
      </c>
      <c r="AH180" s="1260"/>
      <c r="AI180" s="1247"/>
      <c r="AJ180" s="1247"/>
      <c r="AK180" s="1254">
        <f t="shared" si="99"/>
        <v>0</v>
      </c>
      <c r="AM180" s="227">
        <f t="shared" si="95"/>
        <v>0</v>
      </c>
      <c r="AP180" s="227">
        <f t="shared" si="96"/>
        <v>0</v>
      </c>
      <c r="AQ180" s="223">
        <f>+AM180*$AQ$5</f>
        <v>0</v>
      </c>
      <c r="AS180" s="227">
        <f t="shared" si="107"/>
        <v>0</v>
      </c>
      <c r="AU180" s="223">
        <f t="shared" si="112"/>
        <v>0</v>
      </c>
      <c r="AW180" s="227">
        <f t="shared" si="114"/>
        <v>0</v>
      </c>
      <c r="AY180" s="54"/>
      <c r="AZ180" s="54"/>
      <c r="BA180" s="54"/>
    </row>
    <row r="181" spans="2:53">
      <c r="B181" s="225" t="s">
        <v>440</v>
      </c>
      <c r="C181" s="610">
        <v>99</v>
      </c>
      <c r="D181" s="1088">
        <v>0</v>
      </c>
      <c r="E181" s="229"/>
      <c r="F181" s="229"/>
      <c r="G181" s="229"/>
      <c r="H181" s="229">
        <f>+D181/$G$6</f>
        <v>0</v>
      </c>
      <c r="I181" s="229"/>
      <c r="J181" s="229"/>
      <c r="K181" s="229"/>
      <c r="L181" s="229"/>
      <c r="M181" s="229"/>
      <c r="N181" s="229"/>
      <c r="O181" s="245"/>
      <c r="P181" s="238"/>
      <c r="Q181" s="263"/>
      <c r="R181" s="227">
        <f t="shared" si="91"/>
        <v>0</v>
      </c>
      <c r="S181" s="1241">
        <f t="shared" si="115"/>
        <v>0</v>
      </c>
      <c r="T181" s="1246"/>
      <c r="U181" s="1243">
        <f t="shared" si="92"/>
        <v>0</v>
      </c>
      <c r="V181" s="1244"/>
      <c r="W181" s="1245">
        <f t="shared" si="93"/>
        <v>0</v>
      </c>
      <c r="X181" s="1245"/>
      <c r="Y181" s="1245"/>
      <c r="Z181" s="1245">
        <f t="shared" si="94"/>
        <v>0</v>
      </c>
      <c r="AA181" s="497"/>
      <c r="AB181" s="258"/>
      <c r="AC181" s="259"/>
      <c r="AD181" s="227">
        <f t="shared" si="98"/>
        <v>0</v>
      </c>
      <c r="AE181" s="1250">
        <f t="shared" si="121"/>
        <v>0</v>
      </c>
      <c r="AF181" s="1247"/>
      <c r="AG181" s="1252">
        <f t="shared" si="122"/>
        <v>0</v>
      </c>
      <c r="AH181" s="1260"/>
      <c r="AI181" s="1247"/>
      <c r="AJ181" s="1247"/>
      <c r="AK181" s="1254">
        <f t="shared" si="99"/>
        <v>0</v>
      </c>
      <c r="AM181" s="227">
        <f t="shared" si="95"/>
        <v>0</v>
      </c>
      <c r="AP181" s="227">
        <f t="shared" si="96"/>
        <v>0</v>
      </c>
      <c r="AQ181" s="223">
        <f t="shared" si="118"/>
        <v>0</v>
      </c>
      <c r="AS181" s="227">
        <f t="shared" si="107"/>
        <v>0</v>
      </c>
      <c r="AU181" s="223">
        <f t="shared" si="112"/>
        <v>0</v>
      </c>
      <c r="AW181" s="227">
        <f t="shared" si="114"/>
        <v>0</v>
      </c>
      <c r="AY181" s="54"/>
      <c r="AZ181" s="54"/>
      <c r="BA181" s="54"/>
    </row>
    <row r="182" spans="2:53">
      <c r="B182" s="225" t="s">
        <v>441</v>
      </c>
      <c r="C182" s="610">
        <v>99</v>
      </c>
      <c r="D182" s="923">
        <v>0</v>
      </c>
      <c r="E182" s="229"/>
      <c r="F182" s="229">
        <f>+D182/$G$6</f>
        <v>0</v>
      </c>
      <c r="G182" s="229"/>
      <c r="H182" s="229"/>
      <c r="I182" s="229"/>
      <c r="J182" s="229"/>
      <c r="K182" s="229"/>
      <c r="L182" s="229"/>
      <c r="M182" s="229"/>
      <c r="N182" s="229"/>
      <c r="O182" s="245"/>
      <c r="P182" s="238"/>
      <c r="Q182" s="263"/>
      <c r="R182" s="227">
        <f t="shared" si="91"/>
        <v>0</v>
      </c>
      <c r="S182" s="1241">
        <f t="shared" si="115"/>
        <v>0</v>
      </c>
      <c r="T182" s="1246"/>
      <c r="U182" s="1243">
        <f t="shared" si="92"/>
        <v>0</v>
      </c>
      <c r="V182" s="1244"/>
      <c r="W182" s="1245">
        <f t="shared" si="93"/>
        <v>0</v>
      </c>
      <c r="X182" s="1245"/>
      <c r="Y182" s="1245"/>
      <c r="Z182" s="1245">
        <f t="shared" si="94"/>
        <v>0</v>
      </c>
      <c r="AA182" s="497"/>
      <c r="AB182" s="258"/>
      <c r="AC182" s="259"/>
      <c r="AD182" s="227">
        <f t="shared" si="98"/>
        <v>0</v>
      </c>
      <c r="AE182" s="1250">
        <f t="shared" si="121"/>
        <v>0</v>
      </c>
      <c r="AF182" s="1254"/>
      <c r="AG182" s="1252">
        <f t="shared" si="122"/>
        <v>0</v>
      </c>
      <c r="AH182" s="1260"/>
      <c r="AI182" s="1254"/>
      <c r="AJ182" s="1254"/>
      <c r="AK182" s="1254">
        <f t="shared" si="99"/>
        <v>0</v>
      </c>
      <c r="AM182" s="227">
        <f t="shared" si="95"/>
        <v>0</v>
      </c>
      <c r="AP182" s="227">
        <f t="shared" si="96"/>
        <v>0</v>
      </c>
      <c r="AQ182" s="223">
        <f t="shared" si="118"/>
        <v>0</v>
      </c>
      <c r="AS182" s="227">
        <f>+(D182/$AS$4)*$AS$2*$AS$3*$AS$1+AS201</f>
        <v>0</v>
      </c>
      <c r="AU182" s="223">
        <f t="shared" si="112"/>
        <v>0</v>
      </c>
      <c r="AW182" s="227">
        <f t="shared" si="114"/>
        <v>0</v>
      </c>
      <c r="AY182" s="54"/>
      <c r="AZ182" s="54"/>
      <c r="BA182" s="54"/>
    </row>
    <row r="183" spans="2:53">
      <c r="B183" s="668" t="s">
        <v>442</v>
      </c>
      <c r="C183" s="891">
        <v>99</v>
      </c>
      <c r="D183" s="1096">
        <v>3152</v>
      </c>
      <c r="E183" s="223"/>
      <c r="F183" s="223"/>
      <c r="G183" s="223"/>
      <c r="H183" s="247">
        <f>+D183/$G$6</f>
        <v>3164.0232884962857</v>
      </c>
      <c r="I183" s="223"/>
      <c r="J183" s="223"/>
      <c r="K183" s="223"/>
      <c r="L183" s="223"/>
      <c r="M183" s="223"/>
      <c r="N183" s="223"/>
      <c r="O183" s="469"/>
      <c r="P183" s="238"/>
      <c r="Q183" s="263"/>
      <c r="R183" s="227">
        <f t="shared" si="91"/>
        <v>3821641.7988355751</v>
      </c>
      <c r="S183" s="1241">
        <f t="shared" si="115"/>
        <v>3164.0232884962857</v>
      </c>
      <c r="T183" s="1246">
        <v>0.67</v>
      </c>
      <c r="U183" s="1243">
        <f t="shared" si="92"/>
        <v>3821641.7988355751</v>
      </c>
      <c r="V183" s="1244"/>
      <c r="W183" s="1245">
        <f t="shared" si="93"/>
        <v>0</v>
      </c>
      <c r="X183" s="1245"/>
      <c r="Y183" s="1245"/>
      <c r="Z183" s="1245">
        <f t="shared" si="94"/>
        <v>3821641.7988355751</v>
      </c>
      <c r="AA183" s="497"/>
      <c r="AB183" s="258"/>
      <c r="AC183" s="259"/>
      <c r="AD183" s="227">
        <f t="shared" si="98"/>
        <v>2587581.2828282863</v>
      </c>
      <c r="AE183" s="1250">
        <f t="shared" si="121"/>
        <v>3164.0232884962857</v>
      </c>
      <c r="AF183" s="1246">
        <v>0.65</v>
      </c>
      <c r="AG183" s="1252">
        <f t="shared" si="122"/>
        <v>3707562.9391688416</v>
      </c>
      <c r="AH183" s="1253">
        <f t="shared" ref="AH183:AH184" si="123">+AE183/$AE$192</f>
        <v>7.9219919985322289E-3</v>
      </c>
      <c r="AI183" s="1254">
        <f>+AH183*$AI$7</f>
        <v>-1119981.6563405551</v>
      </c>
      <c r="AJ183" s="1254"/>
      <c r="AK183" s="1254">
        <f t="shared" si="99"/>
        <v>2587581.2828282863</v>
      </c>
      <c r="AM183" s="227">
        <f t="shared" si="95"/>
        <v>6409223.0816638619</v>
      </c>
      <c r="AP183" s="227">
        <f t="shared" si="96"/>
        <v>141002.90779660497</v>
      </c>
      <c r="AQ183" s="223">
        <f t="shared" si="118"/>
        <v>288415.03867487377</v>
      </c>
      <c r="AS183" s="227">
        <f>+(D183/$AS$4)*$AS$2*$AS$3*$AS$1</f>
        <v>344512.45225055207</v>
      </c>
      <c r="AU183" s="223">
        <f t="shared" si="112"/>
        <v>7183153.480385893</v>
      </c>
      <c r="AW183" s="227">
        <f t="shared" si="114"/>
        <v>0</v>
      </c>
      <c r="AY183" s="54"/>
      <c r="AZ183" s="54"/>
      <c r="BA183" s="54"/>
    </row>
    <row r="184" spans="2:53">
      <c r="B184" s="674" t="s">
        <v>492</v>
      </c>
      <c r="C184" s="610">
        <v>99</v>
      </c>
      <c r="D184" s="1122">
        <v>1866</v>
      </c>
      <c r="E184" s="229"/>
      <c r="F184" s="229"/>
      <c r="G184" s="229"/>
      <c r="H184" s="229">
        <f>+D184/$G$6</f>
        <v>1873.1178478217223</v>
      </c>
      <c r="I184" s="229"/>
      <c r="J184" s="229"/>
      <c r="K184" s="229"/>
      <c r="L184" s="229"/>
      <c r="M184" s="229"/>
      <c r="N184" s="229"/>
      <c r="O184" s="245"/>
      <c r="P184" s="238"/>
      <c r="Q184" s="263"/>
      <c r="R184" s="227">
        <f t="shared" si="91"/>
        <v>2262431.3441076088</v>
      </c>
      <c r="S184" s="1241">
        <f t="shared" si="115"/>
        <v>1873.1178478217223</v>
      </c>
      <c r="T184" s="1246">
        <v>0.67</v>
      </c>
      <c r="U184" s="1243">
        <f t="shared" si="92"/>
        <v>2262431.3441076088</v>
      </c>
      <c r="V184" s="1244"/>
      <c r="W184" s="1245">
        <f t="shared" si="93"/>
        <v>0</v>
      </c>
      <c r="X184" s="1245"/>
      <c r="Y184" s="1245"/>
      <c r="Z184" s="1245">
        <f t="shared" si="94"/>
        <v>2262431.3441076088</v>
      </c>
      <c r="AA184" s="497"/>
      <c r="AB184" s="258"/>
      <c r="AC184" s="259"/>
      <c r="AD184" s="227">
        <f t="shared" si="98"/>
        <v>1531861.2543647154</v>
      </c>
      <c r="AE184" s="1250">
        <f t="shared" si="121"/>
        <v>1873.1178478217223</v>
      </c>
      <c r="AF184" s="1246">
        <v>0.65</v>
      </c>
      <c r="AG184" s="1252">
        <f t="shared" si="122"/>
        <v>2194896.0801043967</v>
      </c>
      <c r="AH184" s="1253">
        <f t="shared" si="123"/>
        <v>4.6898594762884317E-3</v>
      </c>
      <c r="AI184" s="1254">
        <f>+AH184*$AI$7</f>
        <v>-663034.82573968137</v>
      </c>
      <c r="AJ184" s="1254"/>
      <c r="AK184" s="1254">
        <f t="shared" si="99"/>
        <v>1531861.2543647154</v>
      </c>
      <c r="AM184" s="227">
        <f t="shared" si="95"/>
        <v>3794292.5984723242</v>
      </c>
      <c r="AP184" s="227">
        <f t="shared" si="96"/>
        <v>83474.43716639113</v>
      </c>
      <c r="AQ184" s="223">
        <f t="shared" si="118"/>
        <v>170743.16693125459</v>
      </c>
      <c r="AS184" s="227">
        <f>+(D184/$AS$4)*$AS$2*$AS$3*$AS$1</f>
        <v>203953.12052650072</v>
      </c>
      <c r="AU184" s="223">
        <f t="shared" si="112"/>
        <v>4252463.3230964709</v>
      </c>
      <c r="AW184" s="227">
        <f t="shared" si="114"/>
        <v>0</v>
      </c>
      <c r="AY184" s="54"/>
      <c r="AZ184" s="54"/>
      <c r="BA184" s="54"/>
    </row>
    <row r="185" spans="2:53">
      <c r="B185" s="674" t="s">
        <v>475</v>
      </c>
      <c r="C185" s="610">
        <v>99</v>
      </c>
      <c r="D185" s="226">
        <f>+'INPUT II'!M31</f>
        <v>0</v>
      </c>
      <c r="E185" s="229"/>
      <c r="F185" s="229"/>
      <c r="G185" s="229"/>
      <c r="H185" s="229"/>
      <c r="I185" s="229">
        <f>+(D185)/G6</f>
        <v>0</v>
      </c>
      <c r="J185" s="229"/>
      <c r="K185" s="229"/>
      <c r="L185" s="229"/>
      <c r="M185" s="229"/>
      <c r="N185" s="229"/>
      <c r="O185" s="245"/>
      <c r="P185" s="238"/>
      <c r="Q185" s="263"/>
      <c r="R185" s="227">
        <f t="shared" si="91"/>
        <v>0</v>
      </c>
      <c r="S185" s="1248"/>
      <c r="T185" s="1249"/>
      <c r="U185" s="1249"/>
      <c r="V185" s="1249"/>
      <c r="W185" s="1249"/>
      <c r="X185" s="1249"/>
      <c r="Y185" s="1249"/>
      <c r="Z185" s="1245">
        <f t="shared" si="94"/>
        <v>0</v>
      </c>
      <c r="AA185" s="497"/>
      <c r="AB185" s="258"/>
      <c r="AC185" s="259"/>
      <c r="AD185" s="227">
        <f t="shared" si="98"/>
        <v>0</v>
      </c>
      <c r="AE185" s="1250">
        <f t="shared" si="121"/>
        <v>0</v>
      </c>
      <c r="AF185" s="1247"/>
      <c r="AG185" s="1247"/>
      <c r="AH185" s="1246"/>
      <c r="AI185" s="1247"/>
      <c r="AJ185" s="1247"/>
      <c r="AK185" s="1254">
        <f t="shared" si="99"/>
        <v>0</v>
      </c>
      <c r="AM185" s="227">
        <f t="shared" si="95"/>
        <v>0</v>
      </c>
      <c r="AP185" s="227">
        <f t="shared" si="96"/>
        <v>0</v>
      </c>
      <c r="AQ185" s="228">
        <v>0</v>
      </c>
      <c r="AS185" s="223">
        <v>0</v>
      </c>
      <c r="AU185" s="223">
        <f t="shared" si="112"/>
        <v>0</v>
      </c>
      <c r="AW185" s="223"/>
      <c r="AY185" s="54"/>
      <c r="AZ185" s="54"/>
      <c r="BA185" s="54"/>
    </row>
    <row r="186" spans="2:53">
      <c r="B186" s="668" t="s">
        <v>558</v>
      </c>
      <c r="C186" s="890">
        <v>99</v>
      </c>
      <c r="D186" s="910">
        <f>+'INPUT VOL'!D192</f>
        <v>23429.149624000001</v>
      </c>
      <c r="E186" s="223"/>
      <c r="F186" s="223"/>
      <c r="G186" s="223"/>
      <c r="H186" s="223"/>
      <c r="I186" s="247">
        <f>+(D186)/G6</f>
        <v>23518.52</v>
      </c>
      <c r="J186" s="223"/>
      <c r="K186" s="223"/>
      <c r="L186" s="223"/>
      <c r="M186" s="223"/>
      <c r="N186" s="223"/>
      <c r="O186" s="469"/>
      <c r="P186" s="238"/>
      <c r="Q186" s="263"/>
      <c r="R186" s="227">
        <f t="shared" si="91"/>
        <v>0</v>
      </c>
      <c r="S186" s="1248"/>
      <c r="T186" s="1249"/>
      <c r="U186" s="1249"/>
      <c r="V186" s="1249"/>
      <c r="W186" s="1249"/>
      <c r="X186" s="1249"/>
      <c r="Y186" s="1249"/>
      <c r="Z186" s="1245">
        <f t="shared" si="94"/>
        <v>0</v>
      </c>
      <c r="AA186" s="497"/>
      <c r="AB186" s="258"/>
      <c r="AC186" s="259"/>
      <c r="AD186" s="227">
        <f t="shared" si="98"/>
        <v>31455459.588783197</v>
      </c>
      <c r="AE186" s="1261">
        <f t="shared" si="121"/>
        <v>23518.52</v>
      </c>
      <c r="AF186" s="1246">
        <v>0.74190883385562545</v>
      </c>
      <c r="AG186" s="1247"/>
      <c r="AH186" s="1246"/>
      <c r="AI186" s="1247"/>
      <c r="AJ186" s="1262">
        <f>+AE186*AF186*$AF$3</f>
        <v>31455459.588783197</v>
      </c>
      <c r="AK186" s="1254">
        <f t="shared" si="99"/>
        <v>31455459.588783197</v>
      </c>
      <c r="AM186" s="227">
        <f t="shared" si="95"/>
        <v>31455459.588783197</v>
      </c>
      <c r="AP186" s="227">
        <f t="shared" si="96"/>
        <v>692020.11095323029</v>
      </c>
      <c r="AQ186" s="1072">
        <f>+AM186*$AQ$5+1805007</f>
        <v>3220502.6814952437</v>
      </c>
      <c r="AS186" s="223">
        <v>0</v>
      </c>
      <c r="AU186" s="223">
        <f t="shared" si="112"/>
        <v>35367982.381231673</v>
      </c>
      <c r="AW186" s="223"/>
      <c r="AY186" s="54"/>
      <c r="AZ186" s="54"/>
      <c r="BA186" s="54"/>
    </row>
    <row r="187" spans="2:53">
      <c r="B187" s="668" t="s">
        <v>559</v>
      </c>
      <c r="C187" s="890">
        <v>99</v>
      </c>
      <c r="D187" s="910">
        <f>+'INPUT VOL'!D193</f>
        <v>4477.9986960000006</v>
      </c>
      <c r="E187" s="223"/>
      <c r="F187" s="223"/>
      <c r="G187" s="223"/>
      <c r="H187" s="223"/>
      <c r="I187" s="247">
        <f>+(D187)/G6</f>
        <v>4495.08</v>
      </c>
      <c r="J187" s="223"/>
      <c r="K187" s="223"/>
      <c r="L187" s="223"/>
      <c r="M187" s="223"/>
      <c r="N187" s="223"/>
      <c r="O187" s="469"/>
      <c r="P187" s="238"/>
      <c r="Q187" s="263"/>
      <c r="R187" s="227">
        <f t="shared" si="91"/>
        <v>0</v>
      </c>
      <c r="S187" s="1248"/>
      <c r="T187" s="1249"/>
      <c r="U187" s="1249"/>
      <c r="V187" s="1249"/>
      <c r="W187" s="1249"/>
      <c r="X187" s="1249"/>
      <c r="Y187" s="1249"/>
      <c r="Z187" s="1245">
        <f t="shared" si="94"/>
        <v>0</v>
      </c>
      <c r="AA187" s="497"/>
      <c r="AB187" s="258"/>
      <c r="AC187" s="259"/>
      <c r="AD187" s="227">
        <f t="shared" si="98"/>
        <v>5661072.4882654641</v>
      </c>
      <c r="AE187" s="1261">
        <f t="shared" si="121"/>
        <v>4495.08</v>
      </c>
      <c r="AF187" s="1246">
        <v>0.69859550403505366</v>
      </c>
      <c r="AG187" s="1247"/>
      <c r="AH187" s="1246"/>
      <c r="AI187" s="1247"/>
      <c r="AJ187" s="1262">
        <f>+AE187*AF187*$AF$3</f>
        <v>5661072.4882654641</v>
      </c>
      <c r="AK187" s="1254">
        <f t="shared" si="99"/>
        <v>5661072.4882654641</v>
      </c>
      <c r="AM187" s="227">
        <f t="shared" si="95"/>
        <v>5661072.4882654641</v>
      </c>
      <c r="AP187" s="227">
        <f t="shared" si="96"/>
        <v>124543.59474184021</v>
      </c>
      <c r="AQ187" s="223">
        <f t="shared" ref="AQ187" si="124">+AM187*$AQ$5</f>
        <v>254748.26197194587</v>
      </c>
      <c r="AS187" s="223">
        <v>0</v>
      </c>
      <c r="AU187" s="223">
        <f>+AM187+AP187+AQ187+AS187-2</f>
        <v>6040362.3449792499</v>
      </c>
      <c r="AW187" s="223"/>
      <c r="AY187" s="54"/>
      <c r="AZ187" s="54"/>
      <c r="BA187" s="54"/>
    </row>
    <row r="188" spans="2:53">
      <c r="B188" s="674" t="s">
        <v>560</v>
      </c>
      <c r="C188" s="610">
        <v>99</v>
      </c>
      <c r="D188" s="910">
        <f>+'INPUT VOL'!D194</f>
        <v>4712.6336819999997</v>
      </c>
      <c r="E188" s="1044"/>
      <c r="F188" s="229"/>
      <c r="G188" s="229"/>
      <c r="H188" s="229"/>
      <c r="I188" s="229"/>
      <c r="J188" s="229"/>
      <c r="K188" s="229"/>
      <c r="L188" s="229"/>
      <c r="M188" s="229">
        <f>+D188/$G$6</f>
        <v>4730.6099999999997</v>
      </c>
      <c r="N188" s="229"/>
      <c r="O188" s="245"/>
      <c r="P188" s="238"/>
      <c r="Q188" s="263"/>
      <c r="R188" s="227">
        <f t="shared" si="91"/>
        <v>0</v>
      </c>
      <c r="S188" s="1248"/>
      <c r="T188" s="1249"/>
      <c r="U188" s="1249"/>
      <c r="V188" s="1249"/>
      <c r="W188" s="1249"/>
      <c r="X188" s="1249"/>
      <c r="Y188" s="1249"/>
      <c r="Z188" s="1249"/>
      <c r="AA188" s="497"/>
      <c r="AB188" s="258"/>
      <c r="AC188" s="259"/>
      <c r="AD188" s="227">
        <f t="shared" si="98"/>
        <v>8615154.9219206478</v>
      </c>
      <c r="AE188" s="1261">
        <f t="shared" si="121"/>
        <v>4730.6099999999997</v>
      </c>
      <c r="AF188" s="1246">
        <v>1.0102071588230399</v>
      </c>
      <c r="AG188" s="1247"/>
      <c r="AH188" s="1246"/>
      <c r="AI188" s="1247"/>
      <c r="AJ188" s="1262">
        <f>+AE188*AF188*$AF$3</f>
        <v>8615154.9219206478</v>
      </c>
      <c r="AK188" s="1254">
        <f t="shared" si="99"/>
        <v>8615154.9219206478</v>
      </c>
      <c r="AM188" s="227">
        <f t="shared" si="95"/>
        <v>8615154.9219206478</v>
      </c>
      <c r="AP188" s="227">
        <f t="shared" si="96"/>
        <v>189533.40828225424</v>
      </c>
      <c r="AQ188" s="223">
        <f t="shared" ref="AQ188:AQ191" si="125">+AM188*$AQ$5</f>
        <v>387681.97148642916</v>
      </c>
      <c r="AS188" s="223">
        <v>0</v>
      </c>
      <c r="AU188" s="223">
        <f t="shared" ref="AU188" si="126">+AM188+AP188+AQ188+AS188</f>
        <v>9192370.3016893305</v>
      </c>
      <c r="AW188" s="223"/>
      <c r="AY188" s="54"/>
      <c r="AZ188" s="54"/>
      <c r="BA188" s="54"/>
    </row>
    <row r="189" spans="2:53">
      <c r="B189" s="674" t="s">
        <v>561</v>
      </c>
      <c r="C189" s="610">
        <v>99</v>
      </c>
      <c r="D189" s="910">
        <f>+'INPUT VOL'!D195</f>
        <v>5977.2000000000007</v>
      </c>
      <c r="E189" s="1044"/>
      <c r="F189" s="229"/>
      <c r="G189" s="229"/>
      <c r="H189" s="229"/>
      <c r="I189" s="229"/>
      <c r="J189" s="229"/>
      <c r="K189" s="229"/>
      <c r="L189" s="229"/>
      <c r="M189" s="229">
        <f>+D189/$G$6</f>
        <v>6000</v>
      </c>
      <c r="N189" s="229"/>
      <c r="O189" s="245"/>
      <c r="P189" s="238"/>
      <c r="Q189" s="263"/>
      <c r="R189" s="227">
        <f t="shared" si="91"/>
        <v>0</v>
      </c>
      <c r="S189" s="1248"/>
      <c r="T189" s="1249"/>
      <c r="U189" s="1249"/>
      <c r="V189" s="1249"/>
      <c r="W189" s="1249"/>
      <c r="X189" s="1249"/>
      <c r="Y189" s="1249"/>
      <c r="Z189" s="1249"/>
      <c r="AA189" s="497"/>
      <c r="AB189" s="258"/>
      <c r="AC189" s="259"/>
      <c r="AD189" s="227">
        <f t="shared" si="98"/>
        <v>10273169.941915194</v>
      </c>
      <c r="AE189" s="1261">
        <f t="shared" si="121"/>
        <v>6000</v>
      </c>
      <c r="AF189" s="1246">
        <v>0.94976840400454798</v>
      </c>
      <c r="AG189" s="1247"/>
      <c r="AH189" s="1246"/>
      <c r="AI189" s="1247"/>
      <c r="AJ189" s="1262">
        <f>+AE189*AF189*$AF$3</f>
        <v>10273169.941915194</v>
      </c>
      <c r="AK189" s="1254">
        <f t="shared" si="99"/>
        <v>10273169.941915194</v>
      </c>
      <c r="AM189" s="227">
        <f t="shared" si="95"/>
        <v>10273169.941915194</v>
      </c>
      <c r="AP189" s="227">
        <f t="shared" si="96"/>
        <v>226009.73872213424</v>
      </c>
      <c r="AQ189" s="223">
        <f t="shared" ref="AQ189" si="127">+AM189*$AQ$5</f>
        <v>462292.64738618367</v>
      </c>
      <c r="AS189" s="223">
        <v>0</v>
      </c>
      <c r="AU189" s="223">
        <f t="shared" ref="AU189" si="128">+AM189+AP189+AQ189+AS189</f>
        <v>10961472.328023512</v>
      </c>
      <c r="AW189" s="223"/>
      <c r="AY189" s="54"/>
      <c r="AZ189" s="54"/>
      <c r="BA189" s="54"/>
    </row>
    <row r="190" spans="2:53">
      <c r="B190" s="674" t="s">
        <v>480</v>
      </c>
      <c r="C190" s="610">
        <v>99</v>
      </c>
      <c r="D190" s="226">
        <f>+'INPUT VOL'!G159</f>
        <v>2524.1392771103078</v>
      </c>
      <c r="E190" s="229"/>
      <c r="F190" s="229"/>
      <c r="G190" s="229"/>
      <c r="H190" s="229"/>
      <c r="I190" s="229"/>
      <c r="J190" s="229"/>
      <c r="K190" s="229"/>
      <c r="L190" s="229"/>
      <c r="M190" s="229"/>
      <c r="N190" s="229"/>
      <c r="O190" s="245"/>
      <c r="P190" s="238"/>
      <c r="Q190" s="263"/>
      <c r="R190" s="227">
        <f t="shared" si="91"/>
        <v>0</v>
      </c>
      <c r="S190" s="1248"/>
      <c r="T190" s="1249"/>
      <c r="U190" s="1249"/>
      <c r="V190" s="1249"/>
      <c r="W190" s="1249"/>
      <c r="X190" s="1249"/>
      <c r="Y190" s="1249"/>
      <c r="Z190" s="1249"/>
      <c r="AA190" s="497"/>
      <c r="AB190" s="258"/>
      <c r="AC190" s="259"/>
      <c r="AD190" s="227">
        <f t="shared" si="98"/>
        <v>7572149.6030147057</v>
      </c>
      <c r="AE190" s="1250">
        <f>+D190/G5</f>
        <v>2533.7675939673836</v>
      </c>
      <c r="AF190" s="1246">
        <v>0.65</v>
      </c>
      <c r="AG190" s="1252">
        <f t="shared" ref="AG190:AG191" si="129">+AE190*AF190*$AF$3</f>
        <v>2969037.1945160553</v>
      </c>
      <c r="AH190" s="1253">
        <f t="shared" ref="AH190:AH191" si="130">+AE190/$AE$192</f>
        <v>6.3439756207007555E-3</v>
      </c>
      <c r="AI190" s="1254">
        <f>+AH190*$AI$7</f>
        <v>-896887.59150134958</v>
      </c>
      <c r="AJ190" s="1266">
        <v>5500000</v>
      </c>
      <c r="AK190" s="1254">
        <f t="shared" si="99"/>
        <v>7572149.6030147057</v>
      </c>
      <c r="AM190" s="227">
        <f t="shared" si="95"/>
        <v>7572149.6030147057</v>
      </c>
      <c r="AP190" s="227">
        <f t="shared" si="96"/>
        <v>166587.2912663235</v>
      </c>
      <c r="AQ190" s="223">
        <f t="shared" si="125"/>
        <v>340746.73213566176</v>
      </c>
      <c r="AS190" s="223">
        <v>0</v>
      </c>
      <c r="AU190" s="223">
        <f t="shared" si="112"/>
        <v>8079483.6264166906</v>
      </c>
      <c r="AW190" s="223"/>
      <c r="AY190" s="54"/>
      <c r="AZ190" s="54"/>
      <c r="BA190" s="54"/>
    </row>
    <row r="191" spans="2:53" ht="13.5" thickBot="1">
      <c r="B191" s="668" t="s">
        <v>481</v>
      </c>
      <c r="C191" s="890">
        <v>99</v>
      </c>
      <c r="D191" s="909">
        <f>+'INPUT VOL'!G160</f>
        <v>2433.3263029188734</v>
      </c>
      <c r="E191" s="223"/>
      <c r="F191" s="223"/>
      <c r="G191" s="223"/>
      <c r="H191" s="223"/>
      <c r="I191" s="223"/>
      <c r="J191" s="223"/>
      <c r="K191" s="223"/>
      <c r="L191" s="223"/>
      <c r="M191" s="223"/>
      <c r="N191" s="223"/>
      <c r="O191" s="469"/>
      <c r="P191" s="238"/>
      <c r="Q191" s="263"/>
      <c r="R191" s="223"/>
      <c r="S191"/>
      <c r="T191"/>
      <c r="U191"/>
      <c r="AB191" s="258"/>
      <c r="AC191" s="259"/>
      <c r="AD191" s="227">
        <f t="shared" si="98"/>
        <v>12422604.222222915</v>
      </c>
      <c r="AE191" s="717">
        <f>+D191/G6</f>
        <v>2442.6082141325769</v>
      </c>
      <c r="AF191" s="290">
        <v>0.65</v>
      </c>
      <c r="AG191" s="1233">
        <f t="shared" si="129"/>
        <v>2862217.7727178768</v>
      </c>
      <c r="AH191" s="1239">
        <f t="shared" si="130"/>
        <v>6.1157333443976275E-3</v>
      </c>
      <c r="AI191" s="717">
        <f>+AH191*$AI$7</f>
        <v>-864619.55049496156</v>
      </c>
      <c r="AJ191" s="1267">
        <v>10425006</v>
      </c>
      <c r="AK191" s="717">
        <f t="shared" si="99"/>
        <v>12422604.222222915</v>
      </c>
      <c r="AM191" s="227">
        <f t="shared" si="95"/>
        <v>12422604.222222915</v>
      </c>
      <c r="AP191" s="227">
        <f t="shared" si="96"/>
        <v>273297.29288890411</v>
      </c>
      <c r="AQ191" s="223">
        <f t="shared" si="125"/>
        <v>559017.19000003114</v>
      </c>
      <c r="AS191" s="223">
        <v>0</v>
      </c>
      <c r="AU191" s="1072">
        <f>+AM191+AP191+AQ191+AS191</f>
        <v>13254918.70511185</v>
      </c>
      <c r="AW191" s="223"/>
      <c r="AY191" s="54"/>
      <c r="AZ191" s="54"/>
      <c r="BA191" s="54"/>
    </row>
    <row r="192" spans="2:53" ht="13.5" thickBot="1">
      <c r="B192" s="248" t="s">
        <v>91</v>
      </c>
      <c r="C192" s="611"/>
      <c r="D192" s="249">
        <f>SUM(D14:D191)</f>
        <v>948383.62525285536</v>
      </c>
      <c r="E192" s="249">
        <f>SUM(E9:E191)</f>
        <v>199933.5233452534</v>
      </c>
      <c r="F192" s="249">
        <f t="shared" ref="F192:O192" si="131">SUM(F9:F183)</f>
        <v>28460.278939701235</v>
      </c>
      <c r="G192" s="249">
        <f t="shared" si="131"/>
        <v>193179.78088408901</v>
      </c>
      <c r="H192" s="249">
        <f t="shared" si="131"/>
        <v>291198.99941547221</v>
      </c>
      <c r="I192" s="249">
        <f t="shared" si="131"/>
        <v>0</v>
      </c>
      <c r="J192" s="249">
        <f t="shared" si="131"/>
        <v>102528.93714077349</v>
      </c>
      <c r="K192" s="249">
        <f t="shared" si="131"/>
        <v>36863.762177399192</v>
      </c>
      <c r="L192" s="249">
        <f t="shared" si="131"/>
        <v>0</v>
      </c>
      <c r="M192" s="249">
        <f t="shared" si="131"/>
        <v>0</v>
      </c>
      <c r="N192" s="249">
        <f t="shared" si="131"/>
        <v>155849.45596532914</v>
      </c>
      <c r="O192" s="249">
        <f t="shared" si="131"/>
        <v>36024.90134066419</v>
      </c>
      <c r="P192" s="238"/>
      <c r="Q192" s="263"/>
      <c r="R192" s="249">
        <f>SUM(R9:R190)</f>
        <v>1716613336.9999995</v>
      </c>
      <c r="S192" s="249">
        <f>SUM(S9:S189)</f>
        <v>656528.83847176284</v>
      </c>
      <c r="T192" s="249"/>
      <c r="U192" s="1228">
        <f>SUM(U9:U185)</f>
        <v>912964176.80165994</v>
      </c>
      <c r="V192" s="1227">
        <f>SUM(V9:V186)</f>
        <v>0.99999999999999978</v>
      </c>
      <c r="W192" s="1228">
        <f>SUM(W9:W185)</f>
        <v>803649160.19834006</v>
      </c>
      <c r="X192" s="1230"/>
      <c r="Y192" s="1230"/>
      <c r="Z192" s="1228">
        <f>SUM(Z9:Z185)</f>
        <v>1716613336.9999995</v>
      </c>
      <c r="AB192" s="258"/>
      <c r="AC192" s="259"/>
      <c r="AD192" s="249">
        <f>SUM(AD9:AD191)</f>
        <v>441402315.94088447</v>
      </c>
      <c r="AE192" s="249">
        <f>SUM(AE9:AE185)+AE190+AE191</f>
        <v>399397.43552915857</v>
      </c>
      <c r="AF192" s="260"/>
      <c r="AG192" s="249">
        <f>SUM(AG9:AG191)</f>
        <v>510848720.0484978</v>
      </c>
      <c r="AH192" s="249">
        <f>SUM(AH9:AH191)</f>
        <v>0.99999999999999989</v>
      </c>
      <c r="AI192" s="249">
        <f>SUM(AI9:AI191)</f>
        <v>-141376267.0484978</v>
      </c>
      <c r="AJ192" s="249">
        <f>SUM(AJ9:AJ191)</f>
        <v>71929862.940884501</v>
      </c>
      <c r="AK192" s="249">
        <f>SUM(AK9:AK191)</f>
        <v>441402315.94088447</v>
      </c>
      <c r="AM192" s="249">
        <f>SUM(AM9:AM191)</f>
        <v>2158015652.9408836</v>
      </c>
      <c r="AP192" s="249">
        <f>SUM(AP9:AP191)</f>
        <v>47363076.004699469</v>
      </c>
      <c r="AQ192" s="249">
        <f>SUM(AQ9:AQ191)</f>
        <v>94726152.002339825</v>
      </c>
      <c r="AS192" s="249">
        <f>SUM(AS9:AS191)</f>
        <v>127996069.99690735</v>
      </c>
      <c r="AU192" s="249">
        <f>SUM(AU9:AU191)</f>
        <v>2428100948.9448295</v>
      </c>
      <c r="AV192" s="14"/>
      <c r="AW192" s="249">
        <f>SUM(AW9:AW183)</f>
        <v>1455510809.0680895</v>
      </c>
      <c r="AX192" s="458">
        <f>SUM(AX9:AX81)+Gascar!Q15-Gascar!O15</f>
        <v>1572138365.9884236</v>
      </c>
      <c r="AY192" s="54"/>
      <c r="AZ192" s="54"/>
      <c r="BA192" s="54"/>
    </row>
    <row r="193" spans="2:53" ht="13.5" thickBot="1">
      <c r="B193" s="250"/>
      <c r="C193" s="612"/>
      <c r="D193" s="266"/>
      <c r="E193" s="221"/>
      <c r="F193" s="221"/>
      <c r="G193" s="221"/>
      <c r="H193" s="221"/>
      <c r="I193" s="221"/>
      <c r="J193" s="221"/>
      <c r="K193" s="221"/>
      <c r="L193" s="221"/>
      <c r="M193" s="221"/>
      <c r="N193" s="221"/>
      <c r="O193" s="221"/>
      <c r="P193" s="221"/>
      <c r="Q193" s="263"/>
      <c r="R193" s="221"/>
      <c r="S193"/>
      <c r="T193"/>
      <c r="U193"/>
      <c r="AD193" s="221"/>
      <c r="AE193" s="221"/>
      <c r="AF193" s="221"/>
      <c r="AG193" s="221"/>
      <c r="AH193" s="528"/>
      <c r="AI193" s="221"/>
      <c r="AJ193" s="221"/>
      <c r="AK193" s="221"/>
      <c r="AM193" s="221"/>
      <c r="AP193" s="266"/>
      <c r="AQ193" s="266"/>
      <c r="AS193" s="266"/>
      <c r="AU193" s="264"/>
      <c r="AW193" s="221"/>
      <c r="AX193" s="458">
        <f>+AX192-AW192</f>
        <v>116627556.9203341</v>
      </c>
      <c r="AY193" s="54"/>
      <c r="AZ193" s="54"/>
      <c r="BA193" s="54"/>
    </row>
    <row r="194" spans="2:53" ht="16.5" thickBot="1">
      <c r="E194" s="249">
        <f>SUM(E192:O192)-M173</f>
        <v>1044039.6392086819</v>
      </c>
      <c r="F194" s="14"/>
      <c r="G194"/>
      <c r="H194" s="14"/>
      <c r="I194" s="54"/>
      <c r="K194" s="250"/>
      <c r="L194" s="250"/>
      <c r="M194" s="250"/>
      <c r="N194" s="250"/>
      <c r="O194" s="250"/>
      <c r="P194" s="250"/>
      <c r="Q194" s="253"/>
      <c r="S194"/>
      <c r="T194"/>
      <c r="U194"/>
      <c r="AH194"/>
      <c r="AM194" s="254"/>
      <c r="AP194" s="517"/>
      <c r="AQ194" s="590"/>
      <c r="AR194" s="516"/>
      <c r="AS194" s="518"/>
      <c r="AT194" s="516"/>
      <c r="AU194" s="14"/>
      <c r="AW194" s="254"/>
      <c r="AY194" s="54"/>
      <c r="AZ194" s="54"/>
      <c r="BA194" s="54"/>
    </row>
    <row r="195" spans="2:53">
      <c r="E195"/>
      <c r="F195"/>
      <c r="G195"/>
      <c r="K195" s="250"/>
      <c r="L195" s="501"/>
      <c r="M195" s="501"/>
      <c r="N195" s="250"/>
      <c r="O195" s="250"/>
      <c r="P195" s="250"/>
      <c r="Q195" s="253"/>
      <c r="S195"/>
      <c r="T195"/>
      <c r="U195"/>
      <c r="AH195"/>
      <c r="AL195" s="1263" t="s">
        <v>612</v>
      </c>
      <c r="AM195" s="976">
        <v>2158015653</v>
      </c>
      <c r="AP195" s="280">
        <v>47363076</v>
      </c>
      <c r="AQ195" s="332">
        <f>+AP204+AQ201</f>
        <v>94726152</v>
      </c>
      <c r="AS195" s="280">
        <v>127996070</v>
      </c>
      <c r="AU195" s="292">
        <v>2428100949</v>
      </c>
      <c r="AV195" s="55"/>
      <c r="AW195" s="255"/>
    </row>
    <row r="196" spans="2:53">
      <c r="C196"/>
      <c r="E196"/>
      <c r="F196"/>
      <c r="G196"/>
      <c r="P196" s="250"/>
      <c r="Q196" s="253"/>
      <c r="S196"/>
      <c r="T196"/>
      <c r="U196"/>
      <c r="AH196"/>
      <c r="AM196" s="281"/>
      <c r="AP196" s="297">
        <f>+AP192-AP195</f>
        <v>4.6994686126708984E-3</v>
      </c>
      <c r="AQ196" s="297">
        <f>+AQ192-AQ195</f>
        <v>2.3398250341415405E-3</v>
      </c>
      <c r="AR196" s="54"/>
      <c r="AS196" s="297">
        <f>+AS192-AS195</f>
        <v>-3.092646598815918E-3</v>
      </c>
      <c r="AU196" s="524">
        <f>+AU192-AU195</f>
        <v>-5.5170536041259766E-2</v>
      </c>
    </row>
    <row r="197" spans="2:53">
      <c r="C197"/>
      <c r="E197"/>
      <c r="F197"/>
      <c r="G197"/>
      <c r="P197" s="253"/>
      <c r="Q197" s="253"/>
      <c r="S197"/>
      <c r="T197"/>
      <c r="U197"/>
      <c r="AH197"/>
      <c r="AM197" s="291"/>
      <c r="AP197" s="250"/>
      <c r="AS197" s="82"/>
    </row>
    <row r="198" spans="2:53">
      <c r="C198"/>
      <c r="E198"/>
      <c r="F198"/>
      <c r="G198"/>
      <c r="P198" s="260"/>
      <c r="Q198" s="260"/>
      <c r="S198"/>
      <c r="T198"/>
      <c r="U198"/>
      <c r="AH198"/>
      <c r="AM198" s="250"/>
      <c r="AP198" s="520">
        <f>+AP200/2</f>
        <v>56634.18</v>
      </c>
      <c r="AQ198" s="520">
        <f>+AQ200/3</f>
        <v>1396519.7933333332</v>
      </c>
      <c r="AS198" s="622">
        <v>0.01</v>
      </c>
      <c r="AX198" s="322"/>
      <c r="AY198" s="564"/>
    </row>
    <row r="199" spans="2:53">
      <c r="C199"/>
      <c r="E199"/>
      <c r="F199"/>
      <c r="G199"/>
      <c r="P199" s="260"/>
      <c r="Q199" s="260"/>
      <c r="S199"/>
      <c r="T199"/>
      <c r="U199"/>
      <c r="AH199"/>
      <c r="AM199" s="250"/>
      <c r="AP199" s="520">
        <f>+AP200/2</f>
        <v>56634.18</v>
      </c>
      <c r="AQ199" s="520"/>
      <c r="AX199" s="322"/>
    </row>
    <row r="200" spans="2:53">
      <c r="C200"/>
      <c r="E200"/>
      <c r="F200"/>
      <c r="G200"/>
      <c r="P200" s="260"/>
      <c r="Q200" s="260"/>
      <c r="S200"/>
      <c r="T200"/>
      <c r="U200"/>
      <c r="AH200"/>
      <c r="AM200" s="1264">
        <f>+AM192-AM195</f>
        <v>-5.9116363525390625E-2</v>
      </c>
      <c r="AN200" s="1265"/>
      <c r="AO200" s="1265"/>
      <c r="AP200" s="519">
        <v>113268.36</v>
      </c>
      <c r="AQ200" s="519">
        <v>4189559.38</v>
      </c>
      <c r="AS200" s="521">
        <v>-14112594.460000001</v>
      </c>
      <c r="AW200" s="14"/>
      <c r="AX200" s="322"/>
    </row>
    <row r="201" spans="2:53">
      <c r="C201"/>
      <c r="E201"/>
      <c r="F201"/>
      <c r="G201"/>
      <c r="P201" s="260"/>
      <c r="Q201" s="260"/>
      <c r="S201"/>
      <c r="T201"/>
      <c r="U201"/>
      <c r="AH201"/>
      <c r="AM201" s="250"/>
      <c r="AQ201" s="561"/>
      <c r="AS201" s="251"/>
      <c r="AW201" s="250"/>
      <c r="AX201" s="322"/>
    </row>
    <row r="202" spans="2:53">
      <c r="C202"/>
      <c r="E202"/>
      <c r="F202"/>
      <c r="G202"/>
      <c r="P202" s="250"/>
      <c r="Q202" s="253"/>
      <c r="S202"/>
      <c r="T202"/>
      <c r="U202"/>
      <c r="AH202"/>
      <c r="AM202" s="250"/>
      <c r="AQ202" s="250"/>
      <c r="AS202" s="740"/>
      <c r="AW202" s="250"/>
      <c r="AX202" s="322"/>
      <c r="AY202" s="54"/>
      <c r="AZ202" s="54"/>
    </row>
    <row r="203" spans="2:53">
      <c r="C203"/>
      <c r="E203"/>
      <c r="F203"/>
      <c r="G203"/>
      <c r="P203" s="250"/>
      <c r="Q203" s="253"/>
      <c r="R203" s="250"/>
      <c r="S203"/>
      <c r="T203"/>
      <c r="U203"/>
      <c r="AH203"/>
      <c r="AM203" s="250"/>
      <c r="AP203" s="251">
        <f>+AP195*100%/3%</f>
        <v>1578769200</v>
      </c>
      <c r="AQ203" s="667"/>
      <c r="AS203" s="250"/>
      <c r="AW203" s="250"/>
      <c r="AX203" s="322"/>
    </row>
    <row r="204" spans="2:53">
      <c r="C204"/>
      <c r="E204"/>
      <c r="F204"/>
      <c r="G204"/>
      <c r="P204" s="250"/>
      <c r="Q204" s="253"/>
      <c r="R204" s="250"/>
      <c r="S204"/>
      <c r="T204"/>
      <c r="U204"/>
      <c r="AH204"/>
      <c r="AM204" s="250"/>
      <c r="AP204" s="251">
        <f>+AP203*6%</f>
        <v>94726152</v>
      </c>
      <c r="AQ204" s="649"/>
      <c r="AS204" s="250"/>
      <c r="AW204" s="250"/>
      <c r="AX204" s="322"/>
    </row>
    <row r="205" spans="2:53">
      <c r="C205"/>
      <c r="E205"/>
      <c r="F205"/>
      <c r="G205"/>
      <c r="P205" s="250"/>
      <c r="Q205" s="253"/>
      <c r="R205" s="250"/>
      <c r="S205"/>
      <c r="T205"/>
      <c r="U205"/>
      <c r="AH205"/>
      <c r="AP205" s="250"/>
      <c r="AQ205" s="649"/>
      <c r="AS205" s="251"/>
      <c r="AW205" s="250"/>
      <c r="AX205" s="322"/>
      <c r="AY205" s="564"/>
    </row>
    <row r="206" spans="2:53">
      <c r="C206"/>
      <c r="E206"/>
      <c r="F206"/>
      <c r="G206"/>
      <c r="P206" s="260"/>
      <c r="Q206" s="260"/>
      <c r="R206" s="250"/>
      <c r="S206"/>
      <c r="T206"/>
      <c r="U206"/>
      <c r="AH206"/>
      <c r="AP206" s="250"/>
      <c r="AQ206" s="649"/>
      <c r="AS206" s="271"/>
      <c r="AW206" s="250"/>
      <c r="AX206" s="322"/>
    </row>
    <row r="207" spans="2:53">
      <c r="C207"/>
      <c r="E207"/>
      <c r="F207"/>
      <c r="G207"/>
      <c r="P207" s="250"/>
      <c r="Q207" s="253"/>
      <c r="R207" s="250"/>
      <c r="S207"/>
      <c r="T207"/>
      <c r="U207"/>
      <c r="AH207"/>
      <c r="AP207" s="250"/>
      <c r="AQ207" s="620"/>
      <c r="AS207" s="250"/>
      <c r="AW207" s="250"/>
      <c r="AX207" s="322"/>
    </row>
    <row r="208" spans="2:53">
      <c r="C208"/>
      <c r="E208"/>
      <c r="F208"/>
      <c r="G208"/>
      <c r="P208" s="250"/>
      <c r="Q208" s="253"/>
      <c r="R208" s="250"/>
      <c r="S208"/>
      <c r="T208"/>
      <c r="U208"/>
      <c r="AH208"/>
      <c r="AP208" s="250"/>
      <c r="AQ208" s="250"/>
      <c r="AS208" s="250"/>
      <c r="AW208" s="250"/>
      <c r="AX208" s="322"/>
    </row>
    <row r="209" spans="3:50">
      <c r="C209"/>
      <c r="E209"/>
      <c r="F209"/>
      <c r="G209"/>
      <c r="P209" s="250"/>
      <c r="Q209" s="253"/>
      <c r="R209" s="250"/>
      <c r="S209"/>
      <c r="T209"/>
      <c r="U209"/>
      <c r="AH209"/>
      <c r="AP209" s="250"/>
      <c r="AQ209" s="250"/>
      <c r="AS209" s="250"/>
      <c r="AW209" s="250"/>
      <c r="AX209" s="322"/>
    </row>
    <row r="210" spans="3:50">
      <c r="C210"/>
      <c r="E210"/>
      <c r="F210"/>
      <c r="G210"/>
      <c r="R210" s="250"/>
      <c r="S210"/>
      <c r="T210"/>
      <c r="U210"/>
      <c r="AH210"/>
      <c r="AM210" s="250"/>
      <c r="AP210" s="250"/>
      <c r="AQ210" s="250"/>
      <c r="AS210" s="250"/>
      <c r="AU210" s="255"/>
      <c r="AW210" s="250"/>
    </row>
    <row r="211" spans="3:50">
      <c r="C211"/>
      <c r="E211"/>
      <c r="F211"/>
      <c r="G211"/>
      <c r="R211" s="250"/>
      <c r="S211"/>
      <c r="T211"/>
      <c r="U211"/>
      <c r="AH211"/>
      <c r="AM211" s="250"/>
      <c r="AP211" s="250"/>
      <c r="AQ211" s="250"/>
      <c r="AS211" s="250"/>
      <c r="AU211" s="250"/>
      <c r="AW211" s="250"/>
    </row>
    <row r="212" spans="3:50">
      <c r="C212"/>
      <c r="E212"/>
      <c r="F212"/>
      <c r="G212"/>
      <c r="R212" s="250"/>
      <c r="S212"/>
      <c r="T212"/>
      <c r="U212"/>
      <c r="AH212"/>
      <c r="AM212" s="250"/>
      <c r="AP212" s="250"/>
      <c r="AQ212" s="250"/>
      <c r="AS212" s="250"/>
      <c r="AU212" s="250"/>
      <c r="AW212" s="250"/>
    </row>
    <row r="213" spans="3:50">
      <c r="C213"/>
      <c r="E213"/>
      <c r="F213"/>
      <c r="G213"/>
      <c r="R213" s="250"/>
      <c r="S213"/>
      <c r="T213"/>
      <c r="U213"/>
      <c r="AH213"/>
      <c r="AM213" s="250"/>
      <c r="AP213" s="250"/>
      <c r="AQ213" s="250"/>
      <c r="AS213" s="250"/>
      <c r="AU213" s="250"/>
      <c r="AW213" s="250"/>
    </row>
    <row r="214" spans="3:50">
      <c r="C214"/>
      <c r="E214"/>
      <c r="F214"/>
      <c r="G214"/>
      <c r="R214" s="250"/>
      <c r="S214"/>
      <c r="T214"/>
      <c r="U214"/>
      <c r="AH214"/>
      <c r="AM214" s="250"/>
      <c r="AP214" s="250"/>
      <c r="AQ214" s="250"/>
      <c r="AS214" s="250"/>
      <c r="AU214" s="250"/>
      <c r="AW214" s="250"/>
    </row>
    <row r="215" spans="3:50">
      <c r="C215"/>
      <c r="E215"/>
      <c r="F215"/>
      <c r="G215"/>
      <c r="R215" s="250"/>
      <c r="S215"/>
      <c r="T215"/>
      <c r="U215"/>
      <c r="AH215"/>
      <c r="AM215" s="250"/>
      <c r="AP215" s="250"/>
      <c r="AQ215" s="250"/>
      <c r="AS215" s="250"/>
      <c r="AU215" s="250"/>
      <c r="AW215" s="250"/>
    </row>
    <row r="216" spans="3:50">
      <c r="C216"/>
      <c r="E216"/>
      <c r="F216"/>
      <c r="G216"/>
      <c r="R216" s="250"/>
      <c r="S216"/>
      <c r="T216"/>
      <c r="U216"/>
      <c r="AH216"/>
      <c r="AM216" s="250"/>
      <c r="AP216" s="250"/>
      <c r="AQ216" s="250"/>
      <c r="AS216" s="250"/>
      <c r="AU216" s="250"/>
      <c r="AW216" s="250"/>
    </row>
    <row r="217" spans="3:50">
      <c r="C217"/>
      <c r="E217"/>
      <c r="F217"/>
      <c r="G217"/>
      <c r="R217" s="250"/>
      <c r="S217"/>
      <c r="T217"/>
      <c r="U217"/>
      <c r="AH217"/>
      <c r="AM217" s="250"/>
      <c r="AP217" s="250"/>
      <c r="AQ217" s="250"/>
      <c r="AS217" s="250"/>
      <c r="AU217" s="250"/>
      <c r="AW217" s="250"/>
    </row>
    <row r="218" spans="3:50">
      <c r="C218"/>
      <c r="E218"/>
      <c r="F218"/>
      <c r="G218"/>
      <c r="R218" s="250"/>
      <c r="S218"/>
      <c r="T218"/>
      <c r="U218"/>
      <c r="AH218"/>
      <c r="AM218" s="250"/>
      <c r="AP218" s="250"/>
      <c r="AQ218" s="250"/>
      <c r="AS218" s="250"/>
      <c r="AU218" s="250"/>
      <c r="AW218" s="250"/>
    </row>
    <row r="219" spans="3:50">
      <c r="C219"/>
      <c r="E219"/>
      <c r="F219"/>
      <c r="G219"/>
      <c r="R219" s="250"/>
      <c r="S219"/>
      <c r="T219"/>
      <c r="U219"/>
      <c r="AH219"/>
      <c r="AM219" s="250"/>
      <c r="AP219" s="250"/>
      <c r="AQ219" s="250"/>
      <c r="AS219" s="250"/>
      <c r="AU219" s="250"/>
      <c r="AW219" s="250"/>
    </row>
    <row r="220" spans="3:50">
      <c r="C220"/>
      <c r="E220"/>
      <c r="F220"/>
      <c r="G220"/>
      <c r="R220" s="250"/>
      <c r="S220"/>
      <c r="T220"/>
      <c r="U220"/>
      <c r="AH220"/>
      <c r="AM220" s="250"/>
      <c r="AP220" s="250"/>
      <c r="AQ220" s="250"/>
      <c r="AS220" s="250"/>
      <c r="AU220" s="250"/>
      <c r="AW220" s="250"/>
    </row>
    <row r="221" spans="3:50">
      <c r="C221"/>
      <c r="E221"/>
      <c r="F221"/>
      <c r="G221"/>
      <c r="R221" s="250"/>
      <c r="S221"/>
      <c r="T221"/>
      <c r="U221"/>
      <c r="AH221"/>
      <c r="AM221" s="250"/>
      <c r="AP221" s="250"/>
      <c r="AQ221" s="250"/>
      <c r="AS221" s="250"/>
      <c r="AU221" s="250"/>
      <c r="AW221" s="250"/>
    </row>
    <row r="222" spans="3:50">
      <c r="C222"/>
      <c r="E222"/>
      <c r="F222"/>
      <c r="G222"/>
      <c r="R222" s="250"/>
      <c r="S222"/>
      <c r="T222"/>
      <c r="U222"/>
      <c r="AH222"/>
      <c r="AM222" s="250"/>
      <c r="AP222" s="250"/>
      <c r="AQ222" s="250"/>
      <c r="AS222" s="250"/>
      <c r="AU222" s="250"/>
      <c r="AW222" s="250"/>
    </row>
    <row r="223" spans="3:50">
      <c r="C223"/>
      <c r="E223"/>
      <c r="F223"/>
      <c r="G223"/>
      <c r="K223" s="250"/>
      <c r="L223" s="250"/>
      <c r="M223" s="250"/>
      <c r="N223" s="250"/>
      <c r="O223" s="250"/>
      <c r="P223" s="250"/>
      <c r="Q223" s="253"/>
      <c r="S223"/>
      <c r="T223"/>
      <c r="U223"/>
      <c r="AH223"/>
      <c r="AU223" s="250"/>
    </row>
    <row r="224" spans="3:50">
      <c r="C224"/>
      <c r="E224"/>
      <c r="F224"/>
      <c r="G224"/>
      <c r="K224" s="250"/>
      <c r="L224" s="250"/>
      <c r="M224" s="250"/>
      <c r="N224" s="250"/>
      <c r="O224" s="250"/>
      <c r="P224" s="250"/>
      <c r="Q224" s="253"/>
      <c r="S224"/>
      <c r="T224"/>
      <c r="U224"/>
      <c r="AH224"/>
    </row>
    <row r="225" spans="3:34">
      <c r="C225"/>
      <c r="E225"/>
      <c r="F225"/>
      <c r="G225"/>
      <c r="K225" s="250"/>
      <c r="L225" s="250"/>
      <c r="M225" s="250"/>
      <c r="N225" s="250"/>
      <c r="O225" s="250"/>
      <c r="P225" s="250"/>
      <c r="Q225" s="253"/>
      <c r="S225"/>
      <c r="T225"/>
      <c r="U225"/>
      <c r="AH225"/>
    </row>
    <row r="226" spans="3:34">
      <c r="C226"/>
      <c r="E226"/>
      <c r="F226"/>
      <c r="G226"/>
      <c r="K226" s="250"/>
      <c r="L226" s="250"/>
      <c r="M226" s="250"/>
      <c r="N226" s="250"/>
      <c r="O226" s="250"/>
      <c r="S226"/>
      <c r="T226"/>
      <c r="U226"/>
      <c r="AH226"/>
    </row>
    <row r="227" spans="3:34">
      <c r="C227"/>
      <c r="E227"/>
      <c r="F227"/>
      <c r="G227"/>
      <c r="J227" s="250"/>
      <c r="K227" s="250"/>
      <c r="L227" s="250"/>
      <c r="M227" s="250"/>
      <c r="N227" s="250"/>
      <c r="O227" s="250"/>
      <c r="S227"/>
      <c r="T227"/>
      <c r="U227"/>
      <c r="AH227"/>
    </row>
    <row r="228" spans="3:34">
      <c r="C228"/>
      <c r="E228"/>
      <c r="F228"/>
      <c r="G228"/>
      <c r="J228" s="250"/>
      <c r="K228" s="250"/>
      <c r="L228" s="250"/>
      <c r="M228" s="250"/>
      <c r="N228" s="250"/>
      <c r="O228" s="250"/>
      <c r="S228"/>
      <c r="T228"/>
      <c r="U228"/>
      <c r="AH228"/>
    </row>
    <row r="229" spans="3:34">
      <c r="C229"/>
      <c r="E229"/>
      <c r="F229"/>
      <c r="G229"/>
      <c r="S229"/>
      <c r="T229"/>
      <c r="U229"/>
      <c r="AH229"/>
    </row>
    <row r="230" spans="3:34">
      <c r="C230"/>
      <c r="E230"/>
      <c r="F230"/>
      <c r="G230"/>
      <c r="S230"/>
      <c r="T230"/>
      <c r="U230"/>
      <c r="AH230"/>
    </row>
    <row r="231" spans="3:34">
      <c r="C231"/>
      <c r="E231"/>
      <c r="F231"/>
      <c r="G231"/>
      <c r="S231"/>
      <c r="T231"/>
      <c r="U231"/>
    </row>
    <row r="232" spans="3:34">
      <c r="C232"/>
      <c r="E232"/>
      <c r="F232"/>
      <c r="G232"/>
      <c r="S232"/>
      <c r="T232"/>
      <c r="U232"/>
    </row>
    <row r="233" spans="3:34">
      <c r="C233"/>
      <c r="E233"/>
      <c r="F233"/>
      <c r="G233"/>
      <c r="S233"/>
      <c r="T233"/>
      <c r="U233"/>
    </row>
    <row r="234" spans="3:34">
      <c r="C234"/>
      <c r="E234"/>
      <c r="F234"/>
      <c r="G234"/>
      <c r="S234"/>
      <c r="T234"/>
      <c r="U234"/>
    </row>
    <row r="235" spans="3:34">
      <c r="C235"/>
      <c r="E235"/>
      <c r="F235"/>
      <c r="G235"/>
      <c r="S235"/>
      <c r="T235"/>
      <c r="U235"/>
    </row>
    <row r="236" spans="3:34">
      <c r="C236"/>
      <c r="E236"/>
      <c r="F236"/>
      <c r="G236"/>
      <c r="S236"/>
      <c r="T236"/>
      <c r="U236"/>
    </row>
    <row r="237" spans="3:34">
      <c r="C237"/>
      <c r="E237"/>
      <c r="F237"/>
      <c r="G237"/>
      <c r="S237"/>
      <c r="T237"/>
      <c r="U237"/>
    </row>
    <row r="238" spans="3:34">
      <c r="C238"/>
      <c r="E238"/>
      <c r="F238"/>
      <c r="G238"/>
      <c r="S238"/>
      <c r="T238"/>
      <c r="U238"/>
    </row>
    <row r="239" spans="3:34">
      <c r="C239"/>
      <c r="E239"/>
      <c r="F239"/>
      <c r="G239"/>
      <c r="S239"/>
      <c r="T239"/>
      <c r="U239"/>
    </row>
    <row r="240" spans="3:34">
      <c r="C240"/>
      <c r="E240"/>
      <c r="F240"/>
      <c r="G240"/>
      <c r="S240"/>
      <c r="T240"/>
      <c r="U240"/>
    </row>
    <row r="241" spans="3:21">
      <c r="C241"/>
      <c r="E241"/>
      <c r="F241"/>
      <c r="G241"/>
      <c r="S241"/>
      <c r="T241"/>
      <c r="U241"/>
    </row>
    <row r="242" spans="3:21">
      <c r="C242"/>
      <c r="E242"/>
      <c r="F242"/>
      <c r="G242"/>
      <c r="S242"/>
      <c r="T242"/>
      <c r="U242"/>
    </row>
    <row r="243" spans="3:21">
      <c r="C243"/>
      <c r="E243"/>
      <c r="F243"/>
      <c r="G243"/>
      <c r="S243"/>
      <c r="T243"/>
      <c r="U243"/>
    </row>
    <row r="244" spans="3:21">
      <c r="C244"/>
      <c r="E244"/>
      <c r="F244"/>
      <c r="G244"/>
      <c r="S244"/>
      <c r="T244"/>
      <c r="U244"/>
    </row>
    <row r="245" spans="3:21">
      <c r="C245"/>
      <c r="E245"/>
      <c r="F245"/>
      <c r="G245"/>
      <c r="S245"/>
      <c r="T245"/>
      <c r="U245"/>
    </row>
    <row r="246" spans="3:21">
      <c r="C246"/>
      <c r="E246"/>
      <c r="F246"/>
      <c r="G246"/>
      <c r="S246"/>
      <c r="T246"/>
      <c r="U246"/>
    </row>
    <row r="247" spans="3:21">
      <c r="C247"/>
      <c r="E247"/>
      <c r="F247"/>
      <c r="G247"/>
      <c r="S247"/>
      <c r="T247"/>
      <c r="U247"/>
    </row>
    <row r="248" spans="3:21">
      <c r="C248"/>
      <c r="E248"/>
      <c r="F248"/>
      <c r="G248"/>
      <c r="S248"/>
      <c r="T248"/>
      <c r="U248"/>
    </row>
    <row r="249" spans="3:21">
      <c r="C249"/>
      <c r="E249"/>
      <c r="F249"/>
      <c r="G249"/>
      <c r="S249"/>
      <c r="T249"/>
      <c r="U249"/>
    </row>
    <row r="250" spans="3:21">
      <c r="C250"/>
      <c r="E250"/>
      <c r="F250"/>
      <c r="G250"/>
      <c r="S250"/>
      <c r="T250"/>
      <c r="U250"/>
    </row>
    <row r="251" spans="3:21">
      <c r="C251"/>
      <c r="E251"/>
      <c r="F251"/>
      <c r="G251"/>
      <c r="S251"/>
      <c r="T251"/>
      <c r="U251"/>
    </row>
    <row r="252" spans="3:21">
      <c r="C252"/>
      <c r="E252"/>
      <c r="F252"/>
      <c r="G252"/>
      <c r="S252"/>
      <c r="T252"/>
      <c r="U252"/>
    </row>
    <row r="253" spans="3:21">
      <c r="C253"/>
      <c r="E253"/>
      <c r="F253"/>
      <c r="G253"/>
      <c r="S253"/>
      <c r="T253"/>
      <c r="U253"/>
    </row>
    <row r="254" spans="3:21">
      <c r="C254"/>
      <c r="E254"/>
      <c r="F254"/>
      <c r="G254"/>
      <c r="S254"/>
      <c r="T254"/>
      <c r="U254"/>
    </row>
    <row r="255" spans="3:21">
      <c r="C255"/>
      <c r="E255"/>
      <c r="F255"/>
      <c r="G255"/>
      <c r="S255"/>
      <c r="T255"/>
      <c r="U255"/>
    </row>
    <row r="256" spans="3:21">
      <c r="C256"/>
      <c r="E256"/>
      <c r="F256"/>
      <c r="G256"/>
      <c r="S256"/>
      <c r="T256"/>
      <c r="U256"/>
    </row>
    <row r="257" spans="3:21">
      <c r="C257"/>
      <c r="E257"/>
      <c r="F257"/>
      <c r="G257"/>
      <c r="S257"/>
      <c r="T257"/>
      <c r="U257"/>
    </row>
    <row r="258" spans="3:21">
      <c r="C258"/>
      <c r="E258"/>
      <c r="F258"/>
      <c r="G258"/>
      <c r="S258"/>
      <c r="T258"/>
      <c r="U258"/>
    </row>
    <row r="259" spans="3:21">
      <c r="C259"/>
      <c r="E259"/>
      <c r="F259"/>
      <c r="G259"/>
      <c r="S259"/>
      <c r="T259"/>
      <c r="U259"/>
    </row>
    <row r="260" spans="3:21">
      <c r="C260"/>
      <c r="E260"/>
      <c r="F260"/>
      <c r="G260"/>
      <c r="S260"/>
      <c r="T260"/>
      <c r="U260"/>
    </row>
    <row r="261" spans="3:21">
      <c r="C261"/>
      <c r="E261"/>
      <c r="F261"/>
      <c r="G261"/>
      <c r="S261"/>
      <c r="T261"/>
      <c r="U261"/>
    </row>
    <row r="262" spans="3:21">
      <c r="C262"/>
      <c r="E262"/>
      <c r="F262"/>
      <c r="G262"/>
      <c r="S262"/>
      <c r="T262"/>
      <c r="U262"/>
    </row>
    <row r="263" spans="3:21">
      <c r="C263"/>
      <c r="E263"/>
      <c r="F263"/>
      <c r="G263"/>
      <c r="S263"/>
      <c r="T263"/>
      <c r="U263"/>
    </row>
    <row r="264" spans="3:21">
      <c r="C264"/>
      <c r="E264"/>
      <c r="F264"/>
      <c r="G264"/>
      <c r="S264"/>
      <c r="T264"/>
      <c r="U264"/>
    </row>
    <row r="265" spans="3:21">
      <c r="C265"/>
      <c r="E265"/>
      <c r="F265"/>
      <c r="G265"/>
      <c r="S265"/>
      <c r="T265"/>
      <c r="U265"/>
    </row>
    <row r="266" spans="3:21">
      <c r="C266"/>
      <c r="E266"/>
      <c r="F266"/>
      <c r="G266"/>
      <c r="S266"/>
      <c r="T266"/>
      <c r="U266"/>
    </row>
    <row r="267" spans="3:21">
      <c r="C267"/>
      <c r="E267"/>
      <c r="F267"/>
      <c r="G267"/>
      <c r="S267"/>
      <c r="T267"/>
      <c r="U267"/>
    </row>
    <row r="268" spans="3:21">
      <c r="C268"/>
      <c r="E268"/>
      <c r="F268"/>
      <c r="G268"/>
      <c r="S268"/>
      <c r="T268"/>
      <c r="U268"/>
    </row>
    <row r="269" spans="3:21">
      <c r="C269"/>
      <c r="E269"/>
      <c r="F269"/>
      <c r="G269"/>
      <c r="S269"/>
      <c r="T269"/>
      <c r="U269"/>
    </row>
    <row r="270" spans="3:21">
      <c r="C270"/>
      <c r="E270"/>
      <c r="F270"/>
      <c r="G270"/>
      <c r="S270"/>
      <c r="T270"/>
      <c r="U270"/>
    </row>
    <row r="271" spans="3:21">
      <c r="C271"/>
      <c r="E271"/>
      <c r="F271"/>
      <c r="G271"/>
      <c r="S271"/>
      <c r="T271"/>
      <c r="U271"/>
    </row>
    <row r="272" spans="3:21">
      <c r="C272"/>
      <c r="E272"/>
      <c r="F272"/>
      <c r="G272"/>
      <c r="S272"/>
      <c r="T272"/>
      <c r="U272"/>
    </row>
    <row r="273" spans="3:21">
      <c r="C273"/>
      <c r="E273"/>
      <c r="F273"/>
      <c r="G273"/>
      <c r="S273"/>
      <c r="T273"/>
      <c r="U273"/>
    </row>
    <row r="274" spans="3:21">
      <c r="C274"/>
      <c r="E274"/>
      <c r="F274"/>
      <c r="G274"/>
      <c r="S274"/>
      <c r="T274"/>
      <c r="U274"/>
    </row>
    <row r="275" spans="3:21">
      <c r="C275"/>
      <c r="E275"/>
      <c r="F275"/>
      <c r="G275"/>
      <c r="S275"/>
      <c r="T275"/>
      <c r="U275"/>
    </row>
    <row r="276" spans="3:21">
      <c r="C276"/>
      <c r="E276"/>
      <c r="F276"/>
      <c r="G276"/>
      <c r="S276"/>
      <c r="T276"/>
      <c r="U276"/>
    </row>
    <row r="277" spans="3:21">
      <c r="C277"/>
      <c r="E277"/>
      <c r="F277"/>
      <c r="G277"/>
      <c r="S277"/>
      <c r="T277"/>
      <c r="U277"/>
    </row>
    <row r="278" spans="3:21">
      <c r="C278"/>
      <c r="E278"/>
      <c r="F278"/>
      <c r="G278"/>
      <c r="S278"/>
      <c r="T278"/>
      <c r="U278"/>
    </row>
    <row r="279" spans="3:21">
      <c r="C279"/>
      <c r="E279"/>
      <c r="F279"/>
      <c r="G279"/>
      <c r="S279"/>
      <c r="T279"/>
      <c r="U279"/>
    </row>
    <row r="280" spans="3:21">
      <c r="C280"/>
      <c r="E280"/>
      <c r="F280"/>
      <c r="G280"/>
      <c r="S280"/>
      <c r="T280"/>
      <c r="U280"/>
    </row>
    <row r="281" spans="3:21">
      <c r="C281"/>
      <c r="E281"/>
      <c r="F281"/>
      <c r="G281"/>
      <c r="S281"/>
      <c r="T281"/>
      <c r="U281"/>
    </row>
    <row r="282" spans="3:21">
      <c r="C282"/>
      <c r="E282"/>
      <c r="F282"/>
      <c r="G282"/>
      <c r="S282"/>
      <c r="T282"/>
      <c r="U282"/>
    </row>
    <row r="283" spans="3:21">
      <c r="C283"/>
      <c r="E283"/>
      <c r="F283"/>
      <c r="G283"/>
      <c r="S283"/>
      <c r="T283"/>
      <c r="U283"/>
    </row>
    <row r="284" spans="3:21">
      <c r="C284"/>
      <c r="E284"/>
      <c r="F284"/>
      <c r="G284"/>
    </row>
    <row r="285" spans="3:21">
      <c r="C285"/>
      <c r="E285"/>
      <c r="F285"/>
      <c r="G285"/>
    </row>
    <row r="286" spans="3:21">
      <c r="C286"/>
      <c r="E286"/>
      <c r="F286"/>
      <c r="G286"/>
    </row>
    <row r="287" spans="3:21">
      <c r="C287"/>
      <c r="E287"/>
      <c r="F287"/>
      <c r="G287"/>
    </row>
    <row r="288" spans="3:21">
      <c r="C288"/>
      <c r="E288"/>
      <c r="F288"/>
      <c r="G288"/>
    </row>
    <row r="289" spans="3:54">
      <c r="C289"/>
      <c r="E289"/>
      <c r="F289"/>
      <c r="G289"/>
    </row>
    <row r="290" spans="3:54">
      <c r="C290"/>
      <c r="E290"/>
      <c r="F290"/>
      <c r="G290"/>
    </row>
    <row r="291" spans="3:54">
      <c r="C291"/>
      <c r="E291"/>
      <c r="F291"/>
      <c r="G291"/>
    </row>
    <row r="292" spans="3:54">
      <c r="C292"/>
      <c r="E292"/>
      <c r="F292"/>
      <c r="G292"/>
    </row>
    <row r="293" spans="3:54">
      <c r="C293"/>
      <c r="E293"/>
      <c r="F293"/>
      <c r="G293"/>
      <c r="J293" s="518"/>
      <c r="K293" s="518"/>
      <c r="L293" s="518"/>
      <c r="M293" s="518"/>
      <c r="N293" s="518"/>
      <c r="O293" s="518"/>
      <c r="P293" s="518"/>
      <c r="Q293" s="1270"/>
      <c r="S293"/>
      <c r="T293"/>
      <c r="U293"/>
      <c r="AC293" s="252"/>
      <c r="BB293" s="252"/>
    </row>
    <row r="294" spans="3:54">
      <c r="C294"/>
      <c r="E294"/>
      <c r="F294"/>
      <c r="G294"/>
      <c r="J294" s="518"/>
      <c r="K294" s="518"/>
      <c r="L294" s="518"/>
      <c r="M294" s="518"/>
      <c r="N294" s="518"/>
      <c r="O294" s="518"/>
      <c r="P294" s="518"/>
      <c r="Q294" s="1270"/>
      <c r="S294"/>
      <c r="T294"/>
      <c r="U294"/>
      <c r="AC294" s="252"/>
      <c r="BB294" s="252"/>
    </row>
    <row r="295" spans="3:54">
      <c r="C295"/>
      <c r="E295"/>
      <c r="F295"/>
      <c r="G295"/>
      <c r="J295" s="518"/>
      <c r="K295" s="518"/>
      <c r="L295" s="518"/>
      <c r="M295" s="518"/>
      <c r="N295" s="518"/>
      <c r="O295" s="518"/>
      <c r="P295" s="518"/>
      <c r="Q295" s="1270"/>
      <c r="S295"/>
      <c r="T295"/>
      <c r="U295"/>
      <c r="AC295" s="252"/>
      <c r="BB295" s="252"/>
    </row>
    <row r="296" spans="3:54">
      <c r="C296"/>
      <c r="E296"/>
      <c r="F296"/>
      <c r="G296"/>
      <c r="J296" s="518"/>
      <c r="K296" s="518"/>
      <c r="L296" s="518"/>
      <c r="M296" s="518"/>
      <c r="N296" s="518"/>
      <c r="O296" s="518"/>
      <c r="P296" s="518"/>
      <c r="Q296" s="1270"/>
      <c r="S296"/>
      <c r="T296"/>
      <c r="U296"/>
      <c r="AC296" s="252"/>
      <c r="BB296" s="252"/>
    </row>
    <row r="297" spans="3:54">
      <c r="C297"/>
      <c r="E297"/>
      <c r="F297"/>
      <c r="G297"/>
      <c r="J297" s="518"/>
      <c r="K297" s="518"/>
      <c r="L297" s="518"/>
      <c r="M297" s="518"/>
      <c r="N297" s="518"/>
      <c r="O297" s="518"/>
      <c r="P297" s="518"/>
      <c r="Q297" s="1270"/>
      <c r="S297"/>
      <c r="T297"/>
      <c r="U297"/>
      <c r="AC297" s="252"/>
      <c r="BB297" s="252"/>
    </row>
    <row r="298" spans="3:54">
      <c r="C298"/>
      <c r="E298"/>
      <c r="F298"/>
      <c r="G298"/>
      <c r="J298" s="518"/>
      <c r="K298" s="518"/>
      <c r="L298" s="518"/>
      <c r="M298" s="518"/>
      <c r="N298" s="518"/>
      <c r="O298" s="518"/>
      <c r="P298" s="518"/>
      <c r="Q298" s="1270"/>
      <c r="S298"/>
      <c r="T298"/>
      <c r="U298"/>
      <c r="AC298" s="252"/>
      <c r="BB298" s="252"/>
    </row>
    <row r="299" spans="3:54">
      <c r="C299"/>
      <c r="E299"/>
      <c r="F299"/>
      <c r="G299"/>
      <c r="J299" s="518"/>
      <c r="K299" s="518"/>
      <c r="L299" s="518"/>
      <c r="M299" s="518"/>
      <c r="N299" s="518"/>
      <c r="O299" s="518"/>
      <c r="P299" s="518"/>
      <c r="Q299" s="1270"/>
      <c r="S299"/>
      <c r="T299"/>
      <c r="U299"/>
      <c r="AC299" s="252"/>
      <c r="BB299" s="252"/>
    </row>
    <row r="300" spans="3:54">
      <c r="C300"/>
      <c r="E300"/>
      <c r="F300"/>
      <c r="G300"/>
      <c r="J300" s="518"/>
      <c r="K300" s="518"/>
      <c r="L300" s="518"/>
      <c r="M300" s="518"/>
      <c r="N300" s="518"/>
      <c r="O300" s="518"/>
      <c r="P300" s="518"/>
      <c r="Q300" s="1270"/>
      <c r="S300"/>
      <c r="T300"/>
      <c r="U300"/>
      <c r="AC300" s="252"/>
      <c r="BB300" s="252"/>
    </row>
    <row r="301" spans="3:54">
      <c r="C301"/>
      <c r="E301"/>
      <c r="F301"/>
      <c r="G301"/>
      <c r="J301" s="518"/>
      <c r="K301" s="518"/>
      <c r="L301" s="518"/>
      <c r="M301" s="518"/>
      <c r="N301" s="518"/>
      <c r="O301" s="518"/>
      <c r="P301" s="518"/>
      <c r="Q301" s="1270"/>
      <c r="S301"/>
      <c r="T301"/>
      <c r="U301"/>
      <c r="AC301" s="252"/>
      <c r="BB301" s="252"/>
    </row>
    <row r="302" spans="3:54">
      <c r="C302"/>
      <c r="E302"/>
      <c r="F302"/>
      <c r="G302"/>
      <c r="J302" s="518"/>
      <c r="K302" s="518"/>
      <c r="L302" s="518"/>
      <c r="M302" s="518"/>
      <c r="N302" s="518"/>
      <c r="O302" s="518"/>
      <c r="P302" s="518"/>
      <c r="Q302" s="1270"/>
      <c r="S302"/>
      <c r="T302"/>
      <c r="U302"/>
      <c r="AC302" s="252"/>
      <c r="BB302" s="252"/>
    </row>
    <row r="303" spans="3:54">
      <c r="C303"/>
      <c r="E303"/>
      <c r="F303"/>
      <c r="G303"/>
      <c r="J303" s="518"/>
      <c r="K303" s="518"/>
      <c r="L303" s="518"/>
      <c r="M303" s="518"/>
      <c r="N303" s="518"/>
      <c r="O303" s="518"/>
      <c r="P303" s="518"/>
      <c r="Q303" s="1270"/>
      <c r="S303"/>
      <c r="T303"/>
      <c r="U303"/>
      <c r="AC303" s="252"/>
      <c r="BB303" s="252"/>
    </row>
    <row r="304" spans="3:54">
      <c r="C304"/>
      <c r="E304"/>
      <c r="F304"/>
      <c r="G304"/>
      <c r="J304" s="518"/>
      <c r="K304" s="518"/>
      <c r="L304" s="518"/>
      <c r="M304" s="518"/>
      <c r="N304" s="518"/>
      <c r="O304" s="518"/>
      <c r="P304" s="518"/>
      <c r="Q304" s="1270"/>
      <c r="S304"/>
      <c r="T304"/>
      <c r="U304"/>
      <c r="AC304" s="252"/>
      <c r="BB304" s="252"/>
    </row>
    <row r="305" spans="2:54">
      <c r="C305"/>
      <c r="E305"/>
      <c r="F305"/>
      <c r="G305"/>
      <c r="J305" s="518"/>
      <c r="K305" s="518"/>
      <c r="L305" s="518"/>
      <c r="M305" s="518"/>
      <c r="N305" s="518"/>
      <c r="O305" s="518"/>
      <c r="P305" s="518"/>
      <c r="Q305" s="1270"/>
      <c r="S305"/>
      <c r="T305"/>
      <c r="U305"/>
      <c r="AC305" s="252"/>
      <c r="BB305" s="252"/>
    </row>
    <row r="306" spans="2:54">
      <c r="C306"/>
      <c r="E306"/>
      <c r="F306"/>
      <c r="G306"/>
      <c r="J306" s="518"/>
      <c r="K306" s="518"/>
      <c r="L306" s="518"/>
      <c r="M306" s="518"/>
      <c r="N306" s="518"/>
      <c r="O306" s="518"/>
      <c r="P306" s="518"/>
      <c r="Q306" s="1270"/>
      <c r="S306"/>
      <c r="T306"/>
      <c r="U306"/>
      <c r="AC306" s="252"/>
      <c r="BB306" s="252"/>
    </row>
    <row r="307" spans="2:54">
      <c r="C307"/>
      <c r="E307"/>
      <c r="F307"/>
      <c r="G307"/>
      <c r="J307" s="518"/>
      <c r="K307" s="518"/>
      <c r="L307" s="518"/>
      <c r="M307" s="518"/>
      <c r="N307" s="518"/>
      <c r="O307" s="518"/>
      <c r="P307" s="518"/>
      <c r="Q307" s="1270"/>
      <c r="S307"/>
      <c r="T307"/>
      <c r="U307"/>
      <c r="AC307" s="252"/>
      <c r="BB307" s="252"/>
    </row>
    <row r="308" spans="2:54">
      <c r="C308"/>
      <c r="E308"/>
      <c r="F308"/>
      <c r="G308"/>
      <c r="J308" s="518"/>
      <c r="K308" s="518"/>
      <c r="L308" s="518"/>
      <c r="M308" s="518"/>
      <c r="N308" s="518"/>
      <c r="O308" s="518"/>
      <c r="P308" s="518"/>
      <c r="Q308" s="1270"/>
      <c r="S308"/>
      <c r="T308"/>
      <c r="U308"/>
      <c r="AC308" s="252"/>
      <c r="BB308" s="252"/>
    </row>
    <row r="309" spans="2:54">
      <c r="C309"/>
      <c r="E309"/>
      <c r="F309"/>
      <c r="G309"/>
      <c r="J309" s="518"/>
      <c r="K309" s="518"/>
      <c r="L309" s="518"/>
      <c r="M309" s="518"/>
      <c r="N309" s="518"/>
      <c r="O309" s="518"/>
      <c r="P309" s="518"/>
      <c r="Q309" s="1270"/>
      <c r="S309"/>
      <c r="T309"/>
      <c r="U309"/>
      <c r="AC309" s="252"/>
      <c r="BB309" s="252"/>
    </row>
    <row r="310" spans="2:54">
      <c r="C310"/>
      <c r="E310"/>
      <c r="F310"/>
      <c r="G310"/>
      <c r="J310" s="518"/>
      <c r="K310" s="518"/>
      <c r="L310" s="518"/>
      <c r="M310" s="518"/>
      <c r="N310" s="518"/>
      <c r="O310" s="518"/>
      <c r="P310" s="518"/>
      <c r="Q310" s="1270"/>
      <c r="S310"/>
      <c r="T310"/>
      <c r="U310"/>
      <c r="AC310" s="252"/>
      <c r="BB310" s="252"/>
    </row>
    <row r="311" spans="2:54">
      <c r="C311"/>
      <c r="E311"/>
      <c r="F311"/>
      <c r="G311"/>
      <c r="J311" s="518"/>
      <c r="K311" s="518"/>
      <c r="L311" s="518"/>
      <c r="M311" s="518"/>
      <c r="N311" s="518"/>
      <c r="O311" s="518"/>
      <c r="P311" s="518"/>
      <c r="Q311" s="1270"/>
      <c r="S311"/>
      <c r="T311"/>
      <c r="U311"/>
      <c r="AC311" s="252"/>
      <c r="BB311" s="252"/>
    </row>
    <row r="312" spans="2:54">
      <c r="E312" s="518"/>
      <c r="F312" s="518"/>
      <c r="G312" s="518"/>
      <c r="H312" s="518"/>
      <c r="I312" s="518"/>
      <c r="J312" s="518"/>
      <c r="K312" s="518"/>
      <c r="L312" s="518"/>
      <c r="M312" s="518"/>
      <c r="N312" s="518"/>
      <c r="O312" s="518"/>
      <c r="P312" s="518"/>
      <c r="Q312" s="1270"/>
      <c r="S312"/>
      <c r="T312"/>
      <c r="U312"/>
      <c r="AC312" s="252"/>
      <c r="BB312" s="252"/>
    </row>
    <row r="313" spans="2:54">
      <c r="B313" s="518"/>
      <c r="C313" s="518"/>
      <c r="D313" s="616"/>
      <c r="E313" s="141"/>
      <c r="F313" s="141"/>
      <c r="G313" s="141"/>
      <c r="H313" s="141"/>
      <c r="I313" s="141"/>
      <c r="J313" s="141"/>
      <c r="K313" s="141"/>
      <c r="L313" s="141"/>
      <c r="M313" s="141"/>
      <c r="N313" s="141"/>
      <c r="O313" s="141"/>
      <c r="P313" s="141"/>
      <c r="Q313" s="1271"/>
      <c r="S313"/>
      <c r="T313"/>
      <c r="U313"/>
      <c r="AC313" s="252"/>
      <c r="BB313" s="252"/>
    </row>
    <row r="314" spans="2:54">
      <c r="B314" s="518"/>
      <c r="C314" s="518"/>
      <c r="D314" s="616"/>
      <c r="E314" s="141"/>
      <c r="F314" s="141"/>
      <c r="G314" s="141"/>
      <c r="H314" s="141"/>
      <c r="I314" s="141"/>
      <c r="J314" s="141"/>
      <c r="K314" s="141"/>
      <c r="L314" s="141"/>
      <c r="M314" s="141"/>
      <c r="N314" s="141"/>
      <c r="O314" s="141"/>
      <c r="P314" s="141"/>
      <c r="Q314" s="1271"/>
      <c r="S314"/>
      <c r="T314"/>
      <c r="U314"/>
      <c r="AC314" s="252"/>
      <c r="BB314" s="252"/>
    </row>
    <row r="315" spans="2:54">
      <c r="B315" s="518"/>
      <c r="C315" s="518"/>
      <c r="D315" s="616"/>
      <c r="E315" s="141"/>
      <c r="F315" s="141"/>
      <c r="G315" s="141"/>
      <c r="H315" s="141"/>
      <c r="I315" s="141"/>
      <c r="J315" s="141"/>
      <c r="K315" s="141"/>
      <c r="L315" s="141"/>
      <c r="M315" s="141"/>
      <c r="N315" s="141"/>
      <c r="O315" s="141"/>
      <c r="P315" s="141"/>
      <c r="Q315" s="1271"/>
      <c r="S315"/>
      <c r="T315"/>
      <c r="U315"/>
      <c r="AC315" s="252"/>
      <c r="BB315" s="252"/>
    </row>
    <row r="316" spans="2:54">
      <c r="B316" s="518"/>
      <c r="C316" s="518"/>
      <c r="D316" s="616"/>
      <c r="E316" s="141"/>
      <c r="F316" s="141"/>
      <c r="G316" s="141"/>
      <c r="H316" s="141"/>
      <c r="I316" s="141"/>
      <c r="J316" s="141"/>
      <c r="K316" s="141"/>
      <c r="L316" s="141"/>
      <c r="M316" s="141"/>
      <c r="N316" s="141"/>
      <c r="O316" s="141"/>
      <c r="P316" s="141"/>
      <c r="Q316" s="1271"/>
      <c r="S316"/>
      <c r="T316"/>
      <c r="U316"/>
      <c r="AC316" s="252"/>
      <c r="BB316" s="252"/>
    </row>
    <row r="317" spans="2:54">
      <c r="B317" s="518"/>
      <c r="C317" s="518"/>
      <c r="D317" s="616"/>
      <c r="E317" s="141"/>
      <c r="F317" s="141"/>
      <c r="G317" s="141"/>
      <c r="H317" s="141"/>
      <c r="I317" s="141"/>
      <c r="J317" s="141"/>
      <c r="K317" s="141"/>
      <c r="L317" s="141"/>
      <c r="M317" s="141"/>
      <c r="N317" s="141"/>
      <c r="O317" s="141"/>
      <c r="P317" s="141"/>
      <c r="Q317" s="1271"/>
      <c r="S317"/>
      <c r="T317"/>
      <c r="U317"/>
      <c r="AC317" s="252"/>
      <c r="BB317" s="252"/>
    </row>
    <row r="318" spans="2:54">
      <c r="B318" s="518"/>
      <c r="C318" s="518"/>
      <c r="D318" s="616"/>
      <c r="E318" s="141"/>
      <c r="F318" s="141"/>
      <c r="G318" s="141"/>
      <c r="H318" s="141"/>
      <c r="I318" s="141"/>
      <c r="J318" s="141"/>
      <c r="K318" s="141"/>
      <c r="L318" s="141"/>
      <c r="M318" s="141"/>
      <c r="N318" s="141"/>
      <c r="O318" s="141"/>
      <c r="P318" s="141"/>
      <c r="Q318" s="1271"/>
      <c r="S318"/>
      <c r="T318"/>
      <c r="U318"/>
      <c r="AC318" s="252"/>
      <c r="BB318" s="252"/>
    </row>
    <row r="319" spans="2:54">
      <c r="B319" s="518"/>
      <c r="C319" s="518"/>
      <c r="D319" s="616"/>
      <c r="E319" s="141"/>
      <c r="F319" s="141"/>
      <c r="G319" s="141"/>
      <c r="H319" s="141"/>
      <c r="I319" s="141"/>
      <c r="J319" s="141"/>
      <c r="K319" s="141"/>
      <c r="L319" s="141"/>
      <c r="M319" s="141"/>
      <c r="N319" s="141"/>
      <c r="O319" s="141"/>
      <c r="P319" s="141"/>
      <c r="Q319" s="1271"/>
      <c r="S319"/>
      <c r="T319"/>
      <c r="U319"/>
      <c r="AC319" s="252"/>
      <c r="BB319" s="252"/>
    </row>
    <row r="320" spans="2:54">
      <c r="B320" s="518"/>
      <c r="C320" s="518"/>
      <c r="D320" s="616"/>
      <c r="E320" s="141"/>
      <c r="F320" s="141"/>
      <c r="G320" s="141"/>
      <c r="H320" s="141"/>
      <c r="I320" s="141"/>
      <c r="J320" s="141"/>
      <c r="K320" s="141"/>
      <c r="L320" s="141"/>
      <c r="M320" s="141"/>
      <c r="N320" s="141"/>
      <c r="O320" s="141"/>
      <c r="P320" s="141"/>
      <c r="Q320" s="1271"/>
      <c r="S320"/>
      <c r="T320"/>
      <c r="U320"/>
      <c r="AC320" s="252"/>
      <c r="BB320" s="252"/>
    </row>
    <row r="321" spans="2:54">
      <c r="B321" s="518"/>
      <c r="C321" s="518"/>
      <c r="D321" s="616"/>
      <c r="E321" s="141"/>
      <c r="F321" s="141"/>
      <c r="G321" s="141"/>
      <c r="H321" s="141"/>
      <c r="I321" s="141"/>
      <c r="J321" s="141"/>
      <c r="K321" s="141"/>
      <c r="L321" s="141"/>
      <c r="M321" s="141"/>
      <c r="N321" s="141"/>
      <c r="O321" s="141"/>
      <c r="P321" s="141"/>
      <c r="Q321" s="1271"/>
      <c r="S321"/>
      <c r="T321"/>
      <c r="U321"/>
      <c r="AC321" s="252"/>
      <c r="BB321" s="252"/>
    </row>
    <row r="322" spans="2:54">
      <c r="B322" s="518"/>
      <c r="C322" s="518"/>
      <c r="D322" s="616"/>
      <c r="E322" s="141"/>
      <c r="F322" s="141"/>
      <c r="G322" s="141"/>
      <c r="H322" s="141"/>
      <c r="I322" s="141"/>
      <c r="J322" s="141"/>
      <c r="K322" s="141"/>
      <c r="L322" s="141"/>
      <c r="M322" s="141"/>
      <c r="N322" s="141"/>
      <c r="O322" s="141"/>
      <c r="P322" s="141"/>
      <c r="Q322" s="1271"/>
      <c r="S322"/>
      <c r="T322"/>
      <c r="U322"/>
      <c r="AC322" s="252"/>
      <c r="BB322" s="252"/>
    </row>
    <row r="323" spans="2:54">
      <c r="B323" s="518"/>
      <c r="C323" s="518"/>
      <c r="D323" s="616"/>
      <c r="E323" s="141"/>
      <c r="F323" s="141"/>
      <c r="G323" s="141"/>
      <c r="H323" s="141"/>
      <c r="I323" s="141"/>
      <c r="J323" s="141"/>
      <c r="K323" s="141"/>
      <c r="L323" s="141"/>
      <c r="M323" s="141"/>
      <c r="N323" s="141"/>
      <c r="O323" s="141"/>
      <c r="P323" s="141"/>
      <c r="Q323" s="1271"/>
      <c r="S323"/>
      <c r="T323"/>
      <c r="U323"/>
      <c r="AC323" s="252"/>
      <c r="BB323" s="252"/>
    </row>
    <row r="324" spans="2:54">
      <c r="B324" s="518"/>
      <c r="C324" s="518"/>
      <c r="D324" s="616"/>
      <c r="E324" s="141"/>
      <c r="F324" s="141"/>
      <c r="G324" s="141"/>
      <c r="H324" s="141"/>
      <c r="I324" s="141"/>
      <c r="J324" s="141"/>
      <c r="K324" s="141"/>
      <c r="L324" s="141"/>
      <c r="M324" s="141"/>
      <c r="N324" s="141"/>
      <c r="O324" s="141"/>
      <c r="P324" s="141"/>
      <c r="Q324" s="1271"/>
      <c r="S324"/>
      <c r="T324"/>
      <c r="U324"/>
      <c r="AC324" s="252"/>
      <c r="BB324" s="252"/>
    </row>
    <row r="325" spans="2:54">
      <c r="B325" s="518"/>
      <c r="C325" s="518"/>
      <c r="D325" s="616"/>
    </row>
    <row r="326" spans="2:54">
      <c r="B326" s="518"/>
      <c r="C326" s="518"/>
      <c r="D326" s="616"/>
    </row>
    <row r="327" spans="2:54">
      <c r="B327" s="518"/>
      <c r="C327" s="518"/>
      <c r="D327" s="616"/>
    </row>
    <row r="328" spans="2:54">
      <c r="B328" s="518"/>
      <c r="C328" s="518"/>
      <c r="D328" s="616"/>
    </row>
    <row r="329" spans="2:54">
      <c r="B329" s="518"/>
      <c r="C329" s="518"/>
      <c r="D329" s="616"/>
    </row>
    <row r="330" spans="2:54">
      <c r="B330" s="518"/>
      <c r="C330" s="518"/>
      <c r="D330" s="616"/>
    </row>
    <row r="331" spans="2:54">
      <c r="B331" s="518"/>
      <c r="C331" s="518"/>
      <c r="D331" s="616"/>
    </row>
    <row r="332" spans="2:54">
      <c r="B332" s="518"/>
      <c r="C332" s="518"/>
      <c r="D332" s="616"/>
    </row>
    <row r="333" spans="2:54">
      <c r="B333" s="518"/>
      <c r="C333" s="518"/>
      <c r="D333" s="616"/>
    </row>
    <row r="334" spans="2:54">
      <c r="B334" s="518"/>
      <c r="C334" s="518"/>
      <c r="D334" s="616"/>
    </row>
    <row r="335" spans="2:54">
      <c r="B335" s="518"/>
      <c r="C335" s="518"/>
      <c r="D335" s="616"/>
    </row>
    <row r="336" spans="2:54">
      <c r="B336" s="518"/>
      <c r="C336" s="518"/>
      <c r="D336" s="616"/>
    </row>
    <row r="337" spans="2:4">
      <c r="B337" s="518"/>
      <c r="C337" s="518"/>
      <c r="D337" s="616"/>
    </row>
    <row r="338" spans="2:4">
      <c r="B338" s="518"/>
      <c r="C338" s="518"/>
      <c r="D338" s="616"/>
    </row>
    <row r="339" spans="2:4">
      <c r="B339" s="518"/>
      <c r="C339" s="518"/>
      <c r="D339" s="616"/>
    </row>
    <row r="340" spans="2:4">
      <c r="B340" s="518"/>
      <c r="C340" s="518"/>
      <c r="D340" s="616"/>
    </row>
    <row r="341" spans="2:4">
      <c r="B341" s="518"/>
      <c r="C341" s="518"/>
      <c r="D341" s="616"/>
    </row>
    <row r="342" spans="2:4">
      <c r="B342" s="518"/>
      <c r="C342" s="518"/>
      <c r="D342" s="616"/>
    </row>
    <row r="343" spans="2:4">
      <c r="B343" s="518"/>
      <c r="C343" s="518"/>
      <c r="D343" s="616"/>
    </row>
  </sheetData>
  <phoneticPr fontId="0" type="noConversion"/>
  <printOptions horizontalCentered="1" verticalCentered="1"/>
  <pageMargins left="0.78740157480314965" right="0.78740157480314965" top="0" bottom="0" header="0" footer="0"/>
  <pageSetup scale="85" orientation="portrait" r:id="rId1"/>
  <headerFooter alignWithMargins="0"/>
  <ignoredErrors>
    <ignoredError sqref="AS182 AS11" formula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B1:R33"/>
  <sheetViews>
    <sheetView showGridLines="0" workbookViewId="0">
      <pane xSplit="2" topLeftCell="E1" activePane="topRight" state="frozen"/>
      <selection pane="topRight" activeCell="R15" sqref="R15"/>
    </sheetView>
  </sheetViews>
  <sheetFormatPr baseColWidth="10" defaultRowHeight="12.75"/>
  <cols>
    <col min="1" max="1" width="2.5703125" customWidth="1"/>
    <col min="2" max="2" width="18.5703125" customWidth="1"/>
    <col min="3" max="3" width="3.5703125" customWidth="1"/>
    <col min="4" max="4" width="14.28515625" customWidth="1"/>
    <col min="5" max="5" width="16.85546875" customWidth="1"/>
    <col min="6" max="6" width="16.5703125" customWidth="1"/>
    <col min="7" max="7" width="1.28515625" customWidth="1"/>
    <col min="8" max="8" width="15" customWidth="1"/>
    <col min="9" max="9" width="14.85546875" customWidth="1"/>
    <col min="10" max="10" width="11.140625" customWidth="1"/>
    <col min="11" max="11" width="14.28515625" customWidth="1"/>
    <col min="12" max="12" width="1.140625" customWidth="1"/>
    <col min="13" max="13" width="12.7109375" customWidth="1"/>
    <col min="14" max="14" width="13.140625" customWidth="1"/>
    <col min="15" max="15" width="12.7109375" customWidth="1"/>
    <col min="16" max="16" width="1.85546875" customWidth="1"/>
    <col min="17" max="17" width="15.85546875" customWidth="1"/>
    <col min="18" max="18" width="13.7109375" bestFit="1" customWidth="1"/>
  </cols>
  <sheetData>
    <row r="1" spans="2:18">
      <c r="H1" s="149">
        <f>11800</f>
        <v>11800</v>
      </c>
      <c r="I1" s="149">
        <v>2700</v>
      </c>
    </row>
    <row r="2" spans="2:18">
      <c r="F2" s="710" t="s">
        <v>594</v>
      </c>
      <c r="H2" s="222">
        <v>0.33600000000000002</v>
      </c>
      <c r="I2" s="222">
        <f>+H2</f>
        <v>0.33600000000000002</v>
      </c>
    </row>
    <row r="3" spans="2:18">
      <c r="F3" s="710" t="s">
        <v>595</v>
      </c>
      <c r="H3" s="222">
        <v>5.7000000000000002E-2</v>
      </c>
      <c r="I3" s="222">
        <f>+H3</f>
        <v>5.7000000000000002E-2</v>
      </c>
      <c r="J3" s="252"/>
      <c r="K3" s="156"/>
      <c r="M3" s="156"/>
      <c r="N3" s="156"/>
      <c r="O3" s="268"/>
      <c r="Q3" s="156"/>
    </row>
    <row r="4" spans="2:18">
      <c r="F4" s="710" t="s">
        <v>596</v>
      </c>
      <c r="H4" s="222">
        <v>1.4999999999999999E-2</v>
      </c>
      <c r="I4" s="222">
        <v>0</v>
      </c>
      <c r="J4" s="222"/>
      <c r="K4" s="268"/>
      <c r="M4" s="268" t="s">
        <v>165</v>
      </c>
      <c r="N4" s="268" t="s">
        <v>120</v>
      </c>
      <c r="O4" s="268" t="s">
        <v>458</v>
      </c>
      <c r="Q4" s="268" t="s">
        <v>129</v>
      </c>
    </row>
    <row r="5" spans="2:18">
      <c r="F5" s="1204" t="s">
        <v>597</v>
      </c>
      <c r="H5" s="222">
        <v>0</v>
      </c>
      <c r="I5" s="222">
        <v>0.185</v>
      </c>
      <c r="J5" s="222"/>
      <c r="K5" s="268" t="s">
        <v>11</v>
      </c>
      <c r="M5" s="268" t="s">
        <v>166</v>
      </c>
      <c r="N5" s="268" t="s">
        <v>10</v>
      </c>
      <c r="O5" s="268" t="s">
        <v>9</v>
      </c>
      <c r="Q5" s="268" t="s">
        <v>11</v>
      </c>
    </row>
    <row r="6" spans="2:18">
      <c r="F6" s="1205" t="s">
        <v>598</v>
      </c>
      <c r="H6" s="1207">
        <f>325+133+32</f>
        <v>490</v>
      </c>
      <c r="I6" s="222">
        <f>325+133+178</f>
        <v>636</v>
      </c>
      <c r="J6" s="222"/>
      <c r="K6" s="267"/>
      <c r="M6" s="267"/>
      <c r="N6" s="267"/>
      <c r="O6" s="156"/>
      <c r="Q6" s="268" t="s">
        <v>132</v>
      </c>
    </row>
    <row r="7" spans="2:18">
      <c r="F7" s="1206" t="s">
        <v>348</v>
      </c>
      <c r="H7" s="1208">
        <f>+H2+H3+H4+H6/F8</f>
        <v>0.67977681022768244</v>
      </c>
      <c r="I7" s="1208">
        <f>+I2+I3+I5+I6/F8</f>
        <v>0.93075520674450218</v>
      </c>
      <c r="J7" s="222"/>
      <c r="K7" s="712"/>
      <c r="M7" s="712"/>
      <c r="N7" s="714"/>
      <c r="O7" s="711">
        <v>6.8999999999999999E-3</v>
      </c>
      <c r="Q7" s="714"/>
    </row>
    <row r="8" spans="2:18" ht="13.5" thickBot="1">
      <c r="E8" s="456">
        <f>+PROMIGAS!G6</f>
        <v>0.99620000000000009</v>
      </c>
      <c r="F8" s="1209">
        <f>+'INPUT II'!F6</f>
        <v>1802.95</v>
      </c>
      <c r="G8" s="565"/>
      <c r="H8" s="266"/>
      <c r="I8" s="266"/>
      <c r="J8" s="266"/>
      <c r="K8" s="713"/>
      <c r="M8" s="713"/>
      <c r="N8" s="713"/>
      <c r="O8" s="268">
        <v>6.0399000000000003</v>
      </c>
      <c r="Q8" s="714"/>
    </row>
    <row r="9" spans="2:18">
      <c r="B9" s="211" t="s">
        <v>2</v>
      </c>
      <c r="C9" s="704"/>
      <c r="D9" s="704"/>
      <c r="E9" s="217" t="s">
        <v>157</v>
      </c>
      <c r="F9" s="217" t="s">
        <v>162</v>
      </c>
      <c r="G9" s="706"/>
      <c r="H9" s="217" t="s">
        <v>80</v>
      </c>
      <c r="I9" s="718" t="s">
        <v>82</v>
      </c>
      <c r="J9" s="715"/>
      <c r="K9" s="723"/>
      <c r="M9" s="326"/>
      <c r="N9" s="326"/>
      <c r="O9" s="326"/>
      <c r="Q9" s="326"/>
    </row>
    <row r="10" spans="2:18" ht="13.5" thickBot="1">
      <c r="B10" s="215"/>
      <c r="C10" s="705"/>
      <c r="D10" s="705"/>
      <c r="E10" s="219" t="s">
        <v>112</v>
      </c>
      <c r="F10" s="219" t="s">
        <v>112</v>
      </c>
      <c r="G10" s="707"/>
      <c r="H10" s="219" t="s">
        <v>131</v>
      </c>
      <c r="I10" s="719" t="s">
        <v>131</v>
      </c>
      <c r="J10" s="716"/>
      <c r="K10" s="724" t="s">
        <v>131</v>
      </c>
      <c r="M10" s="219" t="s">
        <v>131</v>
      </c>
      <c r="N10" s="219" t="s">
        <v>131</v>
      </c>
      <c r="O10" s="219" t="s">
        <v>131</v>
      </c>
      <c r="Q10" s="219"/>
    </row>
    <row r="11" spans="2:18">
      <c r="B11" s="348" t="s">
        <v>80</v>
      </c>
      <c r="C11" s="603">
        <v>99</v>
      </c>
      <c r="D11" s="703">
        <f>+'INPUT VOL'!J133</f>
        <v>87530.136724000011</v>
      </c>
      <c r="E11" s="229">
        <f>+(+D11)/E8</f>
        <v>87864.02</v>
      </c>
      <c r="F11" s="229"/>
      <c r="G11" s="708"/>
      <c r="H11" s="229">
        <f>+E11*($H$7)*$F$8+H22</f>
        <v>165186459.22247201</v>
      </c>
      <c r="I11" s="720"/>
      <c r="J11" s="727">
        <f>+(H11+H12)/((D11+D12)*F8)</f>
        <v>1.1910570503642277</v>
      </c>
      <c r="K11" s="725">
        <f>+H11+I11</f>
        <v>165186459.22247201</v>
      </c>
      <c r="M11" s="227">
        <f>+K11*3%</f>
        <v>4955593.7766741598</v>
      </c>
      <c r="N11" s="227">
        <f>+K11*6%</f>
        <v>9911187.5533483196</v>
      </c>
      <c r="O11" s="660">
        <f>+D11*O7*O8*F8-O20</f>
        <v>1665821.9926349819</v>
      </c>
      <c r="Q11" s="223">
        <f>+K11+M11+N11+O11</f>
        <v>181719062.54512948</v>
      </c>
    </row>
    <row r="12" spans="2:18">
      <c r="B12" s="225" t="s">
        <v>186</v>
      </c>
      <c r="C12" s="602">
        <v>99</v>
      </c>
      <c r="D12" s="235">
        <f>+'INPUT VOL'!J134</f>
        <v>37859.983280000008</v>
      </c>
      <c r="E12" s="229">
        <f>+(D12)/E8</f>
        <v>38004.400000000001</v>
      </c>
      <c r="F12" s="229"/>
      <c r="G12" s="708"/>
      <c r="H12" s="229">
        <f>+E12*($H$7)*$F$8+H22</f>
        <v>104078329.45583999</v>
      </c>
      <c r="I12" s="720"/>
      <c r="J12" s="717"/>
      <c r="K12" s="725">
        <f>+H12+I12</f>
        <v>104078329.45583999</v>
      </c>
      <c r="M12" s="227">
        <f>+K12*3%</f>
        <v>3122349.8836751995</v>
      </c>
      <c r="N12" s="227">
        <f>+K12*6%</f>
        <v>6244699.7673503989</v>
      </c>
      <c r="O12" s="227">
        <f>+D12*$O$7*$O$8*$F$8</f>
        <v>2844742.3599122483</v>
      </c>
      <c r="Q12" s="223">
        <f>+K12+M12+N12+O12</f>
        <v>116290121.46677785</v>
      </c>
      <c r="R12" s="54">
        <f>Q11+Q12</f>
        <v>298009184.01190734</v>
      </c>
    </row>
    <row r="13" spans="2:18">
      <c r="B13" s="244" t="s">
        <v>82</v>
      </c>
      <c r="C13" s="610">
        <v>99</v>
      </c>
      <c r="D13" s="235">
        <f>+'INPUT VOL'!J140</f>
        <v>67939.086687999996</v>
      </c>
      <c r="E13" s="229"/>
      <c r="F13" s="229">
        <f>+D13/$E$8</f>
        <v>68198.239999999991</v>
      </c>
      <c r="G13" s="708"/>
      <c r="H13" s="229"/>
      <c r="I13" s="721">
        <f>+F13*($I$7)*$F$8+H24</f>
        <v>117943814.355024</v>
      </c>
      <c r="J13" s="727">
        <f>+(I13+I14)/((D13+D14)*F8)</f>
        <v>0.97670022035118587</v>
      </c>
      <c r="K13" s="725">
        <f>+H13+I13</f>
        <v>117943814.355024</v>
      </c>
      <c r="M13" s="227">
        <f>+K13*3%</f>
        <v>3538314.4306507199</v>
      </c>
      <c r="N13" s="227">
        <f>+K13*6%</f>
        <v>7076628.8613014398</v>
      </c>
      <c r="O13" s="227">
        <f>+D13*$O$7*$O$8*$F$8-O21</f>
        <v>5104841.0762822675</v>
      </c>
      <c r="Q13" s="223">
        <f>+K13+M13+N13+O13</f>
        <v>133663598.72325842</v>
      </c>
    </row>
    <row r="14" spans="2:18">
      <c r="B14" s="674" t="s">
        <v>460</v>
      </c>
      <c r="C14" s="610">
        <v>99</v>
      </c>
      <c r="D14" s="235">
        <f>+'INPUT II'!F14*PROMIGAS!G6</f>
        <v>23641.469730000004</v>
      </c>
      <c r="E14" s="229"/>
      <c r="F14" s="229">
        <f>+D14/$E$8</f>
        <v>23731.65</v>
      </c>
      <c r="G14" s="708"/>
      <c r="H14" s="229"/>
      <c r="I14" s="721">
        <f>+F14*($I$7)*$F$8+H24</f>
        <v>43324202.896415003</v>
      </c>
      <c r="J14" s="727"/>
      <c r="K14" s="725">
        <f>+H14+I14</f>
        <v>43324202.896415003</v>
      </c>
      <c r="M14" s="227">
        <f>+K14*3%</f>
        <v>1299726.08689245</v>
      </c>
      <c r="N14" s="227">
        <f>+K14*6%</f>
        <v>2599452.1737849</v>
      </c>
      <c r="O14" s="227">
        <f>+D14*$O$7*$O$8*$F$8</f>
        <v>1776384.5771966272</v>
      </c>
      <c r="Q14" s="223">
        <f>+K14+M14+N14+O14</f>
        <v>48999765.734288976</v>
      </c>
      <c r="R14" s="54">
        <f>Q13+Q14</f>
        <v>182663364.4575474</v>
      </c>
    </row>
    <row r="15" spans="2:18" ht="13.5" thickBot="1">
      <c r="B15" s="668" t="s">
        <v>459</v>
      </c>
      <c r="C15" s="610"/>
      <c r="D15" s="346"/>
      <c r="E15" s="223"/>
      <c r="F15" s="223"/>
      <c r="G15" s="729"/>
      <c r="H15" s="223"/>
      <c r="I15" s="730">
        <v>55484329.100000001</v>
      </c>
      <c r="J15" s="727"/>
      <c r="K15" s="725">
        <f>+H15+I15</f>
        <v>55484329.100000001</v>
      </c>
      <c r="M15" s="227">
        <f>+K15*3%</f>
        <v>1664529.8729999999</v>
      </c>
      <c r="N15" s="227">
        <f>+K15*6%</f>
        <v>3329059.7459999998</v>
      </c>
      <c r="O15" s="660">
        <v>0</v>
      </c>
      <c r="Q15" s="1072">
        <f>+K15+M15+N15+O15</f>
        <v>60477918.719000004</v>
      </c>
    </row>
    <row r="16" spans="2:18" ht="13.5" thickBot="1">
      <c r="B16" s="248" t="s">
        <v>91</v>
      </c>
      <c r="C16" s="249"/>
      <c r="D16" s="249">
        <f>SUM(D11:D13)</f>
        <v>193329.20669200004</v>
      </c>
      <c r="E16" s="249">
        <f>SUM(E11:E13)</f>
        <v>125868.42000000001</v>
      </c>
      <c r="F16" s="249">
        <f>SUM(F11:F15)</f>
        <v>91929.889999999985</v>
      </c>
      <c r="G16" s="709"/>
      <c r="H16" s="249">
        <f>SUM(H11:H13)</f>
        <v>269264788.678312</v>
      </c>
      <c r="I16" s="722">
        <f>SUM(I11:I15)</f>
        <v>216752346.351439</v>
      </c>
      <c r="J16" s="260"/>
      <c r="K16" s="726">
        <f>SUM(K11:K15)</f>
        <v>486017135.029751</v>
      </c>
      <c r="L16" s="249"/>
      <c r="M16" s="249">
        <f>SUM(M11:M15)</f>
        <v>14580514.05089253</v>
      </c>
      <c r="N16" s="249">
        <f>SUM(N11:N15)</f>
        <v>29161028.10178506</v>
      </c>
      <c r="O16" s="249">
        <f>SUM(O11:O15)</f>
        <v>11391790.006026126</v>
      </c>
      <c r="Q16" s="249">
        <f>SUM(Q11:Q15)</f>
        <v>541150467.18845475</v>
      </c>
    </row>
    <row r="17" spans="8:17" ht="13.5" thickBot="1"/>
    <row r="18" spans="8:17" ht="13.5" thickBot="1">
      <c r="H18" s="155" t="s">
        <v>11</v>
      </c>
      <c r="I18" s="251">
        <f>+I16+H16</f>
        <v>486017135.029751</v>
      </c>
      <c r="J18" s="251"/>
      <c r="O18" s="251">
        <v>11391790</v>
      </c>
      <c r="Q18" s="249">
        <v>541150467</v>
      </c>
    </row>
    <row r="19" spans="8:17">
      <c r="H19" s="155" t="s">
        <v>6</v>
      </c>
      <c r="I19" s="293">
        <v>486017135</v>
      </c>
      <c r="O19" s="251">
        <f>+O16-O18</f>
        <v>6.0261264443397522E-3</v>
      </c>
      <c r="Q19" s="14">
        <f>+Q16-Q18</f>
        <v>0.18845474720001221</v>
      </c>
    </row>
    <row r="20" spans="8:17">
      <c r="I20" s="294">
        <f>+I18-I19</f>
        <v>2.9751002788543701E-2</v>
      </c>
      <c r="O20" s="922">
        <v>4911061.2</v>
      </c>
    </row>
    <row r="21" spans="8:17">
      <c r="O21" s="981"/>
    </row>
    <row r="22" spans="8:17">
      <c r="H22" s="55">
        <f>+I22/2</f>
        <v>57500000</v>
      </c>
      <c r="I22" s="1211">
        <v>115000000</v>
      </c>
    </row>
    <row r="23" spans="8:17">
      <c r="I23" s="250"/>
      <c r="Q23" s="14"/>
    </row>
    <row r="24" spans="8:17">
      <c r="H24" s="55">
        <f>+I24/2</f>
        <v>3500000</v>
      </c>
      <c r="I24" s="661">
        <v>7000000</v>
      </c>
      <c r="Q24" s="14"/>
    </row>
    <row r="25" spans="8:17">
      <c r="N25" s="251"/>
      <c r="Q25" s="255"/>
    </row>
    <row r="26" spans="8:17">
      <c r="H26" s="1210"/>
      <c r="N26" s="251"/>
      <c r="Q26" s="255"/>
    </row>
    <row r="27" spans="8:17">
      <c r="N27" s="251"/>
      <c r="Q27" s="255"/>
    </row>
    <row r="28" spans="8:17">
      <c r="Q28" s="255"/>
    </row>
    <row r="29" spans="8:17">
      <c r="Q29" s="255"/>
    </row>
    <row r="31" spans="8:17">
      <c r="Q31" s="55"/>
    </row>
    <row r="32" spans="8:17">
      <c r="Q32" s="55"/>
    </row>
    <row r="33" spans="17:17">
      <c r="Q33" s="55"/>
    </row>
  </sheetData>
  <pageMargins left="0.7" right="0.7" top="0.75" bottom="0.75" header="0.3" footer="0.3"/>
  <pageSetup orientation="portrait" r:id="rId1"/>
  <ignoredErrors>
    <ignoredError sqref="O13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>
  <dimension ref="A2:Q51"/>
  <sheetViews>
    <sheetView showGridLines="0" zoomScale="90" zoomScaleNormal="90" workbookViewId="0">
      <selection activeCell="E15" sqref="E15"/>
    </sheetView>
  </sheetViews>
  <sheetFormatPr baseColWidth="10" defaultRowHeight="12.75"/>
  <cols>
    <col min="2" max="2" width="18.28515625" customWidth="1"/>
    <col min="3" max="3" width="4.28515625" customWidth="1"/>
    <col min="4" max="4" width="12.85546875" customWidth="1"/>
    <col min="5" max="5" width="13.42578125" customWidth="1"/>
    <col min="6" max="6" width="10.28515625" customWidth="1"/>
    <col min="7" max="7" width="9.42578125" customWidth="1"/>
    <col min="8" max="8" width="10" customWidth="1"/>
    <col min="9" max="9" width="13" customWidth="1"/>
    <col min="10" max="10" width="13.85546875" customWidth="1"/>
    <col min="11" max="11" width="16.5703125" customWidth="1"/>
    <col min="12" max="12" width="13.85546875" customWidth="1"/>
  </cols>
  <sheetData>
    <row r="2" spans="1:17">
      <c r="B2" s="210" t="s">
        <v>0</v>
      </c>
    </row>
    <row r="3" spans="1:17">
      <c r="B3" s="101" t="s">
        <v>519</v>
      </c>
      <c r="E3">
        <f>+'INPUT II'!J2</f>
        <v>0</v>
      </c>
      <c r="K3" s="54" t="str">
        <f>+'INPUT II'!F2</f>
        <v>OCTUBRE 2012</v>
      </c>
    </row>
    <row r="4" spans="1:17" ht="13.5" thickBot="1">
      <c r="I4" s="1189">
        <v>1</v>
      </c>
      <c r="J4" s="1189">
        <v>2</v>
      </c>
      <c r="K4" s="1189">
        <v>3</v>
      </c>
    </row>
    <row r="5" spans="1:17">
      <c r="B5" s="211" t="s">
        <v>2</v>
      </c>
      <c r="C5" s="704"/>
      <c r="D5" s="704"/>
      <c r="E5" s="916"/>
      <c r="F5" s="916" t="s">
        <v>212</v>
      </c>
      <c r="G5" s="916" t="s">
        <v>520</v>
      </c>
      <c r="H5" s="916" t="s">
        <v>521</v>
      </c>
      <c r="I5" s="916" t="s">
        <v>522</v>
      </c>
      <c r="J5" s="916" t="s">
        <v>523</v>
      </c>
      <c r="K5" s="916" t="s">
        <v>524</v>
      </c>
    </row>
    <row r="6" spans="1:17" ht="13.5" thickBot="1">
      <c r="B6" s="215"/>
      <c r="C6" s="705"/>
      <c r="D6" s="917" t="s">
        <v>112</v>
      </c>
      <c r="E6" s="917" t="s">
        <v>482</v>
      </c>
      <c r="F6" s="917" t="s">
        <v>483</v>
      </c>
      <c r="G6" s="917" t="s">
        <v>483</v>
      </c>
      <c r="H6" s="917" t="s">
        <v>483</v>
      </c>
      <c r="I6" s="917" t="s">
        <v>372</v>
      </c>
      <c r="J6" s="917" t="s">
        <v>372</v>
      </c>
      <c r="K6" s="917" t="s">
        <v>372</v>
      </c>
      <c r="N6" s="82"/>
      <c r="Q6" s="54"/>
    </row>
    <row r="7" spans="1:17">
      <c r="A7" s="1194"/>
      <c r="B7" s="348" t="s">
        <v>479</v>
      </c>
      <c r="C7" s="915">
        <v>65</v>
      </c>
      <c r="D7" s="914">
        <f t="shared" ref="D7:D14" si="0">+G40</f>
        <v>1899.9380484435821</v>
      </c>
      <c r="E7" s="923">
        <f t="shared" ref="E7:E12" si="1">+D7*28.316846</f>
        <v>53800.253127317461</v>
      </c>
      <c r="F7" s="229">
        <v>465</v>
      </c>
      <c r="G7" s="229">
        <f>1118-F7-H7</f>
        <v>512.77</v>
      </c>
      <c r="H7" s="230">
        <v>140.22999999999999</v>
      </c>
      <c r="I7" s="915">
        <f t="shared" ref="I7:I12" si="2">+E7*F7</f>
        <v>25017117.704202618</v>
      </c>
      <c r="J7" s="230">
        <f t="shared" ref="J7:J12" si="3">+E7*G7</f>
        <v>27587155.796094574</v>
      </c>
      <c r="K7" s="229">
        <f>+E7*H7-45.8</f>
        <v>7544363.696043727</v>
      </c>
      <c r="L7" s="229">
        <f>+I7+J7+K7</f>
        <v>60148637.196340919</v>
      </c>
      <c r="N7" s="82"/>
      <c r="O7" s="14"/>
      <c r="Q7" s="54"/>
    </row>
    <row r="8" spans="1:17">
      <c r="A8" s="1194"/>
      <c r="B8" s="674" t="s">
        <v>489</v>
      </c>
      <c r="C8" s="915">
        <v>66</v>
      </c>
      <c r="D8" s="914">
        <f t="shared" si="0"/>
        <v>721.01704057231575</v>
      </c>
      <c r="E8" s="923">
        <f t="shared" si="1"/>
        <v>20416.928501262017</v>
      </c>
      <c r="F8" s="229">
        <f t="shared" ref="F8:H17" si="4">+F7</f>
        <v>465</v>
      </c>
      <c r="G8" s="229">
        <f t="shared" si="4"/>
        <v>512.77</v>
      </c>
      <c r="H8" s="230">
        <f t="shared" si="4"/>
        <v>140.22999999999999</v>
      </c>
      <c r="I8" s="915">
        <f t="shared" si="2"/>
        <v>9493871.753086837</v>
      </c>
      <c r="J8" s="230">
        <f t="shared" si="3"/>
        <v>10469188.427592125</v>
      </c>
      <c r="K8" s="229">
        <f t="shared" ref="K8:K15" si="5">+E8*H8</f>
        <v>2863065.8837319724</v>
      </c>
      <c r="L8" s="229">
        <f t="shared" ref="L8:L12" si="6">+I8+J8+K8</f>
        <v>22826126.064410936</v>
      </c>
      <c r="N8" s="82"/>
      <c r="O8" s="14"/>
      <c r="Q8" s="54"/>
    </row>
    <row r="9" spans="1:17">
      <c r="B9" s="674" t="s">
        <v>506</v>
      </c>
      <c r="C9" s="915"/>
      <c r="D9" s="914">
        <f t="shared" si="0"/>
        <v>568.80479776958759</v>
      </c>
      <c r="E9" s="229">
        <f t="shared" si="1"/>
        <v>16106.757862502556</v>
      </c>
      <c r="F9" s="229">
        <f t="shared" si="4"/>
        <v>465</v>
      </c>
      <c r="G9" s="229">
        <f t="shared" si="4"/>
        <v>512.77</v>
      </c>
      <c r="H9" s="230">
        <f t="shared" si="4"/>
        <v>140.22999999999999</v>
      </c>
      <c r="I9" s="915">
        <f t="shared" si="2"/>
        <v>7489642.4060636889</v>
      </c>
      <c r="J9" s="230">
        <f t="shared" si="3"/>
        <v>8259062.2291554352</v>
      </c>
      <c r="K9" s="229">
        <f t="shared" si="5"/>
        <v>2258650.6550587332</v>
      </c>
      <c r="L9" s="229">
        <f t="shared" si="6"/>
        <v>18007355.290277857</v>
      </c>
      <c r="N9" s="82"/>
      <c r="O9" s="14"/>
      <c r="Q9" s="54"/>
    </row>
    <row r="10" spans="1:17">
      <c r="B10" s="674" t="s">
        <v>505</v>
      </c>
      <c r="C10" s="915"/>
      <c r="D10" s="914">
        <f t="shared" si="0"/>
        <v>0</v>
      </c>
      <c r="E10" s="229">
        <f t="shared" si="1"/>
        <v>0</v>
      </c>
      <c r="F10" s="229">
        <f t="shared" si="4"/>
        <v>465</v>
      </c>
      <c r="G10" s="229">
        <f t="shared" si="4"/>
        <v>512.77</v>
      </c>
      <c r="H10" s="230">
        <f t="shared" si="4"/>
        <v>140.22999999999999</v>
      </c>
      <c r="I10" s="915">
        <f t="shared" si="2"/>
        <v>0</v>
      </c>
      <c r="J10" s="230">
        <f t="shared" si="3"/>
        <v>0</v>
      </c>
      <c r="K10" s="229">
        <f t="shared" si="5"/>
        <v>0</v>
      </c>
      <c r="L10" s="229">
        <f t="shared" si="6"/>
        <v>0</v>
      </c>
      <c r="N10" s="82"/>
      <c r="O10" s="14"/>
      <c r="Q10" s="54"/>
    </row>
    <row r="11" spans="1:17">
      <c r="B11" s="674" t="s">
        <v>507</v>
      </c>
      <c r="C11" s="229"/>
      <c r="D11" s="914">
        <f t="shared" si="0"/>
        <v>1987.9706259290256</v>
      </c>
      <c r="E11" s="229">
        <f t="shared" si="1"/>
        <v>56293.058066955826</v>
      </c>
      <c r="F11" s="229">
        <f t="shared" si="4"/>
        <v>465</v>
      </c>
      <c r="G11" s="229">
        <f t="shared" si="4"/>
        <v>512.77</v>
      </c>
      <c r="H11" s="230">
        <f t="shared" si="4"/>
        <v>140.22999999999999</v>
      </c>
      <c r="I11" s="915">
        <f t="shared" si="2"/>
        <v>26176272.001134459</v>
      </c>
      <c r="J11" s="230">
        <f>+E11*G11</f>
        <v>28865391.384992938</v>
      </c>
      <c r="K11" s="229">
        <f t="shared" si="5"/>
        <v>7893975.532729215</v>
      </c>
      <c r="L11" s="229">
        <f t="shared" si="6"/>
        <v>62935638.918856613</v>
      </c>
      <c r="N11" s="82"/>
      <c r="O11" s="14"/>
      <c r="Q11" s="54"/>
    </row>
    <row r="12" spans="1:17">
      <c r="A12" s="1194"/>
      <c r="B12" s="674" t="s">
        <v>488</v>
      </c>
      <c r="C12" s="229"/>
      <c r="D12" s="914">
        <f t="shared" si="0"/>
        <v>0</v>
      </c>
      <c r="E12" s="923">
        <f t="shared" si="1"/>
        <v>0</v>
      </c>
      <c r="F12" s="229">
        <f t="shared" si="4"/>
        <v>465</v>
      </c>
      <c r="G12" s="229">
        <f t="shared" si="4"/>
        <v>512.77</v>
      </c>
      <c r="H12" s="230">
        <f t="shared" si="4"/>
        <v>140.22999999999999</v>
      </c>
      <c r="I12" s="915">
        <f t="shared" si="2"/>
        <v>0</v>
      </c>
      <c r="J12" s="230">
        <f t="shared" si="3"/>
        <v>0</v>
      </c>
      <c r="K12" s="229">
        <f t="shared" si="5"/>
        <v>0</v>
      </c>
      <c r="L12" s="229">
        <f t="shared" si="6"/>
        <v>0</v>
      </c>
      <c r="N12" s="82"/>
      <c r="O12" s="14"/>
      <c r="Q12" s="54"/>
    </row>
    <row r="13" spans="1:17">
      <c r="A13" s="1194"/>
      <c r="B13" s="674" t="s">
        <v>555</v>
      </c>
      <c r="C13" s="229"/>
      <c r="D13" s="914">
        <f t="shared" si="0"/>
        <v>232.58614212010187</v>
      </c>
      <c r="E13" s="923">
        <f t="shared" ref="E13:E15" si="7">+D13*28.316846</f>
        <v>6586.1059681490387</v>
      </c>
      <c r="F13" s="229">
        <f t="shared" si="4"/>
        <v>465</v>
      </c>
      <c r="G13" s="229">
        <f t="shared" si="4"/>
        <v>512.77</v>
      </c>
      <c r="H13" s="230">
        <f t="shared" si="4"/>
        <v>140.22999999999999</v>
      </c>
      <c r="I13" s="915">
        <f t="shared" ref="I13:I14" si="8">+E13*F13</f>
        <v>3062539.2751893029</v>
      </c>
      <c r="J13" s="230">
        <f t="shared" ref="J13:J15" si="9">+E13*G13</f>
        <v>3377157.5572877824</v>
      </c>
      <c r="K13" s="229">
        <f t="shared" si="5"/>
        <v>923569.63991353964</v>
      </c>
      <c r="L13" s="229">
        <f t="shared" ref="L13:L15" si="10">+I13+J13+K13</f>
        <v>7363266.4723906247</v>
      </c>
      <c r="N13" s="82"/>
      <c r="O13" s="14"/>
      <c r="Q13" s="54"/>
    </row>
    <row r="14" spans="1:17">
      <c r="A14" s="1194"/>
      <c r="B14" s="674" t="s">
        <v>556</v>
      </c>
      <c r="C14" s="229"/>
      <c r="D14" s="914">
        <f t="shared" si="0"/>
        <v>623.62159355952326</v>
      </c>
      <c r="E14" s="923">
        <f t="shared" si="7"/>
        <v>17658.996627099612</v>
      </c>
      <c r="F14" s="229">
        <f t="shared" si="4"/>
        <v>465</v>
      </c>
      <c r="G14" s="229">
        <f t="shared" si="4"/>
        <v>512.77</v>
      </c>
      <c r="H14" s="230">
        <f t="shared" si="4"/>
        <v>140.22999999999999</v>
      </c>
      <c r="I14" s="915">
        <f t="shared" si="8"/>
        <v>8211433.4316013195</v>
      </c>
      <c r="J14" s="230">
        <f t="shared" si="9"/>
        <v>9055003.7004778683</v>
      </c>
      <c r="K14" s="229">
        <f t="shared" si="5"/>
        <v>2476321.0970181786</v>
      </c>
      <c r="L14" s="229">
        <f t="shared" si="10"/>
        <v>19742758.229097366</v>
      </c>
      <c r="N14" s="82"/>
      <c r="O14" s="14"/>
      <c r="Q14" s="54"/>
    </row>
    <row r="15" spans="1:17">
      <c r="B15" s="674" t="s">
        <v>557</v>
      </c>
      <c r="C15" s="229"/>
      <c r="D15" s="265">
        <f>+G48</f>
        <v>603.27030612401427</v>
      </c>
      <c r="E15" s="229">
        <f t="shared" si="7"/>
        <v>17082.712354886571</v>
      </c>
      <c r="F15" s="229">
        <f t="shared" si="4"/>
        <v>465</v>
      </c>
      <c r="G15" s="229">
        <f t="shared" si="4"/>
        <v>512.77</v>
      </c>
      <c r="H15" s="230">
        <f t="shared" si="4"/>
        <v>140.22999999999999</v>
      </c>
      <c r="I15" s="915">
        <f>+E15*F15</f>
        <v>7943461.2450222559</v>
      </c>
      <c r="J15" s="230">
        <f t="shared" si="9"/>
        <v>8759502.4142151866</v>
      </c>
      <c r="K15" s="229">
        <f t="shared" si="5"/>
        <v>2395508.7535257437</v>
      </c>
      <c r="L15" s="229">
        <f t="shared" si="10"/>
        <v>19098472.412763186</v>
      </c>
      <c r="N15" s="82"/>
      <c r="O15" s="14"/>
      <c r="Q15" s="54"/>
    </row>
    <row r="16" spans="1:17">
      <c r="A16" s="1194"/>
      <c r="B16" s="668" t="s">
        <v>525</v>
      </c>
      <c r="C16" s="229"/>
      <c r="D16" s="265">
        <f>+G49</f>
        <v>0</v>
      </c>
      <c r="E16" s="923">
        <f t="shared" ref="E16" si="11">+D16*28.316846</f>
        <v>0</v>
      </c>
      <c r="F16" s="229">
        <f t="shared" si="4"/>
        <v>465</v>
      </c>
      <c r="G16" s="229">
        <f t="shared" si="4"/>
        <v>512.77</v>
      </c>
      <c r="H16" s="230">
        <f t="shared" si="4"/>
        <v>140.22999999999999</v>
      </c>
      <c r="I16" s="915">
        <f>+E16*F16</f>
        <v>0</v>
      </c>
      <c r="J16" s="230">
        <f t="shared" ref="J16" si="12">+E16*G16</f>
        <v>0</v>
      </c>
      <c r="K16" s="229">
        <f t="shared" ref="K16" si="13">+E16*H16</f>
        <v>0</v>
      </c>
      <c r="L16" s="229">
        <f t="shared" ref="L16" si="14">+I16+J16+K16</f>
        <v>0</v>
      </c>
      <c r="N16" s="82"/>
      <c r="O16" s="14"/>
      <c r="Q16" s="54"/>
    </row>
    <row r="17" spans="2:17">
      <c r="B17" s="668" t="s">
        <v>581</v>
      </c>
      <c r="C17" s="229"/>
      <c r="D17" s="265">
        <f>+G50</f>
        <v>189.11811187541679</v>
      </c>
      <c r="E17" s="923">
        <f t="shared" ref="E17" si="15">+D17*28.316846</f>
        <v>5355.2284497869487</v>
      </c>
      <c r="F17" s="229">
        <f t="shared" si="4"/>
        <v>465</v>
      </c>
      <c r="G17" s="229">
        <f t="shared" si="4"/>
        <v>512.77</v>
      </c>
      <c r="H17" s="230">
        <f t="shared" si="4"/>
        <v>140.22999999999999</v>
      </c>
      <c r="I17" s="915">
        <f>+E17*F17</f>
        <v>2490181.2291509314</v>
      </c>
      <c r="J17" s="230">
        <f t="shared" ref="J17" si="16">+E17*G17</f>
        <v>2746000.4921972537</v>
      </c>
      <c r="K17" s="229">
        <f t="shared" ref="K17" si="17">+E17*H17</f>
        <v>750963.68551362376</v>
      </c>
      <c r="L17" s="229">
        <f t="shared" ref="L17" si="18">+I17+J17+K17</f>
        <v>5987145.4068618091</v>
      </c>
      <c r="N17" s="82"/>
      <c r="O17" s="14"/>
      <c r="Q17" s="54"/>
    </row>
    <row r="18" spans="2:17" ht="13.5" thickBot="1">
      <c r="B18" s="668"/>
      <c r="C18" s="229"/>
      <c r="D18" s="229"/>
      <c r="E18" s="229"/>
      <c r="F18" s="229"/>
      <c r="G18" s="229"/>
      <c r="H18" s="229"/>
      <c r="I18" s="229"/>
      <c r="J18" s="229"/>
      <c r="K18" s="229"/>
      <c r="N18" s="82"/>
      <c r="O18" s="14"/>
      <c r="Q18" s="54"/>
    </row>
    <row r="19" spans="2:17" ht="13.5" thickBot="1">
      <c r="B19" s="248" t="s">
        <v>91</v>
      </c>
      <c r="C19" s="249"/>
      <c r="D19" s="249">
        <f>SUM(D7:D17)</f>
        <v>6826.3266663935683</v>
      </c>
      <c r="E19" s="249">
        <f>SUM(E7:E17)</f>
        <v>193300.04095796004</v>
      </c>
      <c r="F19" s="249"/>
      <c r="G19" s="249"/>
      <c r="H19" s="249"/>
      <c r="I19" s="249">
        <f>SUM(I7:I18)</f>
        <v>89884519.045451403</v>
      </c>
      <c r="J19" s="249">
        <f>SUM(J7:J18)</f>
        <v>99118462.002013177</v>
      </c>
      <c r="K19" s="249">
        <f>SUM(K7:K18)</f>
        <v>27106418.943534736</v>
      </c>
      <c r="L19" s="249">
        <f>SUM(L7:L18)</f>
        <v>216109399.99099931</v>
      </c>
      <c r="N19" s="82"/>
      <c r="Q19" s="54"/>
    </row>
    <row r="20" spans="2:17" ht="13.5" thickBot="1">
      <c r="K20" s="249">
        <f>+K19+J19+I19</f>
        <v>216109399.99099931</v>
      </c>
      <c r="N20" s="82"/>
      <c r="Q20" s="54"/>
    </row>
    <row r="21" spans="2:17" ht="13.5" thickBot="1">
      <c r="E21" s="54">
        <f>+E19-E9-E10-E11</f>
        <v>120900.22502850165</v>
      </c>
      <c r="N21" s="82"/>
      <c r="Q21" s="54"/>
    </row>
    <row r="22" spans="2:17" ht="13.5" thickBot="1">
      <c r="K22" s="249">
        <f>+K20</f>
        <v>216109399.99099931</v>
      </c>
      <c r="N22" s="82"/>
      <c r="Q22" s="54"/>
    </row>
    <row r="23" spans="2:17" ht="13.5" thickBot="1">
      <c r="C23" s="1090" t="s">
        <v>564</v>
      </c>
      <c r="D23" s="55">
        <f>+D7</f>
        <v>1899.9380484435821</v>
      </c>
      <c r="E23" s="54">
        <f>+D23*28.31684</f>
        <v>53800.241727689165</v>
      </c>
      <c r="K23" s="249">
        <f>+K20-K22</f>
        <v>0</v>
      </c>
      <c r="N23" s="82"/>
      <c r="Q23" s="54"/>
    </row>
    <row r="24" spans="2:17">
      <c r="C24" s="1090" t="s">
        <v>548</v>
      </c>
      <c r="D24" s="55"/>
      <c r="E24" s="54">
        <f>+D24*28.31684</f>
        <v>0</v>
      </c>
      <c r="P24" s="54"/>
      <c r="Q24" s="617"/>
    </row>
    <row r="25" spans="2:17">
      <c r="C25" s="1090" t="s">
        <v>565</v>
      </c>
      <c r="D25" s="55">
        <f>+'INPUT II'!M17</f>
        <v>16118</v>
      </c>
      <c r="E25" s="54">
        <f>+D25</f>
        <v>16118</v>
      </c>
      <c r="P25" s="54"/>
      <c r="Q25" s="617"/>
    </row>
    <row r="26" spans="2:17">
      <c r="C26" s="1090" t="s">
        <v>566</v>
      </c>
      <c r="D26" s="55">
        <f>+D8</f>
        <v>721.01704057231575</v>
      </c>
      <c r="E26" s="54">
        <f>+D26*28.31684</f>
        <v>20416.924175159773</v>
      </c>
    </row>
    <row r="27" spans="2:17">
      <c r="C27" s="1090" t="s">
        <v>547</v>
      </c>
      <c r="D27" s="55">
        <f>+D16</f>
        <v>0</v>
      </c>
      <c r="E27" s="54">
        <f t="shared" ref="E27:E29" si="19">+D27*28.31684</f>
        <v>0</v>
      </c>
    </row>
    <row r="28" spans="2:17">
      <c r="C28" s="1090" t="s">
        <v>567</v>
      </c>
      <c r="D28" s="55">
        <f>+D13</f>
        <v>232.58614212010187</v>
      </c>
      <c r="E28" s="54">
        <f t="shared" si="19"/>
        <v>6586.1045726321854</v>
      </c>
    </row>
    <row r="29" spans="2:17">
      <c r="C29" s="1090" t="s">
        <v>568</v>
      </c>
      <c r="D29" s="55">
        <f>+D14</f>
        <v>623.62159355952326</v>
      </c>
      <c r="E29" s="54">
        <f t="shared" si="19"/>
        <v>17658.992885370051</v>
      </c>
    </row>
    <row r="30" spans="2:17">
      <c r="C30" s="1090"/>
      <c r="D30" s="55"/>
      <c r="E30" s="54"/>
    </row>
    <row r="31" spans="2:17">
      <c r="C31" s="1090" t="s">
        <v>569</v>
      </c>
      <c r="D31" s="55"/>
      <c r="E31" s="54">
        <f>+E9</f>
        <v>16106.757862502556</v>
      </c>
    </row>
    <row r="32" spans="2:17">
      <c r="C32" s="1090" t="s">
        <v>570</v>
      </c>
      <c r="D32" s="55"/>
      <c r="E32" s="54">
        <f>+E11</f>
        <v>56293.058066955826</v>
      </c>
    </row>
    <row r="33" spans="2:9">
      <c r="C33" s="1090"/>
      <c r="D33" s="55"/>
      <c r="E33" s="54"/>
    </row>
    <row r="34" spans="2:9">
      <c r="C34" s="1090" t="s">
        <v>573</v>
      </c>
      <c r="D34" s="55"/>
      <c r="E34" s="54">
        <f>+E15</f>
        <v>17082.712354886571</v>
      </c>
    </row>
    <row r="38" spans="2:9">
      <c r="G38" s="1015">
        <f>(193300)/28.31684</f>
        <v>6826.3266663935665</v>
      </c>
    </row>
    <row r="40" spans="2:9">
      <c r="B40" s="348" t="s">
        <v>479</v>
      </c>
      <c r="C40" s="915">
        <v>65</v>
      </c>
      <c r="D40" s="914">
        <f>+'INPUT VOL'!C165</f>
        <v>1307</v>
      </c>
      <c r="E40" s="229">
        <f t="shared" ref="E40:E45" si="20">+D40*28.316846</f>
        <v>37010.117722000003</v>
      </c>
      <c r="F40" s="1014">
        <f t="shared" ref="F40:F49" si="21">+D40/$D$51</f>
        <v>0.27832509947071477</v>
      </c>
      <c r="G40" s="14">
        <f t="shared" ref="G40:G49" si="22">+$G$38*F40</f>
        <v>1899.9380484435821</v>
      </c>
    </row>
    <row r="41" spans="2:9">
      <c r="B41" s="674" t="s">
        <v>489</v>
      </c>
      <c r="C41" s="915">
        <v>66</v>
      </c>
      <c r="D41" s="914">
        <f>+'INPUT VOL'!C167</f>
        <v>496</v>
      </c>
      <c r="E41" s="229">
        <f t="shared" si="20"/>
        <v>14045.155616</v>
      </c>
      <c r="F41" s="1014">
        <f t="shared" si="21"/>
        <v>0.10562299107687416</v>
      </c>
      <c r="G41" s="14">
        <f t="shared" si="22"/>
        <v>721.01704057231575</v>
      </c>
    </row>
    <row r="42" spans="2:9">
      <c r="B42" s="674" t="s">
        <v>506</v>
      </c>
      <c r="C42" s="915"/>
      <c r="D42" s="914">
        <f>+'INPUT VOL'!C175</f>
        <v>391.29058512926912</v>
      </c>
      <c r="E42" s="229">
        <f t="shared" si="20"/>
        <v>11080.115240355404</v>
      </c>
      <c r="F42" s="1014">
        <f t="shared" si="21"/>
        <v>8.3325165285430769E-2</v>
      </c>
      <c r="G42" s="14">
        <f t="shared" si="22"/>
        <v>568.80479776958759</v>
      </c>
    </row>
    <row r="43" spans="2:9">
      <c r="B43" s="674" t="s">
        <v>505</v>
      </c>
      <c r="C43" s="915"/>
      <c r="D43" s="914">
        <f>+'INPUT VOL'!C174</f>
        <v>0</v>
      </c>
      <c r="E43" s="229">
        <f t="shared" si="20"/>
        <v>0</v>
      </c>
      <c r="F43" s="1014">
        <f t="shared" si="21"/>
        <v>0</v>
      </c>
      <c r="G43" s="14">
        <f t="shared" si="22"/>
        <v>0</v>
      </c>
    </row>
    <row r="44" spans="2:9">
      <c r="B44" s="674" t="s">
        <v>507</v>
      </c>
      <c r="C44" s="229"/>
      <c r="D44" s="265">
        <f>+'INPUT VOL'!C176</f>
        <v>1367.5591213185764</v>
      </c>
      <c r="E44" s="229">
        <f t="shared" si="20"/>
        <v>38724.961034273445</v>
      </c>
      <c r="F44" s="1014">
        <f t="shared" si="21"/>
        <v>0.29122113884703604</v>
      </c>
      <c r="G44" s="14">
        <f t="shared" si="22"/>
        <v>1987.9706259290256</v>
      </c>
    </row>
    <row r="45" spans="2:9">
      <c r="B45" s="674" t="s">
        <v>488</v>
      </c>
      <c r="C45" s="229"/>
      <c r="D45" s="1178">
        <f>+('INPUT VOL'!C166)*0</f>
        <v>0</v>
      </c>
      <c r="E45" s="229">
        <f t="shared" si="20"/>
        <v>0</v>
      </c>
      <c r="F45" s="1014">
        <f t="shared" si="21"/>
        <v>0</v>
      </c>
      <c r="G45" s="14">
        <f t="shared" si="22"/>
        <v>0</v>
      </c>
    </row>
    <row r="46" spans="2:9">
      <c r="B46" s="674" t="s">
        <v>555</v>
      </c>
      <c r="C46" s="229"/>
      <c r="D46" s="229">
        <f>+'INPUT VOL'!C178</f>
        <v>160</v>
      </c>
      <c r="E46" s="229">
        <f t="shared" ref="E46:E47" si="23">+D46*28.316846</f>
        <v>4530.6953600000006</v>
      </c>
      <c r="F46" s="1014">
        <f t="shared" si="21"/>
        <v>3.4071932605443278E-2</v>
      </c>
      <c r="G46" s="14">
        <f t="shared" si="22"/>
        <v>232.58614212010187</v>
      </c>
    </row>
    <row r="47" spans="2:9">
      <c r="B47" s="674" t="s">
        <v>556</v>
      </c>
      <c r="C47" s="229"/>
      <c r="D47" s="229">
        <f>+'INPUT VOL'!C179</f>
        <v>429</v>
      </c>
      <c r="E47" s="229">
        <f t="shared" si="23"/>
        <v>12147.926934000001</v>
      </c>
      <c r="F47" s="1014">
        <f t="shared" si="21"/>
        <v>9.1355369298344799E-2</v>
      </c>
      <c r="G47" s="14">
        <f t="shared" si="22"/>
        <v>623.62159355952326</v>
      </c>
    </row>
    <row r="48" spans="2:9">
      <c r="B48" s="674" t="s">
        <v>557</v>
      </c>
      <c r="C48" s="229"/>
      <c r="D48" s="229">
        <f>+'INPUT VOL'!C180</f>
        <v>415</v>
      </c>
      <c r="E48" s="229">
        <f t="shared" ref="E48" si="24">+D48*28.316846</f>
        <v>11751.491090000001</v>
      </c>
      <c r="F48" s="1014">
        <f t="shared" si="21"/>
        <v>8.8374075195368509E-2</v>
      </c>
      <c r="G48" s="14">
        <f t="shared" si="22"/>
        <v>603.27030612401427</v>
      </c>
      <c r="I48" s="617"/>
    </row>
    <row r="49" spans="2:7">
      <c r="B49" s="674" t="s">
        <v>525</v>
      </c>
      <c r="C49" s="229"/>
      <c r="D49" s="229">
        <f>+'INPUT VOL'!D177</f>
        <v>0</v>
      </c>
      <c r="E49" s="229">
        <f t="shared" ref="E49" si="25">+D49*28.316846</f>
        <v>0</v>
      </c>
      <c r="F49" s="1014">
        <f t="shared" si="21"/>
        <v>0</v>
      </c>
      <c r="G49" s="14">
        <f t="shared" si="22"/>
        <v>0</v>
      </c>
    </row>
    <row r="50" spans="2:7">
      <c r="B50" s="674" t="s">
        <v>587</v>
      </c>
      <c r="C50" s="229"/>
      <c r="D50" s="229">
        <f>+'INPUT VOL'!D187</f>
        <v>130.09759577353375</v>
      </c>
      <c r="E50" s="229">
        <f t="shared" ref="E50" si="26">+D50*28.316846</f>
        <v>3683.9535844894062</v>
      </c>
      <c r="F50" s="1014">
        <f t="shared" ref="F50" si="27">+D50/$D$51</f>
        <v>2.7704228220787778E-2</v>
      </c>
      <c r="G50" s="14">
        <f t="shared" ref="G50" si="28">+$G$38*F50</f>
        <v>189.11811187541679</v>
      </c>
    </row>
    <row r="51" spans="2:7">
      <c r="D51" s="54">
        <f>SUM(D40:D50)</f>
        <v>4695.9473022213788</v>
      </c>
      <c r="E51" s="54">
        <f>SUM(E40:E50)</f>
        <v>132974.41658111825</v>
      </c>
      <c r="G51" s="14">
        <f>SUM(G40:G50)</f>
        <v>6826.3266663935683</v>
      </c>
    </row>
  </sheetData>
  <pageMargins left="0.70866141732283472" right="0.70866141732283472" top="0.74803149606299213" bottom="0.74803149606299213" header="0.31496062992125984" footer="0.31496062992125984"/>
  <pageSetup orientation="landscape" r:id="rId1"/>
  <ignoredErrors>
    <ignoredError sqref="E25" formula="1"/>
    <ignoredError sqref="D7:L23" evalError="1"/>
  </ignoredErrors>
</worksheet>
</file>

<file path=xl/worksheets/sheet13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B2" sqref="B2"/>
    </sheetView>
  </sheetViews>
  <sheetFormatPr baseColWidth="10" defaultRowHeight="12.75"/>
  <cols>
    <col min="2" max="2" width="12" bestFit="1" customWidth="1"/>
  </cols>
  <sheetData>
    <row r="1" spans="1:2">
      <c r="A1">
        <v>7530050000</v>
      </c>
      <c r="B1">
        <f>A1*3</f>
        <v>22590150000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P51"/>
  <sheetViews>
    <sheetView showGridLines="0" topLeftCell="A28" zoomScale="95" workbookViewId="0">
      <selection activeCell="K38" sqref="K38:M38"/>
    </sheetView>
  </sheetViews>
  <sheetFormatPr baseColWidth="10" defaultRowHeight="12.75"/>
  <cols>
    <col min="1" max="1" width="5.140625" customWidth="1"/>
    <col min="6" max="6" width="14.5703125" customWidth="1"/>
    <col min="7" max="7" width="2.5703125" customWidth="1"/>
    <col min="8" max="8" width="2.42578125" customWidth="1"/>
    <col min="11" max="11" width="12.28515625" customWidth="1"/>
    <col min="13" max="13" width="11.7109375" bestFit="1" customWidth="1"/>
    <col min="14" max="14" width="1.28515625" customWidth="1"/>
    <col min="15" max="15" width="2.85546875" customWidth="1"/>
  </cols>
  <sheetData>
    <row r="1" spans="2:16" ht="6" customHeight="1"/>
    <row r="2" spans="2:16">
      <c r="B2" s="399" t="s">
        <v>310</v>
      </c>
      <c r="C2" s="309"/>
      <c r="D2" s="310"/>
      <c r="E2" s="385"/>
      <c r="F2" s="758" t="s">
        <v>592</v>
      </c>
      <c r="G2" s="6"/>
      <c r="H2" s="6"/>
      <c r="I2" s="759">
        <v>31</v>
      </c>
      <c r="J2" s="1126"/>
    </row>
    <row r="3" spans="2:16" ht="7.5" customHeight="1" thickBot="1"/>
    <row r="4" spans="2:16" ht="13.5" thickBot="1">
      <c r="B4" s="392"/>
      <c r="C4" s="393"/>
      <c r="D4" s="393"/>
      <c r="E4" s="394"/>
      <c r="F4" s="395" t="s">
        <v>309</v>
      </c>
      <c r="H4" s="461" t="s">
        <v>317</v>
      </c>
      <c r="K4" s="463" t="s">
        <v>125</v>
      </c>
      <c r="L4" s="464"/>
      <c r="M4" s="462" t="s">
        <v>7</v>
      </c>
      <c r="O4" s="461" t="s">
        <v>317</v>
      </c>
    </row>
    <row r="5" spans="2:16">
      <c r="B5" s="387"/>
      <c r="C5" s="400"/>
      <c r="D5" s="309"/>
      <c r="E5" s="385"/>
      <c r="F5" s="760">
        <f>+F7</f>
        <v>1817.25</v>
      </c>
      <c r="H5" s="769">
        <v>1</v>
      </c>
      <c r="I5" s="460" t="str">
        <f>+IF(H7=1, "   Actualizado","")</f>
        <v/>
      </c>
      <c r="K5" s="387" t="s">
        <v>318</v>
      </c>
      <c r="L5" s="385"/>
      <c r="M5" s="766"/>
      <c r="O5" s="769"/>
      <c r="P5" s="460" t="str">
        <f>+IF(O5=1, "   Actualizado","")</f>
        <v/>
      </c>
    </row>
    <row r="6" spans="2:16">
      <c r="B6" s="399" t="s">
        <v>87</v>
      </c>
      <c r="C6" s="309"/>
      <c r="D6" s="310"/>
      <c r="E6" s="385"/>
      <c r="F6" s="1117">
        <v>1802.95</v>
      </c>
      <c r="H6" s="769"/>
      <c r="I6" s="460" t="str">
        <f>+IF(H6=1, "   Actualizado","")</f>
        <v/>
      </c>
      <c r="J6" s="634"/>
      <c r="K6" s="465" t="s">
        <v>400</v>
      </c>
      <c r="L6" s="385"/>
      <c r="M6" s="766"/>
      <c r="O6" s="769"/>
      <c r="P6" s="460" t="str">
        <f>+IF(O6=1, "   Actualizado","")</f>
        <v/>
      </c>
    </row>
    <row r="7" spans="2:16">
      <c r="B7" s="399" t="s">
        <v>88</v>
      </c>
      <c r="C7" s="309"/>
      <c r="D7" s="310"/>
      <c r="E7" s="385"/>
      <c r="F7" s="459">
        <v>1817.25</v>
      </c>
      <c r="H7" s="769"/>
      <c r="I7" s="460" t="str">
        <f>+IF(H7=1, "   Actualizado","")</f>
        <v/>
      </c>
      <c r="K7" s="741" t="s">
        <v>440</v>
      </c>
      <c r="L7" s="385"/>
      <c r="M7" s="766"/>
      <c r="O7" s="769"/>
      <c r="P7" s="460" t="str">
        <f>+IF(O7=1, "   Actualizado","")</f>
        <v/>
      </c>
    </row>
    <row r="8" spans="2:16">
      <c r="B8" s="399"/>
      <c r="C8" s="309"/>
      <c r="D8" s="310"/>
      <c r="E8" s="385"/>
      <c r="F8" s="761"/>
      <c r="H8" s="770"/>
      <c r="K8" s="741" t="s">
        <v>400</v>
      </c>
      <c r="L8" s="385"/>
      <c r="M8" s="766"/>
      <c r="O8" s="769"/>
      <c r="P8" s="460" t="str">
        <f>+IF(O8=1, "   Actualizado","")</f>
        <v/>
      </c>
    </row>
    <row r="9" spans="2:16">
      <c r="F9" s="6"/>
      <c r="H9" s="540"/>
      <c r="M9" s="6"/>
      <c r="O9" s="6"/>
    </row>
    <row r="10" spans="2:16">
      <c r="B10" s="399" t="s">
        <v>311</v>
      </c>
      <c r="C10" s="309"/>
      <c r="D10" s="310"/>
      <c r="E10" s="385"/>
      <c r="F10" s="762">
        <f>+PROMIGAS!AS198</f>
        <v>0.01</v>
      </c>
      <c r="H10" s="769">
        <v>1</v>
      </c>
      <c r="I10" s="460" t="str">
        <f>+IF(H10=1, "   Actualizado","")</f>
        <v xml:space="preserve">   Actualizado</v>
      </c>
      <c r="K10" s="489"/>
      <c r="M10" s="6"/>
      <c r="O10" s="6"/>
      <c r="P10" s="460"/>
    </row>
    <row r="11" spans="2:16" ht="13.5" thickBot="1">
      <c r="F11" s="763">
        <f>+PROMIGAS!AS196</f>
        <v>-3.092646598815918E-3</v>
      </c>
      <c r="H11" s="540"/>
      <c r="K11" s="983" t="s">
        <v>505</v>
      </c>
      <c r="L11" s="984" t="s">
        <v>500</v>
      </c>
      <c r="M11" s="985">
        <f>+'INPUT VOL'!C174*28.31684</f>
        <v>0</v>
      </c>
      <c r="O11" s="769"/>
      <c r="P11" s="460" t="str">
        <f>+IF(O11=1, "   Actualizado","")</f>
        <v/>
      </c>
    </row>
    <row r="12" spans="2:16" ht="13.5" thickBot="1">
      <c r="B12" s="392"/>
      <c r="C12" s="393"/>
      <c r="D12" s="393"/>
      <c r="E12" s="394"/>
      <c r="F12" s="395" t="s">
        <v>112</v>
      </c>
      <c r="H12" s="540"/>
      <c r="K12" s="983"/>
      <c r="L12" s="984" t="s">
        <v>347</v>
      </c>
      <c r="M12" s="986">
        <f>+(M11/28.316846)*PROMIGAS!$G$6</f>
        <v>0</v>
      </c>
      <c r="O12" s="769"/>
      <c r="P12" s="460" t="str">
        <f>+IF(O12=1, "   Actualizado","")</f>
        <v/>
      </c>
    </row>
    <row r="13" spans="2:16">
      <c r="B13" s="387"/>
      <c r="C13" s="388"/>
      <c r="D13" s="388"/>
      <c r="E13" s="386"/>
      <c r="F13" s="744"/>
      <c r="H13" s="769">
        <v>1</v>
      </c>
      <c r="I13" s="460" t="str">
        <f>+IF(H13=1, "   Actualizado","")</f>
        <v xml:space="preserve">   Actualizado</v>
      </c>
      <c r="K13" s="465"/>
      <c r="L13" s="385"/>
      <c r="M13" s="766"/>
      <c r="O13" s="769"/>
      <c r="P13" s="460" t="str">
        <f>+IF(O13=1, "   Actualizado","")</f>
        <v/>
      </c>
    </row>
    <row r="14" spans="2:16">
      <c r="B14" s="387" t="s">
        <v>147</v>
      </c>
      <c r="C14" s="388"/>
      <c r="D14" s="388"/>
      <c r="E14" s="386"/>
      <c r="F14" s="1092">
        <v>23731.65</v>
      </c>
      <c r="H14" s="769">
        <v>1</v>
      </c>
      <c r="I14" s="460" t="str">
        <f>+IF(H14=1, "   Actualizado","")</f>
        <v xml:space="preserve">   Actualizado</v>
      </c>
      <c r="K14" s="489"/>
      <c r="M14" s="6"/>
      <c r="O14" s="6"/>
      <c r="P14" s="460"/>
    </row>
    <row r="15" spans="2:16" ht="13.5" thickBot="1">
      <c r="F15" s="6"/>
      <c r="H15" s="540"/>
      <c r="K15" s="983" t="s">
        <v>499</v>
      </c>
      <c r="L15" s="984" t="s">
        <v>500</v>
      </c>
      <c r="M15" s="985">
        <f>+F30</f>
        <v>21514</v>
      </c>
      <c r="P15" s="460" t="str">
        <f>+IF(O15=1, "   Actualizado","")</f>
        <v/>
      </c>
    </row>
    <row r="16" spans="2:16" ht="13.5" thickBot="1">
      <c r="B16" s="392" t="s">
        <v>2</v>
      </c>
      <c r="C16" s="393"/>
      <c r="D16" s="393"/>
      <c r="E16" s="394"/>
      <c r="F16" s="395" t="s">
        <v>94</v>
      </c>
      <c r="H16" s="540"/>
      <c r="K16" s="983"/>
      <c r="L16" s="984" t="s">
        <v>347</v>
      </c>
      <c r="M16" s="986">
        <f>+(M15/28.316846)*PROMIGAS!$G$6</f>
        <v>756.87266865808431</v>
      </c>
      <c r="P16" s="460" t="str">
        <f>+IF(O16=1, "   Actualizado","")</f>
        <v/>
      </c>
    </row>
    <row r="17" spans="2:16">
      <c r="B17" s="389" t="s">
        <v>133</v>
      </c>
      <c r="C17" s="390"/>
      <c r="D17" s="390"/>
      <c r="E17" s="391"/>
      <c r="F17" s="398">
        <v>31720</v>
      </c>
      <c r="H17" s="769">
        <v>1</v>
      </c>
      <c r="I17" s="460" t="str">
        <f>+IF(H17=1, "   Actualizado","")</f>
        <v xml:space="preserve">   Actualizado</v>
      </c>
      <c r="K17" s="983" t="s">
        <v>501</v>
      </c>
      <c r="L17" s="984" t="s">
        <v>500</v>
      </c>
      <c r="M17" s="985">
        <f>+F31</f>
        <v>16118</v>
      </c>
      <c r="P17" s="460" t="str">
        <f>+IF(O17=1, "   Actualizado","")</f>
        <v/>
      </c>
    </row>
    <row r="18" spans="2:16">
      <c r="B18" s="387"/>
      <c r="C18" s="388"/>
      <c r="D18" s="388"/>
      <c r="E18" s="386"/>
      <c r="F18" s="396"/>
      <c r="H18" s="540"/>
      <c r="K18" s="983"/>
      <c r="L18" s="984" t="s">
        <v>347</v>
      </c>
      <c r="M18" s="986">
        <f>+(M17/28.316846)*PROMIGAS!$G$6</f>
        <v>567.03884323840305</v>
      </c>
      <c r="P18" s="460" t="str">
        <f>+IF(O18=1, "   Actualizado","")</f>
        <v/>
      </c>
    </row>
    <row r="19" spans="2:16">
      <c r="B19" s="387" t="s">
        <v>136</v>
      </c>
      <c r="C19" s="388"/>
      <c r="D19" s="388"/>
      <c r="E19" s="386"/>
      <c r="F19" s="396">
        <v>36845</v>
      </c>
      <c r="H19" s="769">
        <v>1</v>
      </c>
      <c r="I19" s="460" t="str">
        <f>+IF(H19=1, "   Actualizado","")</f>
        <v xml:space="preserve">   Actualizado</v>
      </c>
    </row>
    <row r="20" spans="2:16">
      <c r="B20" s="387" t="s">
        <v>137</v>
      </c>
      <c r="C20" s="388"/>
      <c r="D20" s="388"/>
      <c r="E20" s="386"/>
      <c r="F20" s="396">
        <v>36488</v>
      </c>
      <c r="H20" s="769">
        <v>1</v>
      </c>
      <c r="I20" s="460" t="str">
        <f>+IF(H20=1, "   Actualizado","")</f>
        <v xml:space="preserve">   Actualizado</v>
      </c>
      <c r="K20" s="470"/>
      <c r="M20" s="19"/>
      <c r="O20" s="6"/>
      <c r="P20" s="460"/>
    </row>
    <row r="21" spans="2:16">
      <c r="B21" s="387" t="s">
        <v>138</v>
      </c>
      <c r="C21" s="388"/>
      <c r="D21" s="388"/>
      <c r="E21" s="386"/>
      <c r="F21" s="396">
        <v>41659</v>
      </c>
      <c r="H21" s="769">
        <v>1</v>
      </c>
      <c r="I21" s="460" t="str">
        <f>+IF(H21=1, "   Actualizado","")</f>
        <v xml:space="preserve">   Actualizado</v>
      </c>
      <c r="K21" s="465"/>
      <c r="L21" s="385"/>
      <c r="M21" s="767"/>
      <c r="O21" s="6"/>
      <c r="P21" s="460"/>
    </row>
    <row r="22" spans="2:16">
      <c r="B22" s="387"/>
      <c r="C22" s="388"/>
      <c r="D22" s="388"/>
      <c r="E22" s="386"/>
      <c r="F22" s="396"/>
      <c r="H22" s="540"/>
      <c r="I22" s="250" t="str">
        <f>+IF(H22=1, "   Actualizado","")</f>
        <v/>
      </c>
      <c r="K22" s="465"/>
      <c r="L22" s="385"/>
      <c r="M22" s="767"/>
      <c r="O22" s="6"/>
      <c r="P22" s="460"/>
    </row>
    <row r="23" spans="2:16">
      <c r="B23" s="387" t="s">
        <v>192</v>
      </c>
      <c r="C23" s="388"/>
      <c r="D23" s="388"/>
      <c r="E23" s="386"/>
      <c r="F23" s="397">
        <v>42239</v>
      </c>
      <c r="H23" s="769">
        <v>1</v>
      </c>
      <c r="I23" s="460" t="str">
        <f t="shared" ref="I23:I28" si="0">+IF(H23=1, "   Actualizado","")</f>
        <v xml:space="preserve">   Actualizado</v>
      </c>
      <c r="K23" s="473"/>
      <c r="L23" s="474"/>
      <c r="M23" s="768"/>
      <c r="O23" s="769"/>
      <c r="P23" s="460"/>
    </row>
    <row r="24" spans="2:16">
      <c r="B24" s="387" t="s">
        <v>324</v>
      </c>
      <c r="C24" s="388"/>
      <c r="D24" s="388"/>
      <c r="E24" s="386"/>
      <c r="F24" s="397">
        <v>12859</v>
      </c>
      <c r="H24" s="769">
        <v>1</v>
      </c>
      <c r="I24" s="460" t="str">
        <f t="shared" si="0"/>
        <v xml:space="preserve">   Actualizado</v>
      </c>
      <c r="K24" s="473"/>
      <c r="L24" s="474"/>
      <c r="M24" s="768"/>
      <c r="O24" s="769"/>
      <c r="P24" s="460"/>
    </row>
    <row r="25" spans="2:16">
      <c r="B25" s="387" t="s">
        <v>194</v>
      </c>
      <c r="C25" s="388"/>
      <c r="D25" s="388"/>
      <c r="E25" s="386"/>
      <c r="F25" s="397">
        <v>31550</v>
      </c>
      <c r="H25" s="769">
        <v>1</v>
      </c>
      <c r="I25" s="460" t="str">
        <f t="shared" si="0"/>
        <v xml:space="preserve">   Actualizado</v>
      </c>
      <c r="M25" s="6"/>
      <c r="O25" s="6"/>
      <c r="P25" s="55"/>
    </row>
    <row r="26" spans="2:16">
      <c r="F26" s="525"/>
      <c r="H26" s="771"/>
      <c r="I26" s="460" t="str">
        <f t="shared" si="0"/>
        <v/>
      </c>
      <c r="K26" s="892"/>
      <c r="M26" s="893"/>
      <c r="O26" s="6"/>
      <c r="P26" s="55"/>
    </row>
    <row r="27" spans="2:16">
      <c r="B27" s="387" t="s">
        <v>325</v>
      </c>
      <c r="C27" s="388"/>
      <c r="D27" s="388"/>
      <c r="E27" s="386"/>
      <c r="F27" s="397">
        <v>59352</v>
      </c>
      <c r="H27" s="769">
        <v>1</v>
      </c>
      <c r="I27" s="460" t="str">
        <f t="shared" si="0"/>
        <v xml:space="preserve">   Actualizado</v>
      </c>
      <c r="K27" s="741"/>
      <c r="L27" s="385"/>
      <c r="M27" s="623"/>
      <c r="O27" s="769"/>
    </row>
    <row r="28" spans="2:16">
      <c r="B28" s="387" t="s">
        <v>326</v>
      </c>
      <c r="C28" s="388"/>
      <c r="D28" s="388"/>
      <c r="E28" s="386"/>
      <c r="F28" s="397">
        <v>9188</v>
      </c>
      <c r="H28" s="769">
        <v>1</v>
      </c>
      <c r="I28" s="460" t="str">
        <f t="shared" si="0"/>
        <v xml:space="preserve">   Actualizado</v>
      </c>
      <c r="K28" s="741"/>
      <c r="L28" s="385"/>
      <c r="M28" s="623"/>
      <c r="O28" s="6"/>
    </row>
    <row r="29" spans="2:16">
      <c r="K29" s="741"/>
      <c r="L29" s="385"/>
      <c r="M29" s="623"/>
      <c r="O29" s="6"/>
      <c r="P29" s="460"/>
    </row>
    <row r="30" spans="2:16">
      <c r="B30" s="387" t="s">
        <v>499</v>
      </c>
      <c r="C30" s="388"/>
      <c r="D30" s="388"/>
      <c r="E30" s="386"/>
      <c r="F30" s="397">
        <v>21514</v>
      </c>
      <c r="H30" s="769">
        <v>1</v>
      </c>
      <c r="K30" s="741"/>
      <c r="L30" s="385"/>
      <c r="M30" s="623"/>
      <c r="O30" s="6"/>
      <c r="P30" s="460"/>
    </row>
    <row r="31" spans="2:16">
      <c r="B31" s="387" t="s">
        <v>501</v>
      </c>
      <c r="C31" s="388"/>
      <c r="D31" s="388"/>
      <c r="E31" s="386"/>
      <c r="F31" s="397">
        <v>16118</v>
      </c>
      <c r="H31" s="769">
        <v>1</v>
      </c>
      <c r="K31" s="465" t="s">
        <v>475</v>
      </c>
      <c r="L31" s="385"/>
      <c r="M31" s="921">
        <f>+'INPUT VOL'!D191</f>
        <v>0</v>
      </c>
      <c r="O31" s="769"/>
      <c r="P31" s="460" t="str">
        <f>+IF(O24=1, "   Actualizado","")</f>
        <v/>
      </c>
    </row>
    <row r="32" spans="2:16">
      <c r="B32" s="387"/>
      <c r="C32" s="388"/>
      <c r="D32" s="388"/>
      <c r="E32" s="386"/>
      <c r="F32" s="397"/>
      <c r="H32" s="769">
        <v>1</v>
      </c>
      <c r="K32" s="465" t="s">
        <v>476</v>
      </c>
      <c r="L32" s="385"/>
      <c r="M32" s="921">
        <f>+'INPUT VOL'!D192</f>
        <v>23429.149624000001</v>
      </c>
      <c r="O32" s="6"/>
      <c r="P32" s="55"/>
    </row>
    <row r="33" spans="2:16">
      <c r="B33" s="387" t="s">
        <v>512</v>
      </c>
      <c r="C33" s="388"/>
      <c r="D33" s="388"/>
      <c r="E33" s="386"/>
      <c r="F33" s="397">
        <v>36802</v>
      </c>
      <c r="H33" s="769">
        <v>1</v>
      </c>
      <c r="K33" s="465"/>
      <c r="L33" s="385"/>
      <c r="M33" s="921">
        <f>+'INPUT VOL'!D194</f>
        <v>4712.6336819999997</v>
      </c>
      <c r="O33" s="769"/>
      <c r="P33" s="55"/>
    </row>
    <row r="34" spans="2:16">
      <c r="B34" s="387" t="s">
        <v>513</v>
      </c>
      <c r="C34" s="388"/>
      <c r="D34" s="388"/>
      <c r="E34" s="386"/>
      <c r="F34" s="397">
        <v>11500</v>
      </c>
      <c r="H34" s="769">
        <v>1</v>
      </c>
      <c r="K34" s="741"/>
      <c r="L34" s="385"/>
      <c r="M34" s="979"/>
      <c r="O34" s="6"/>
      <c r="P34" s="460" t="str">
        <f>+IF(O27=1, "   Actualizado","")</f>
        <v/>
      </c>
    </row>
    <row r="35" spans="2:16">
      <c r="K35" s="741"/>
      <c r="L35" s="385"/>
      <c r="M35" s="1190"/>
    </row>
    <row r="36" spans="2:16">
      <c r="E36" s="700" t="s">
        <v>112</v>
      </c>
      <c r="F36" s="764" t="s">
        <v>209</v>
      </c>
      <c r="H36" s="540"/>
      <c r="M36" s="475"/>
      <c r="P36" s="460" t="str">
        <f>+IF(O31=1, "   Actualizado","")</f>
        <v/>
      </c>
    </row>
    <row r="37" spans="2:16">
      <c r="B37" s="387" t="s">
        <v>307</v>
      </c>
      <c r="C37" s="388"/>
      <c r="D37" s="388"/>
      <c r="E37" s="699">
        <f>+'INPUT VOL'!C157</f>
        <v>0</v>
      </c>
      <c r="F37" s="397">
        <f>+E37*28.31684</f>
        <v>0</v>
      </c>
      <c r="H37" s="769"/>
      <c r="I37" s="460" t="str">
        <f>+IF(H37=1, "   Actualizado","")</f>
        <v/>
      </c>
    </row>
    <row r="38" spans="2:16">
      <c r="B38" s="387" t="s">
        <v>308</v>
      </c>
      <c r="C38" s="388"/>
      <c r="D38" s="388"/>
      <c r="E38" s="699">
        <f>+'INPUT VOL'!C158</f>
        <v>3965</v>
      </c>
      <c r="F38" s="397">
        <f>+E38*28.31684</f>
        <v>112276.2706</v>
      </c>
      <c r="H38" s="769"/>
      <c r="I38" s="460" t="str">
        <f>+IF(H38=1, "   Actualizado","")</f>
        <v/>
      </c>
      <c r="K38" s="741"/>
      <c r="L38" s="385"/>
      <c r="M38" s="623"/>
      <c r="P38" s="460" t="str">
        <f>+IF(O33=1, "   Actualizado","")</f>
        <v/>
      </c>
    </row>
    <row r="39" spans="2:16">
      <c r="F39" s="765">
        <f>+F37+F38</f>
        <v>112276.2706</v>
      </c>
      <c r="H39" s="6"/>
    </row>
    <row r="40" spans="2:16">
      <c r="F40" s="765"/>
      <c r="H40" s="6"/>
    </row>
    <row r="41" spans="2:16">
      <c r="B41" s="387" t="s">
        <v>389</v>
      </c>
      <c r="C41" s="388"/>
      <c r="D41" s="388"/>
      <c r="E41" s="613" t="s">
        <v>390</v>
      </c>
      <c r="F41" s="397"/>
      <c r="H41" s="769"/>
      <c r="I41" s="460" t="str">
        <f>+IF(H41=1, "   Actualizado","")</f>
        <v/>
      </c>
    </row>
    <row r="42" spans="2:16">
      <c r="F42" s="6"/>
      <c r="H42" s="6"/>
    </row>
    <row r="43" spans="2:16">
      <c r="B43" s="387" t="s">
        <v>497</v>
      </c>
      <c r="C43" s="388"/>
      <c r="D43" s="388"/>
      <c r="E43" s="386"/>
      <c r="F43" s="758"/>
      <c r="H43" s="769"/>
      <c r="I43" s="460" t="str">
        <f>+IF(H43=1, "   Actualizado","")</f>
        <v/>
      </c>
    </row>
    <row r="44" spans="2:16">
      <c r="B44" s="387" t="s">
        <v>498</v>
      </c>
      <c r="C44" s="388"/>
      <c r="D44" s="388"/>
      <c r="E44" s="386"/>
      <c r="F44" s="1171"/>
      <c r="H44" s="769"/>
      <c r="I44" s="460"/>
    </row>
    <row r="45" spans="2:16">
      <c r="B45" s="387" t="s">
        <v>314</v>
      </c>
      <c r="C45" s="388"/>
      <c r="D45" s="388"/>
      <c r="E45" s="386"/>
      <c r="F45" s="459" t="s">
        <v>583</v>
      </c>
      <c r="H45" s="769">
        <v>1</v>
      </c>
      <c r="I45" s="460" t="str">
        <f>+IF(H45=1, "   Actualizado","")</f>
        <v xml:space="preserve">   Actualizado</v>
      </c>
    </row>
    <row r="46" spans="2:16">
      <c r="B46" s="387" t="s">
        <v>315</v>
      </c>
      <c r="C46" s="388"/>
      <c r="D46" s="388"/>
      <c r="E46" s="386"/>
      <c r="F46" s="623"/>
      <c r="H46" s="769">
        <v>1</v>
      </c>
      <c r="I46" s="460" t="str">
        <f>+IF(H46=1, "   Actualizado","")</f>
        <v xml:space="preserve">   Actualizado</v>
      </c>
    </row>
    <row r="47" spans="2:16">
      <c r="B47" s="387" t="s">
        <v>316</v>
      </c>
      <c r="C47" s="388"/>
      <c r="D47" s="388"/>
      <c r="E47" s="386"/>
      <c r="F47" s="459">
        <v>787841.8</v>
      </c>
      <c r="H47" s="769">
        <v>1</v>
      </c>
      <c r="I47" s="460" t="str">
        <f>+IF(H47=1, "   Actualizado","")</f>
        <v xml:space="preserve">   Actualizado</v>
      </c>
    </row>
    <row r="48" spans="2:16">
      <c r="F48" s="6"/>
      <c r="H48" s="769"/>
    </row>
    <row r="49" spans="2:8">
      <c r="B49" s="387" t="s">
        <v>312</v>
      </c>
      <c r="C49" s="388"/>
      <c r="D49" s="388"/>
      <c r="E49" s="386"/>
      <c r="F49" s="452">
        <v>996.2</v>
      </c>
      <c r="H49" s="772"/>
    </row>
    <row r="50" spans="2:8">
      <c r="B50" s="387" t="s">
        <v>313</v>
      </c>
      <c r="C50" s="388"/>
      <c r="D50" s="388"/>
      <c r="E50" s="386"/>
      <c r="F50" s="452"/>
      <c r="H50" s="772"/>
    </row>
    <row r="51" spans="2:8">
      <c r="F51" s="452">
        <v>996.2</v>
      </c>
    </row>
  </sheetData>
  <phoneticPr fontId="0" type="noConversion"/>
  <pageMargins left="0.74803149606299213" right="0.74803149606299213" top="0.98425196850393704" bottom="0.98425196850393704" header="0" footer="0"/>
  <pageSetup orientation="portrait" r:id="rId1"/>
  <headerFooter alignWithMargins="0"/>
  <ignoredErrors>
    <ignoredError sqref="F5 F10:F11 M11 M31:M33 M18 M16 M12:M15 M19" unlockedFormula="1"/>
    <ignoredError sqref="M17" formula="1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1"/>
  <dimension ref="A1:AV351"/>
  <sheetViews>
    <sheetView showGridLines="0" zoomScale="80" workbookViewId="0">
      <pane xSplit="2" ySplit="4" topLeftCell="K188" activePane="bottomRight" state="frozen"/>
      <selection pane="topRight" activeCell="C1" sqref="C1"/>
      <selection pane="bottomLeft" activeCell="A5" sqref="A5"/>
      <selection pane="bottomRight" activeCell="P197" sqref="P197"/>
    </sheetView>
  </sheetViews>
  <sheetFormatPr baseColWidth="10" defaultColWidth="9.85546875" defaultRowHeight="12.75"/>
  <cols>
    <col min="1" max="1" width="2.85546875" style="15" customWidth="1"/>
    <col min="2" max="2" width="22.5703125" style="15" customWidth="1"/>
    <col min="3" max="3" width="4.7109375" style="15" customWidth="1"/>
    <col min="4" max="4" width="15.42578125" style="15" customWidth="1"/>
    <col min="5" max="5" width="18" style="15" customWidth="1"/>
    <col min="6" max="6" width="16.5703125" style="15" bestFit="1" customWidth="1"/>
    <col min="7" max="7" width="18.85546875" style="4" customWidth="1"/>
    <col min="8" max="9" width="16.140625" style="13" customWidth="1"/>
    <col min="10" max="10" width="16.5703125" style="13" customWidth="1"/>
    <col min="11" max="11" width="16.140625" style="15" customWidth="1"/>
    <col min="12" max="12" width="16.28515625" style="15" customWidth="1"/>
    <col min="13" max="13" width="16.7109375" style="13" customWidth="1"/>
    <col min="14" max="14" width="17" style="15" customWidth="1"/>
    <col min="15" max="15" width="15" style="15" customWidth="1"/>
    <col min="16" max="16" width="17.28515625" style="15" customWidth="1"/>
    <col min="17" max="17" width="16.28515625" style="15" customWidth="1"/>
    <col min="18" max="18" width="16.7109375" style="15" customWidth="1"/>
    <col min="19" max="19" width="13.42578125" style="13" customWidth="1"/>
    <col min="20" max="20" width="15.140625" style="15" customWidth="1"/>
    <col min="21" max="21" width="13.85546875" style="16" customWidth="1"/>
    <col min="22" max="22" width="17.5703125" style="15" customWidth="1"/>
    <col min="23" max="23" width="14.28515625" style="15" customWidth="1"/>
    <col min="24" max="24" width="14" style="15" customWidth="1"/>
    <col min="25" max="25" width="12.28515625" style="15" customWidth="1"/>
    <col min="26" max="26" width="12.7109375" style="15" customWidth="1"/>
    <col min="27" max="28" width="13.42578125" style="15" customWidth="1"/>
    <col min="29" max="29" width="13.5703125" style="15" customWidth="1"/>
    <col min="30" max="16384" width="9.85546875" style="15"/>
  </cols>
  <sheetData>
    <row r="1" spans="2:39" ht="21.75">
      <c r="B1" s="1" t="s">
        <v>0</v>
      </c>
      <c r="C1" s="1"/>
      <c r="D1" s="1"/>
      <c r="E1" s="3"/>
      <c r="F1" s="3"/>
      <c r="H1" s="5"/>
      <c r="I1" s="5"/>
      <c r="J1" s="5"/>
      <c r="K1" s="5"/>
      <c r="L1" s="5"/>
      <c r="M1" s="3"/>
      <c r="N1" s="3"/>
      <c r="O1" s="3">
        <f>+P1/1000</f>
        <v>0.99620000000000009</v>
      </c>
      <c r="P1" s="773">
        <f>+'INPUT II'!F49</f>
        <v>996.2</v>
      </c>
      <c r="Q1" s="15" t="s">
        <v>107</v>
      </c>
      <c r="S1" s="3"/>
      <c r="T1" s="3"/>
      <c r="U1" s="5"/>
      <c r="V1" s="3"/>
      <c r="W1" s="7"/>
    </row>
    <row r="2" spans="2:39" s="774" customFormat="1" ht="15.75" thickBot="1">
      <c r="B2" s="25" t="s">
        <v>116</v>
      </c>
      <c r="C2" s="52" t="s">
        <v>91</v>
      </c>
      <c r="D2" s="26"/>
      <c r="E2" s="25"/>
      <c r="F2" s="27" t="str">
        <f>+'INPUT II'!F2</f>
        <v>OCTUBRE 2012</v>
      </c>
      <c r="G2" s="28"/>
      <c r="H2" s="56"/>
      <c r="I2" s="29"/>
      <c r="J2" s="29"/>
      <c r="K2" s="29"/>
      <c r="L2" s="29"/>
      <c r="M2" s="25" t="s">
        <v>1</v>
      </c>
      <c r="N2" s="344"/>
      <c r="O2" s="25"/>
      <c r="P2" s="773">
        <f>+'INPUT II'!F50</f>
        <v>0</v>
      </c>
      <c r="Q2" s="15" t="s">
        <v>108</v>
      </c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</row>
    <row r="3" spans="2:39" s="774" customFormat="1">
      <c r="B3" s="30" t="s">
        <v>2</v>
      </c>
      <c r="C3" s="416"/>
      <c r="D3" s="964"/>
      <c r="E3" s="1294" t="s">
        <v>9</v>
      </c>
      <c r="F3" s="1294"/>
      <c r="G3" s="746"/>
      <c r="H3" s="946"/>
      <c r="I3" s="946"/>
      <c r="J3" s="1047"/>
      <c r="K3" s="1047"/>
      <c r="L3" s="64"/>
      <c r="M3" s="948" t="s">
        <v>495</v>
      </c>
      <c r="N3" s="69"/>
      <c r="O3" s="954"/>
      <c r="P3" s="403"/>
      <c r="R3" s="15"/>
      <c r="S3" s="1050"/>
      <c r="T3" s="1050"/>
      <c r="U3" s="1050"/>
      <c r="V3" s="1050"/>
      <c r="W3" s="1050"/>
      <c r="X3" s="1050"/>
      <c r="Y3" s="1050"/>
      <c r="Z3" s="1050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</row>
    <row r="4" spans="2:39" s="774" customFormat="1" ht="13.5" thickBot="1">
      <c r="B4" s="31"/>
      <c r="C4" s="417"/>
      <c r="D4" s="965" t="s">
        <v>7</v>
      </c>
      <c r="E4" s="32" t="s">
        <v>3</v>
      </c>
      <c r="F4" s="572" t="s">
        <v>380</v>
      </c>
      <c r="G4" s="130" t="s">
        <v>491</v>
      </c>
      <c r="H4" s="130" t="s">
        <v>114</v>
      </c>
      <c r="I4" s="33" t="s">
        <v>330</v>
      </c>
      <c r="J4" s="33" t="s">
        <v>541</v>
      </c>
      <c r="K4" s="33" t="s">
        <v>545</v>
      </c>
      <c r="L4" s="65" t="s">
        <v>11</v>
      </c>
      <c r="M4" s="114" t="s">
        <v>132</v>
      </c>
      <c r="N4" s="33" t="s">
        <v>148</v>
      </c>
      <c r="O4" s="955" t="s">
        <v>11</v>
      </c>
      <c r="P4" s="404" t="s">
        <v>115</v>
      </c>
      <c r="Q4" s="410" t="s">
        <v>12</v>
      </c>
      <c r="S4" s="1051" t="s">
        <v>540</v>
      </c>
      <c r="T4" s="1051" t="s">
        <v>527</v>
      </c>
      <c r="U4" s="1051" t="s">
        <v>541</v>
      </c>
      <c r="V4" s="1051" t="s">
        <v>330</v>
      </c>
      <c r="W4" s="1051" t="s">
        <v>542</v>
      </c>
      <c r="X4" s="1051" t="s">
        <v>528</v>
      </c>
      <c r="Y4" s="1051" t="s">
        <v>546</v>
      </c>
      <c r="Z4" s="1051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</row>
    <row r="5" spans="2:39" s="774" customFormat="1">
      <c r="B5" s="775" t="s">
        <v>13</v>
      </c>
      <c r="C5" s="776">
        <v>4</v>
      </c>
      <c r="D5" s="966">
        <f>+EcopeGj!C26+Chevron!C27</f>
        <v>36523.6806</v>
      </c>
      <c r="E5" s="418"/>
      <c r="F5" s="420"/>
      <c r="G5" s="129">
        <f>+EcopeGj!F26</f>
        <v>400884433.43361747</v>
      </c>
      <c r="H5" s="150">
        <f>+Chevron!F27</f>
        <v>-3.4560506505613375E-2</v>
      </c>
      <c r="I5" s="150"/>
      <c r="J5" s="150"/>
      <c r="K5" s="150"/>
      <c r="L5" s="1067">
        <f>SUM(E5:K5)</f>
        <v>400884433.39905697</v>
      </c>
      <c r="M5" s="115">
        <f>+PROMIGAS!AU42</f>
        <v>153139009.03579804</v>
      </c>
      <c r="N5" s="949">
        <f>+Gascar!Q15</f>
        <v>60477918.719000004</v>
      </c>
      <c r="O5" s="956">
        <f t="shared" ref="O5:O40" si="0">SUM(M5:N5)</f>
        <v>213616927.75479805</v>
      </c>
      <c r="P5" s="405">
        <f t="shared" ref="P5:P40" si="1">+O5+L5</f>
        <v>614501361.15385509</v>
      </c>
      <c r="Q5" s="411">
        <f t="shared" ref="Q5:Q40" si="2">D5*1000000/$P$1/35.314667</f>
        <v>1038180.5384148179</v>
      </c>
      <c r="S5" s="1053"/>
      <c r="T5" s="1053"/>
      <c r="U5" s="1053"/>
      <c r="V5" s="1053"/>
      <c r="W5" s="1053"/>
      <c r="X5" s="1053"/>
      <c r="Y5" s="1053"/>
      <c r="Z5" s="966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</row>
    <row r="6" spans="2:39" s="774" customFormat="1">
      <c r="B6" s="775" t="s">
        <v>351</v>
      </c>
      <c r="C6" s="776">
        <v>4</v>
      </c>
      <c r="D6" s="966">
        <f>+EcopeGj!C27+Chevron!C28</f>
        <v>20454.974600000001</v>
      </c>
      <c r="E6" s="420"/>
      <c r="F6" s="420"/>
      <c r="G6" s="129">
        <f>+EcopeGj!F27</f>
        <v>224514249.26512501</v>
      </c>
      <c r="H6" s="150">
        <f>+Chevron!F28</f>
        <v>9.3898300777368604E-3</v>
      </c>
      <c r="I6" s="150"/>
      <c r="J6" s="150"/>
      <c r="K6" s="150"/>
      <c r="L6" s="1068">
        <f t="shared" ref="L6:L74" si="3">SUM(E6:K6)</f>
        <v>224514249.27451482</v>
      </c>
      <c r="M6" s="115">
        <f>+PROMIGAS!AU43</f>
        <v>86547145.990468726</v>
      </c>
      <c r="N6" s="59"/>
      <c r="O6" s="956">
        <f t="shared" si="0"/>
        <v>86547145.990468726</v>
      </c>
      <c r="P6" s="405">
        <f t="shared" si="1"/>
        <v>311061395.26498353</v>
      </c>
      <c r="Q6" s="411">
        <f t="shared" si="2"/>
        <v>581429.80648805213</v>
      </c>
      <c r="S6" s="1053"/>
      <c r="T6" s="1053"/>
      <c r="U6" s="1053"/>
      <c r="V6" s="1053"/>
      <c r="W6" s="1053"/>
      <c r="X6" s="1053"/>
      <c r="Y6" s="1053"/>
      <c r="Z6" s="966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</row>
    <row r="7" spans="2:39" s="774" customFormat="1">
      <c r="B7" s="778" t="s">
        <v>14</v>
      </c>
      <c r="C7" s="776">
        <v>5</v>
      </c>
      <c r="D7" s="966">
        <f>+EcopeGj!C28+Chevron!C29</f>
        <v>9573.482</v>
      </c>
      <c r="E7" s="419"/>
      <c r="F7" s="419"/>
      <c r="G7" s="129">
        <f>+EcopeGj!F28</f>
        <v>105078815.22071251</v>
      </c>
      <c r="H7" s="151">
        <f>+Chevron!F29</f>
        <v>3.18510496805402E-2</v>
      </c>
      <c r="I7" s="151"/>
      <c r="J7" s="151"/>
      <c r="K7" s="151"/>
      <c r="L7" s="66">
        <f t="shared" si="3"/>
        <v>105078815.25256357</v>
      </c>
      <c r="M7" s="115">
        <f>+PROMIGAS!AU44</f>
        <v>40506407.87845929</v>
      </c>
      <c r="N7" s="59"/>
      <c r="O7" s="956">
        <f t="shared" si="0"/>
        <v>40506407.87845929</v>
      </c>
      <c r="P7" s="405">
        <f t="shared" si="1"/>
        <v>145585223.13102287</v>
      </c>
      <c r="Q7" s="411">
        <f t="shared" si="2"/>
        <v>272124.89360298938</v>
      </c>
      <c r="S7" s="1053"/>
      <c r="T7" s="1053"/>
      <c r="U7" s="1053"/>
      <c r="V7" s="1053"/>
      <c r="W7" s="1053"/>
      <c r="X7" s="1053"/>
      <c r="Y7" s="1053"/>
      <c r="Z7" s="966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</row>
    <row r="8" spans="2:39" s="774" customFormat="1">
      <c r="B8" s="775" t="s">
        <v>15</v>
      </c>
      <c r="C8" s="776">
        <v>5</v>
      </c>
      <c r="D8" s="966">
        <f>+EcopeGj!C29+Chevron!C30</f>
        <v>204.221</v>
      </c>
      <c r="E8" s="165"/>
      <c r="F8" s="165"/>
      <c r="G8" s="111">
        <f>+EcopeGj!F29</f>
        <v>2241531.3859287752</v>
      </c>
      <c r="H8" s="151">
        <f>+Chevron!F30</f>
        <v>0</v>
      </c>
      <c r="I8" s="151"/>
      <c r="J8" s="151"/>
      <c r="K8" s="151"/>
      <c r="L8" s="66">
        <f t="shared" si="3"/>
        <v>2241531.3859287752</v>
      </c>
      <c r="M8" s="115">
        <f>+PROMIGAS!AU45</f>
        <v>864080.50104933954</v>
      </c>
      <c r="N8" s="59"/>
      <c r="O8" s="956">
        <f t="shared" si="0"/>
        <v>864080.50104933954</v>
      </c>
      <c r="P8" s="405">
        <f t="shared" si="1"/>
        <v>3105611.886978115</v>
      </c>
      <c r="Q8" s="411">
        <f t="shared" si="2"/>
        <v>5804.9535055788574</v>
      </c>
      <c r="S8" s="1053"/>
      <c r="T8" s="1053"/>
      <c r="U8" s="1053"/>
      <c r="V8" s="1053"/>
      <c r="W8" s="1053"/>
      <c r="X8" s="1053"/>
      <c r="Y8" s="1053"/>
      <c r="Z8" s="966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</row>
    <row r="9" spans="2:39" s="774" customFormat="1">
      <c r="B9" s="775" t="s">
        <v>16</v>
      </c>
      <c r="C9" s="776">
        <v>5</v>
      </c>
      <c r="D9" s="966">
        <f>+EcopeGj!C30+Chevron!C31</f>
        <v>3955.9102000000003</v>
      </c>
      <c r="E9" s="165"/>
      <c r="F9" s="165"/>
      <c r="G9" s="111">
        <f>+EcopeGj!F30</f>
        <v>43420103.090356909</v>
      </c>
      <c r="H9" s="151">
        <f>+Chevron!F31</f>
        <v>0</v>
      </c>
      <c r="I9" s="151"/>
      <c r="J9" s="151"/>
      <c r="K9" s="151"/>
      <c r="L9" s="66">
        <f t="shared" si="3"/>
        <v>43420103.090356909</v>
      </c>
      <c r="M9" s="115">
        <f>+PROMIGAS!AU46</f>
        <v>16737871.559350863</v>
      </c>
      <c r="N9" s="59"/>
      <c r="O9" s="956">
        <f t="shared" si="0"/>
        <v>16737871.559350863</v>
      </c>
      <c r="P9" s="405">
        <f t="shared" si="1"/>
        <v>60157974.649707772</v>
      </c>
      <c r="Q9" s="411">
        <f t="shared" si="2"/>
        <v>112446.19693001779</v>
      </c>
      <c r="S9" s="1053"/>
      <c r="T9" s="1053"/>
      <c r="U9" s="1053"/>
      <c r="V9" s="1053"/>
      <c r="W9" s="1053"/>
      <c r="X9" s="1053"/>
      <c r="Y9" s="1053"/>
      <c r="Z9" s="966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</row>
    <row r="10" spans="2:39" s="774" customFormat="1">
      <c r="B10" s="775" t="s">
        <v>17</v>
      </c>
      <c r="C10" s="776">
        <v>11</v>
      </c>
      <c r="D10" s="966">
        <f>+EcopeGj!C31+Chevron!C32</f>
        <v>2500.462</v>
      </c>
      <c r="E10" s="165"/>
      <c r="F10" s="165"/>
      <c r="G10" s="111">
        <f>+EcopeGj!F31</f>
        <v>27445091.60332305</v>
      </c>
      <c r="H10" s="151">
        <f>+Chevron!F32</f>
        <v>0</v>
      </c>
      <c r="I10" s="151"/>
      <c r="J10" s="151"/>
      <c r="K10" s="151"/>
      <c r="L10" s="66">
        <f t="shared" si="3"/>
        <v>27445091.60332305</v>
      </c>
      <c r="M10" s="115">
        <f>+PROMIGAS!AU47</f>
        <v>10579717.354311425</v>
      </c>
      <c r="N10" s="59"/>
      <c r="O10" s="956">
        <f t="shared" si="0"/>
        <v>10579717.354311425</v>
      </c>
      <c r="P10" s="405">
        <f t="shared" si="1"/>
        <v>38024808.957634479</v>
      </c>
      <c r="Q10" s="411">
        <f t="shared" si="2"/>
        <v>71075.284385380161</v>
      </c>
      <c r="R10" s="1060">
        <f t="shared" ref="R10:R77" si="4">SUM(S10:Z10)</f>
        <v>0</v>
      </c>
      <c r="S10" s="1053"/>
      <c r="T10" s="1053"/>
      <c r="U10" s="1053"/>
      <c r="V10" s="1053"/>
      <c r="W10" s="1053"/>
      <c r="X10" s="1053"/>
      <c r="Y10" s="1053"/>
      <c r="Z10" s="966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</row>
    <row r="11" spans="2:39" s="774" customFormat="1">
      <c r="B11" s="775" t="s">
        <v>18</v>
      </c>
      <c r="C11" s="776">
        <v>13</v>
      </c>
      <c r="D11" s="966">
        <f>+EcopeGj!C32+Chevron!C33</f>
        <v>6097.7402000000002</v>
      </c>
      <c r="E11" s="165"/>
      <c r="F11" s="165"/>
      <c r="G11" s="111">
        <f>+EcopeGj!F32</f>
        <v>66928846.894000165</v>
      </c>
      <c r="H11" s="151">
        <f>+Chevron!F33</f>
        <v>0</v>
      </c>
      <c r="I11" s="151"/>
      <c r="J11" s="151"/>
      <c r="K11" s="151"/>
      <c r="L11" s="66">
        <f t="shared" si="3"/>
        <v>66928846.894000165</v>
      </c>
      <c r="M11" s="115">
        <f>+PROMIGAS!AU48</f>
        <v>25800179.253282968</v>
      </c>
      <c r="N11" s="59"/>
      <c r="O11" s="956">
        <f t="shared" si="0"/>
        <v>25800179.253282968</v>
      </c>
      <c r="P11" s="405">
        <f t="shared" si="1"/>
        <v>92729026.147283137</v>
      </c>
      <c r="Q11" s="411">
        <f t="shared" si="2"/>
        <v>173327.41662267409</v>
      </c>
      <c r="R11" s="1060">
        <f t="shared" si="4"/>
        <v>0</v>
      </c>
      <c r="S11" s="1053"/>
      <c r="T11" s="1053"/>
      <c r="U11" s="1053"/>
      <c r="V11" s="1053"/>
      <c r="W11" s="1053"/>
      <c r="X11" s="1053"/>
      <c r="Y11" s="1053"/>
      <c r="Z11" s="966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</row>
    <row r="12" spans="2:39" s="774" customFormat="1">
      <c r="B12" s="775" t="s">
        <v>19</v>
      </c>
      <c r="C12" s="776">
        <v>25</v>
      </c>
      <c r="D12" s="967">
        <f>+EcopeGj!C33+Chevron!C34</f>
        <v>5001.9202000000023</v>
      </c>
      <c r="E12" s="165"/>
      <c r="F12" s="165"/>
      <c r="G12" s="111">
        <f>+EcopeGj!F33</f>
        <v>54901117.50608968</v>
      </c>
      <c r="H12" s="151">
        <f>+Chevron!F34</f>
        <v>0</v>
      </c>
      <c r="I12" s="151"/>
      <c r="J12" s="151"/>
      <c r="K12" s="151"/>
      <c r="L12" s="66">
        <f t="shared" si="3"/>
        <v>54901117.50608968</v>
      </c>
      <c r="M12" s="896">
        <f>+PROMIGAS!AU49</f>
        <v>21163649.735457249</v>
      </c>
      <c r="N12" s="59"/>
      <c r="O12" s="956">
        <f t="shared" si="0"/>
        <v>21163649.735457249</v>
      </c>
      <c r="P12" s="405">
        <f t="shared" si="1"/>
        <v>76064767.241546929</v>
      </c>
      <c r="Q12" s="411">
        <f t="shared" si="2"/>
        <v>142178.88561712904</v>
      </c>
      <c r="R12" s="1060">
        <f t="shared" si="4"/>
        <v>0</v>
      </c>
      <c r="S12" s="1053"/>
      <c r="T12" s="1053"/>
      <c r="U12" s="1053"/>
      <c r="V12" s="1053"/>
      <c r="W12" s="1053"/>
      <c r="X12" s="1053"/>
      <c r="Y12" s="1053"/>
      <c r="Z12" s="967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</row>
    <row r="13" spans="2:39" s="774" customFormat="1">
      <c r="B13" s="778" t="s">
        <v>20</v>
      </c>
      <c r="C13" s="776">
        <v>42</v>
      </c>
      <c r="D13" s="966">
        <f>+EcopeGj!C34+Chevron!C35</f>
        <v>6754.2360000000008</v>
      </c>
      <c r="E13" s="165"/>
      <c r="F13" s="165"/>
      <c r="G13" s="111">
        <f>+EcopeGj!F34</f>
        <v>74134550.227302909</v>
      </c>
      <c r="H13" s="151">
        <f>+Chevron!F35</f>
        <v>0</v>
      </c>
      <c r="I13" s="151"/>
      <c r="J13" s="151"/>
      <c r="K13" s="151"/>
      <c r="L13" s="66">
        <f t="shared" si="3"/>
        <v>74134550.227302909</v>
      </c>
      <c r="M13" s="115">
        <f>+PROMIGAS!AU50</f>
        <v>28577881.937144011</v>
      </c>
      <c r="N13" s="59"/>
      <c r="O13" s="956">
        <f t="shared" si="0"/>
        <v>28577881.937144011</v>
      </c>
      <c r="P13" s="405">
        <f t="shared" si="1"/>
        <v>102712432.16444692</v>
      </c>
      <c r="Q13" s="411">
        <f t="shared" si="2"/>
        <v>191988.21837963248</v>
      </c>
      <c r="R13" s="1060">
        <f t="shared" si="4"/>
        <v>0</v>
      </c>
      <c r="S13" s="1053"/>
      <c r="T13" s="1053"/>
      <c r="U13" s="1053"/>
      <c r="V13" s="1053"/>
      <c r="W13" s="1053"/>
      <c r="X13" s="1053"/>
      <c r="Y13" s="1053"/>
      <c r="Z13" s="966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</row>
    <row r="14" spans="2:39" s="774" customFormat="1">
      <c r="B14" s="775" t="s">
        <v>21</v>
      </c>
      <c r="C14" s="776">
        <v>39</v>
      </c>
      <c r="D14" s="966">
        <f>+EcopeGj!C35+Chevron!C36</f>
        <v>321.77260000000001</v>
      </c>
      <c r="E14" s="165"/>
      <c r="F14" s="165"/>
      <c r="G14" s="111">
        <f>+EcopeGj!F35</f>
        <v>3531778.7202682653</v>
      </c>
      <c r="H14" s="151">
        <f>+Chevron!F36</f>
        <v>0</v>
      </c>
      <c r="I14" s="151"/>
      <c r="J14" s="151"/>
      <c r="K14" s="151"/>
      <c r="L14" s="66">
        <f t="shared" si="3"/>
        <v>3531778.7202682653</v>
      </c>
      <c r="M14" s="115">
        <f>+PROMIGAS!AU51</f>
        <v>1361453.6675070082</v>
      </c>
      <c r="N14" s="59"/>
      <c r="O14" s="956">
        <f t="shared" si="0"/>
        <v>1361453.6675070082</v>
      </c>
      <c r="P14" s="405">
        <f t="shared" si="1"/>
        <v>4893232.387775274</v>
      </c>
      <c r="Q14" s="411">
        <f t="shared" si="2"/>
        <v>9146.3413770827847</v>
      </c>
      <c r="R14" s="1060">
        <f t="shared" si="4"/>
        <v>0</v>
      </c>
      <c r="S14" s="1053"/>
      <c r="T14" s="1053"/>
      <c r="U14" s="1053"/>
      <c r="V14" s="1053"/>
      <c r="W14" s="1053"/>
      <c r="X14" s="1053"/>
      <c r="Y14" s="1053"/>
      <c r="Z14" s="966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</row>
    <row r="15" spans="2:39" s="774" customFormat="1">
      <c r="B15" s="775" t="s">
        <v>22</v>
      </c>
      <c r="C15" s="776">
        <v>36</v>
      </c>
      <c r="D15" s="966">
        <f>+EcopeGj!C36+Chevron!C37</f>
        <v>1282.1094000000001</v>
      </c>
      <c r="E15" s="165"/>
      <c r="F15" s="165"/>
      <c r="G15" s="111">
        <f>+EcopeGj!F36</f>
        <v>14072443.383855285</v>
      </c>
      <c r="H15" s="151">
        <f>+Chevron!F37</f>
        <v>0</v>
      </c>
      <c r="I15" s="151"/>
      <c r="J15" s="151"/>
      <c r="K15" s="151"/>
      <c r="L15" s="66">
        <f t="shared" si="3"/>
        <v>14072443.383855285</v>
      </c>
      <c r="M15" s="115">
        <f>+PROMIGAS!AU52</f>
        <v>5424739.535856097</v>
      </c>
      <c r="N15" s="59"/>
      <c r="O15" s="956">
        <f t="shared" si="0"/>
        <v>5424739.535856097</v>
      </c>
      <c r="P15" s="405">
        <f t="shared" si="1"/>
        <v>19497182.919711381</v>
      </c>
      <c r="Q15" s="411">
        <f t="shared" si="2"/>
        <v>36443.781276487753</v>
      </c>
      <c r="R15" s="1060">
        <f t="shared" si="4"/>
        <v>0</v>
      </c>
      <c r="S15" s="1053"/>
      <c r="T15" s="1053"/>
      <c r="U15" s="1053"/>
      <c r="V15" s="1053"/>
      <c r="W15" s="1053"/>
      <c r="X15" s="1053"/>
      <c r="Y15" s="1053"/>
      <c r="Z15" s="966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</row>
    <row r="16" spans="2:39" s="774" customFormat="1">
      <c r="B16" s="775" t="s">
        <v>23</v>
      </c>
      <c r="C16" s="776">
        <v>40</v>
      </c>
      <c r="D16" s="966">
        <f>+EcopeGj!C37+Chevron!C38</f>
        <v>1026.086</v>
      </c>
      <c r="E16" s="165"/>
      <c r="F16" s="165"/>
      <c r="G16" s="111">
        <f>+EcopeGj!F37</f>
        <v>11262328.426861651</v>
      </c>
      <c r="H16" s="151">
        <f>+Chevron!F38</f>
        <v>0</v>
      </c>
      <c r="I16" s="151"/>
      <c r="J16" s="151"/>
      <c r="K16" s="151"/>
      <c r="L16" s="66">
        <f t="shared" si="3"/>
        <v>11262328.426861651</v>
      </c>
      <c r="M16" s="115">
        <f>+PROMIGAS!AU53</f>
        <v>4341477.6394186318</v>
      </c>
      <c r="N16" s="59"/>
      <c r="O16" s="956">
        <f t="shared" si="0"/>
        <v>4341477.6394186318</v>
      </c>
      <c r="P16" s="405">
        <f t="shared" si="1"/>
        <v>15603806.066280283</v>
      </c>
      <c r="Q16" s="411">
        <f t="shared" si="2"/>
        <v>29166.351759737674</v>
      </c>
      <c r="R16" s="1060">
        <f t="shared" si="4"/>
        <v>0</v>
      </c>
      <c r="S16" s="1053"/>
      <c r="T16" s="1053"/>
      <c r="U16" s="1053"/>
      <c r="V16" s="1053"/>
      <c r="W16" s="1053"/>
      <c r="X16" s="1053"/>
      <c r="Y16" s="1053"/>
      <c r="Z16" s="966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</row>
    <row r="17" spans="2:37" s="774" customFormat="1">
      <c r="B17" s="775" t="s">
        <v>24</v>
      </c>
      <c r="C17" s="776">
        <v>41</v>
      </c>
      <c r="D17" s="966">
        <f>+EcopeGj!C38+Chevron!C39</f>
        <v>731.21080000000006</v>
      </c>
      <c r="E17" s="165"/>
      <c r="F17" s="165"/>
      <c r="G17" s="111">
        <f>+EcopeGj!F38</f>
        <v>8025775.7915693717</v>
      </c>
      <c r="H17" s="151">
        <f>+Chevron!F39</f>
        <v>0</v>
      </c>
      <c r="I17" s="151"/>
      <c r="J17" s="151"/>
      <c r="K17" s="151"/>
      <c r="L17" s="66">
        <f t="shared" si="3"/>
        <v>8025775.7915693717</v>
      </c>
      <c r="M17" s="115">
        <f>+PROMIGAS!AU54</f>
        <v>3093829.6964400737</v>
      </c>
      <c r="N17" s="59"/>
      <c r="O17" s="956">
        <f t="shared" si="0"/>
        <v>3093829.6964400737</v>
      </c>
      <c r="P17" s="405">
        <f t="shared" si="1"/>
        <v>11119605.488009445</v>
      </c>
      <c r="Q17" s="411">
        <f t="shared" si="2"/>
        <v>20784.565234609181</v>
      </c>
      <c r="R17" s="1060">
        <f t="shared" si="4"/>
        <v>0</v>
      </c>
      <c r="S17" s="1053"/>
      <c r="T17" s="1053"/>
      <c r="U17" s="1053"/>
      <c r="V17" s="1053"/>
      <c r="W17" s="1053"/>
      <c r="X17" s="1053"/>
      <c r="Y17" s="1053"/>
      <c r="Z17" s="966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</row>
    <row r="18" spans="2:37" s="774" customFormat="1">
      <c r="B18" s="775" t="s">
        <v>25</v>
      </c>
      <c r="C18" s="776">
        <v>38</v>
      </c>
      <c r="D18" s="966">
        <f>+EcopeGj!C39</f>
        <v>964.3216000000001</v>
      </c>
      <c r="E18" s="165"/>
      <c r="F18" s="165"/>
      <c r="G18" s="111">
        <f>+EcopeGj!F39</f>
        <v>10584401.861361241</v>
      </c>
      <c r="H18" s="151"/>
      <c r="I18" s="151"/>
      <c r="J18" s="151"/>
      <c r="K18" s="151"/>
      <c r="L18" s="66">
        <f t="shared" si="3"/>
        <v>10584401.861361241</v>
      </c>
      <c r="M18" s="115">
        <f>+PROMIGAS!AU55</f>
        <v>4080145.9756866372</v>
      </c>
      <c r="N18" s="59"/>
      <c r="O18" s="956">
        <f t="shared" si="0"/>
        <v>4080145.9756866372</v>
      </c>
      <c r="P18" s="405">
        <f t="shared" si="1"/>
        <v>14664547.837047879</v>
      </c>
      <c r="Q18" s="411">
        <f t="shared" si="2"/>
        <v>27410.707284879682</v>
      </c>
      <c r="R18" s="1060">
        <f t="shared" si="4"/>
        <v>0</v>
      </c>
      <c r="S18" s="1053"/>
      <c r="T18" s="1053"/>
      <c r="U18" s="1053"/>
      <c r="V18" s="1053"/>
      <c r="W18" s="1053"/>
      <c r="X18" s="1053"/>
      <c r="Y18" s="1053"/>
      <c r="Z18" s="966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</row>
    <row r="19" spans="2:37" s="774" customFormat="1">
      <c r="B19" s="778" t="s">
        <v>190</v>
      </c>
      <c r="C19" s="912">
        <v>50</v>
      </c>
      <c r="D19" s="966">
        <f>+EcopeGj!C40</f>
        <v>6511.1632</v>
      </c>
      <c r="E19" s="165"/>
      <c r="F19" s="165"/>
      <c r="G19" s="111">
        <f>+EcopeGj!F40</f>
        <v>71466581.163075492</v>
      </c>
      <c r="H19" s="151"/>
      <c r="I19" s="151"/>
      <c r="J19" s="151"/>
      <c r="K19" s="151"/>
      <c r="L19" s="66">
        <f t="shared" si="3"/>
        <v>71466581.163075492</v>
      </c>
      <c r="M19" s="115">
        <f>+PROMIGAS!AU56</f>
        <v>27549415.389553577</v>
      </c>
      <c r="N19" s="59"/>
      <c r="O19" s="956">
        <f t="shared" si="0"/>
        <v>27549415.389553577</v>
      </c>
      <c r="P19" s="405">
        <f t="shared" si="1"/>
        <v>99015996.552629068</v>
      </c>
      <c r="Q19" s="411">
        <f t="shared" si="2"/>
        <v>185078.9078656752</v>
      </c>
      <c r="R19" s="1060">
        <f t="shared" si="4"/>
        <v>0</v>
      </c>
      <c r="S19" s="1053"/>
      <c r="T19" s="1053"/>
      <c r="U19" s="1053"/>
      <c r="V19" s="1053"/>
      <c r="W19" s="1053"/>
      <c r="X19" s="1053"/>
      <c r="Y19" s="1053"/>
      <c r="Z19" s="966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</row>
    <row r="20" spans="2:37" s="774" customFormat="1" ht="12.75" customHeight="1">
      <c r="B20" s="780" t="s">
        <v>215</v>
      </c>
      <c r="C20" s="913">
        <v>58</v>
      </c>
      <c r="D20" s="968">
        <f>+EcopeGj!C47</f>
        <v>514.03920000000005</v>
      </c>
      <c r="E20" s="502"/>
      <c r="F20" s="502"/>
      <c r="G20" s="503">
        <f>+EcopeGj!F47</f>
        <v>5642098.5128743807</v>
      </c>
      <c r="H20" s="504"/>
      <c r="I20" s="504"/>
      <c r="J20" s="504"/>
      <c r="K20" s="504"/>
      <c r="L20" s="66">
        <f t="shared" si="3"/>
        <v>5642098.5128743807</v>
      </c>
      <c r="M20" s="505">
        <f>+PROMIGAS!AU57</f>
        <v>2174953.8465437037</v>
      </c>
      <c r="N20" s="133"/>
      <c r="O20" s="957">
        <f t="shared" si="0"/>
        <v>2174953.8465437037</v>
      </c>
      <c r="P20" s="506">
        <f t="shared" si="1"/>
        <v>7817052.3594180848</v>
      </c>
      <c r="Q20" s="411">
        <f t="shared" si="2"/>
        <v>14611.492726237517</v>
      </c>
      <c r="R20" s="1060">
        <f t="shared" si="4"/>
        <v>0</v>
      </c>
      <c r="S20" s="1054"/>
      <c r="T20" s="1054"/>
      <c r="U20" s="1054"/>
      <c r="V20" s="1054"/>
      <c r="W20" s="1054"/>
      <c r="X20" s="1054"/>
      <c r="Y20" s="1054"/>
      <c r="Z20" s="968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</row>
    <row r="21" spans="2:37" s="774" customFormat="1" ht="12.75" customHeight="1">
      <c r="B21" s="780" t="s">
        <v>350</v>
      </c>
      <c r="C21" s="911">
        <v>61</v>
      </c>
      <c r="D21" s="968">
        <f>+EcopeGj!C48</f>
        <v>1541.1214000000002</v>
      </c>
      <c r="E21" s="502"/>
      <c r="F21" s="502"/>
      <c r="G21" s="503">
        <f>+EcopeGj!F48</f>
        <v>16915361.239179589</v>
      </c>
      <c r="H21" s="504"/>
      <c r="I21" s="504"/>
      <c r="J21" s="504"/>
      <c r="K21" s="504"/>
      <c r="L21" s="66">
        <f t="shared" si="3"/>
        <v>16915361.239179589</v>
      </c>
      <c r="M21" s="505">
        <f>+PROMIGAS!AU58</f>
        <v>6520646.5127967242</v>
      </c>
      <c r="N21" s="133"/>
      <c r="O21" s="957">
        <f>SUM(M21:N21)</f>
        <v>6520646.5127967242</v>
      </c>
      <c r="P21" s="506">
        <f>+O21+L21</f>
        <v>23436007.751976311</v>
      </c>
      <c r="Q21" s="411">
        <f t="shared" si="2"/>
        <v>43806.161332343872</v>
      </c>
      <c r="R21" s="1060">
        <f t="shared" si="4"/>
        <v>0</v>
      </c>
      <c r="S21" s="1054"/>
      <c r="T21" s="1054"/>
      <c r="U21" s="1054"/>
      <c r="V21" s="1054"/>
      <c r="W21" s="1054"/>
      <c r="X21" s="1054"/>
      <c r="Y21" s="1054"/>
      <c r="Z21" s="968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</row>
    <row r="22" spans="2:37" s="774" customFormat="1" ht="12.75" customHeight="1">
      <c r="B22" s="931" t="s">
        <v>479</v>
      </c>
      <c r="C22" s="932">
        <v>65</v>
      </c>
      <c r="D22" s="972">
        <f>+EcopeGj!C41</f>
        <v>0</v>
      </c>
      <c r="E22" s="1021"/>
      <c r="F22" s="1021"/>
      <c r="G22" s="415">
        <f>+EcopeGj!F41</f>
        <v>0</v>
      </c>
      <c r="H22" s="1022"/>
      <c r="I22" s="1022"/>
      <c r="J22" s="1022"/>
      <c r="K22" s="1022"/>
      <c r="L22" s="66">
        <f t="shared" si="3"/>
        <v>0</v>
      </c>
      <c r="M22" s="672">
        <f>+PROMIGAS!AU59</f>
        <v>0</v>
      </c>
      <c r="N22" s="511"/>
      <c r="O22" s="956">
        <f>SUM(M22:N22)</f>
        <v>0</v>
      </c>
      <c r="P22" s="506">
        <f>+O22+L22</f>
        <v>0</v>
      </c>
      <c r="Q22" s="933">
        <f>D22*1000000/$P$1/35.314667</f>
        <v>0</v>
      </c>
      <c r="R22" s="1060">
        <f t="shared" si="4"/>
        <v>0</v>
      </c>
      <c r="S22" s="1055"/>
      <c r="T22" s="1055"/>
      <c r="U22" s="1055"/>
      <c r="V22" s="1055"/>
      <c r="W22" s="1055"/>
      <c r="X22" s="1055"/>
      <c r="Y22" s="1055"/>
      <c r="Z22" s="972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</row>
    <row r="23" spans="2:37" s="774" customFormat="1" ht="12.75" customHeight="1">
      <c r="B23" s="934" t="s">
        <v>488</v>
      </c>
      <c r="C23" s="935">
        <v>67</v>
      </c>
      <c r="D23" s="972">
        <f>+EcopeGj!C42</f>
        <v>173.5222</v>
      </c>
      <c r="E23" s="1021"/>
      <c r="F23" s="1021"/>
      <c r="G23" s="415">
        <f>+EcopeGj!F42</f>
        <v>1904581.103096205</v>
      </c>
      <c r="H23" s="1022"/>
      <c r="I23" s="1022"/>
      <c r="J23" s="1022"/>
      <c r="K23" s="1022"/>
      <c r="L23" s="66">
        <f t="shared" si="3"/>
        <v>1904581.103096205</v>
      </c>
      <c r="M23" s="672">
        <f>+PROMIGAS!AU60</f>
        <v>734190.65384648845</v>
      </c>
      <c r="N23" s="511"/>
      <c r="O23" s="956">
        <f>SUM(M23:N23)</f>
        <v>734190.65384648845</v>
      </c>
      <c r="P23" s="506">
        <f>+O23+L23</f>
        <v>2638771.7569426936</v>
      </c>
      <c r="Q23" s="933">
        <f>D23*1000000/$P$1/35.314667</f>
        <v>4932.3443876278916</v>
      </c>
      <c r="R23" s="1060">
        <f t="shared" si="4"/>
        <v>0</v>
      </c>
      <c r="S23" s="1055"/>
      <c r="T23" s="1055"/>
      <c r="U23" s="1055"/>
      <c r="V23" s="1055"/>
      <c r="W23" s="1055"/>
      <c r="X23" s="1055"/>
      <c r="Y23" s="1055"/>
      <c r="Z23" s="972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</row>
    <row r="24" spans="2:37" s="774" customFormat="1" ht="12.75" customHeight="1">
      <c r="B24" s="1155" t="s">
        <v>489</v>
      </c>
      <c r="C24" s="1156">
        <v>66</v>
      </c>
      <c r="D24" s="1147">
        <f>+EcopeGj!C43</f>
        <v>0</v>
      </c>
      <c r="E24" s="1148"/>
      <c r="F24" s="1148"/>
      <c r="G24" s="1149">
        <f>+EcopeGj!F43</f>
        <v>0</v>
      </c>
      <c r="H24" s="1150"/>
      <c r="I24" s="1150"/>
      <c r="J24" s="1150"/>
      <c r="K24" s="1150"/>
      <c r="L24" s="1151">
        <f t="shared" si="3"/>
        <v>0</v>
      </c>
      <c r="M24" s="1152">
        <f>+PROMIGAS!AU61</f>
        <v>0</v>
      </c>
      <c r="N24" s="44"/>
      <c r="O24" s="1153">
        <f>SUM(M24:N24)</f>
        <v>0</v>
      </c>
      <c r="P24" s="506">
        <f>+O24+L24</f>
        <v>0</v>
      </c>
      <c r="Q24" s="933">
        <f>D24*1000000/$P$1/35.314667</f>
        <v>0</v>
      </c>
      <c r="R24" s="1060">
        <f t="shared" si="4"/>
        <v>0</v>
      </c>
      <c r="S24" s="1154"/>
      <c r="T24" s="1154"/>
      <c r="U24" s="1154"/>
      <c r="V24" s="1154"/>
      <c r="W24" s="1154"/>
      <c r="X24" s="1154"/>
      <c r="Y24" s="1154"/>
      <c r="Z24" s="1147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</row>
    <row r="25" spans="2:37" s="774" customFormat="1" ht="12.75" customHeight="1">
      <c r="B25" s="1167" t="s">
        <v>580</v>
      </c>
      <c r="C25" s="1168">
        <v>401</v>
      </c>
      <c r="D25" s="972">
        <f>+EcopeGj!C44</f>
        <v>88.971557520623804</v>
      </c>
      <c r="E25" s="1021"/>
      <c r="F25" s="1021"/>
      <c r="G25" s="415">
        <f>+EcopeGj!F44</f>
        <v>976552.55158600537</v>
      </c>
      <c r="H25" s="1022"/>
      <c r="I25" s="1022"/>
      <c r="J25" s="1022"/>
      <c r="K25" s="1022"/>
      <c r="L25" s="66">
        <f t="shared" ref="L25:L27" si="5">SUM(E25:K25)</f>
        <v>976552.55158600537</v>
      </c>
      <c r="M25" s="672">
        <f>+PROMIGAS!AU62</f>
        <v>376448.00486512523</v>
      </c>
      <c r="N25" s="511"/>
      <c r="O25" s="956">
        <f t="shared" ref="O25:O27" si="6">SUM(M25:N25)</f>
        <v>376448.00486512523</v>
      </c>
      <c r="P25" s="405">
        <f t="shared" ref="P25:P27" si="7">+O25+L25</f>
        <v>1353000.5564511307</v>
      </c>
      <c r="Q25" s="411">
        <f t="shared" ref="Q25:Q27" si="8">D25*1000000/$P$1/35.314667</f>
        <v>2529.0041412301184</v>
      </c>
      <c r="R25" s="1166">
        <f t="shared" ref="R25:R27" si="9">SUM(S25:Z25)</f>
        <v>0</v>
      </c>
      <c r="S25" s="1055"/>
      <c r="T25" s="1055"/>
      <c r="U25" s="1055"/>
      <c r="V25" s="1055"/>
      <c r="W25" s="1055"/>
      <c r="X25" s="1055"/>
      <c r="Y25" s="1055"/>
      <c r="Z25" s="972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</row>
    <row r="26" spans="2:37" s="774" customFormat="1" ht="12.75" customHeight="1">
      <c r="B26" s="1167" t="s">
        <v>581</v>
      </c>
      <c r="C26" s="1168">
        <v>402</v>
      </c>
      <c r="D26" s="972">
        <f>+EcopeGj!C45</f>
        <v>130.09759577353375</v>
      </c>
      <c r="E26" s="1021"/>
      <c r="F26" s="1021"/>
      <c r="G26" s="415">
        <f>+EcopeGj!F45</f>
        <v>1427952.2877679116</v>
      </c>
      <c r="H26" s="1022"/>
      <c r="I26" s="1022"/>
      <c r="J26" s="1022"/>
      <c r="K26" s="1022"/>
      <c r="L26" s="66">
        <f t="shared" si="5"/>
        <v>1427952.2877679116</v>
      </c>
      <c r="M26" s="672">
        <f>+PROMIGAS!AU63</f>
        <v>550456.59232551733</v>
      </c>
      <c r="N26" s="511"/>
      <c r="O26" s="956">
        <f t="shared" si="6"/>
        <v>550456.59232551733</v>
      </c>
      <c r="P26" s="405">
        <f t="shared" si="7"/>
        <v>1978408.8800934288</v>
      </c>
      <c r="Q26" s="411">
        <f t="shared" si="8"/>
        <v>3698.0060554642077</v>
      </c>
      <c r="R26" s="1166">
        <f t="shared" si="9"/>
        <v>0</v>
      </c>
      <c r="S26" s="1055"/>
      <c r="T26" s="1055"/>
      <c r="U26" s="1055"/>
      <c r="V26" s="1055"/>
      <c r="W26" s="1055"/>
      <c r="X26" s="1055"/>
      <c r="Y26" s="1055"/>
      <c r="Z26" s="972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</row>
    <row r="27" spans="2:37" s="774" customFormat="1" ht="12.75" customHeight="1" thickBot="1">
      <c r="B27" s="1169" t="s">
        <v>582</v>
      </c>
      <c r="C27" s="1170">
        <v>403</v>
      </c>
      <c r="D27" s="1158">
        <f>+EcopeGj!C46</f>
        <v>114.09045513617359</v>
      </c>
      <c r="E27" s="1159"/>
      <c r="F27" s="1159"/>
      <c r="G27" s="1160">
        <f>+EcopeGj!F46</f>
        <v>1252257.7796731575</v>
      </c>
      <c r="H27" s="1161"/>
      <c r="I27" s="1161"/>
      <c r="J27" s="1161"/>
      <c r="K27" s="1161"/>
      <c r="L27" s="1162">
        <f t="shared" si="5"/>
        <v>1252257.7796731575</v>
      </c>
      <c r="M27" s="1163">
        <f>+PROMIGAS!AU64</f>
        <v>482728.69900261017</v>
      </c>
      <c r="N27" s="1164"/>
      <c r="O27" s="1165">
        <f t="shared" si="6"/>
        <v>482728.69900261017</v>
      </c>
      <c r="P27" s="919">
        <f t="shared" si="7"/>
        <v>1734986.4786757678</v>
      </c>
      <c r="Q27" s="920">
        <f t="shared" si="8"/>
        <v>3243.0053104030353</v>
      </c>
      <c r="R27" s="1166">
        <f t="shared" si="9"/>
        <v>0</v>
      </c>
      <c r="S27" s="1055"/>
      <c r="T27" s="1055"/>
      <c r="U27" s="1055"/>
      <c r="V27" s="1055"/>
      <c r="W27" s="1055"/>
      <c r="X27" s="1055"/>
      <c r="Y27" s="1055"/>
      <c r="Z27" s="972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</row>
    <row r="28" spans="2:37" s="774" customFormat="1">
      <c r="B28" s="781" t="s">
        <v>26</v>
      </c>
      <c r="C28" s="782">
        <v>6</v>
      </c>
      <c r="D28" s="969">
        <f>+EcopeGj!C49</f>
        <v>2204.5906</v>
      </c>
      <c r="E28" s="420"/>
      <c r="F28" s="420"/>
      <c r="G28" s="129">
        <f>+EcopeGj!F49</f>
        <v>24197604.668587215</v>
      </c>
      <c r="H28" s="150"/>
      <c r="I28" s="150"/>
      <c r="J28" s="150"/>
      <c r="K28" s="150"/>
      <c r="L28" s="1157">
        <f t="shared" si="3"/>
        <v>24197604.668587215</v>
      </c>
      <c r="M28" s="351">
        <f>+PROMIGAS!AU68</f>
        <v>8774472.816115981</v>
      </c>
      <c r="N28" s="352"/>
      <c r="O28" s="958">
        <f t="shared" si="0"/>
        <v>8774472.816115981</v>
      </c>
      <c r="P28" s="406">
        <f t="shared" si="1"/>
        <v>32972077.484703198</v>
      </c>
      <c r="Q28" s="918">
        <f t="shared" si="2"/>
        <v>62665.181013882982</v>
      </c>
      <c r="R28" s="1166">
        <f t="shared" si="4"/>
        <v>0</v>
      </c>
      <c r="S28" s="1056"/>
      <c r="T28" s="1056"/>
      <c r="U28" s="1056"/>
      <c r="V28" s="1056"/>
      <c r="W28" s="1056"/>
      <c r="X28" s="1056"/>
      <c r="Y28" s="1056"/>
      <c r="Z28" s="969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</row>
    <row r="29" spans="2:37" s="774" customFormat="1">
      <c r="B29" s="775" t="s">
        <v>27</v>
      </c>
      <c r="C29" s="776">
        <v>8</v>
      </c>
      <c r="D29" s="966">
        <f>+EcopeGj!C50</f>
        <v>2943.7710000000002</v>
      </c>
      <c r="E29" s="165"/>
      <c r="F29" s="165"/>
      <c r="G29" s="111">
        <f>+EcopeGj!F50</f>
        <v>32310854.855705027</v>
      </c>
      <c r="H29" s="151"/>
      <c r="I29" s="151"/>
      <c r="J29" s="151"/>
      <c r="K29" s="151"/>
      <c r="L29" s="66">
        <f t="shared" si="3"/>
        <v>32310854.855705027</v>
      </c>
      <c r="M29" s="115">
        <f>+PROMIGAS!AU69</f>
        <v>11716478.613476152</v>
      </c>
      <c r="N29" s="59"/>
      <c r="O29" s="956">
        <f t="shared" si="0"/>
        <v>11716478.613476152</v>
      </c>
      <c r="P29" s="405">
        <f t="shared" si="1"/>
        <v>44027333.46918118</v>
      </c>
      <c r="Q29" s="411">
        <f t="shared" si="2"/>
        <v>83676.28101944158</v>
      </c>
      <c r="R29" s="1060">
        <f t="shared" si="4"/>
        <v>0</v>
      </c>
      <c r="S29" s="1053"/>
      <c r="T29" s="1053"/>
      <c r="U29" s="1053"/>
      <c r="V29" s="1053"/>
      <c r="W29" s="1053"/>
      <c r="X29" s="1053"/>
      <c r="Y29" s="1053"/>
      <c r="Z29" s="966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</row>
    <row r="30" spans="2:37" s="774" customFormat="1">
      <c r="B30" s="775" t="s">
        <v>28</v>
      </c>
      <c r="C30" s="776">
        <v>3</v>
      </c>
      <c r="D30" s="966">
        <f>+EcopeGj!C51</f>
        <v>6456.0901721706241</v>
      </c>
      <c r="E30" s="165"/>
      <c r="F30" s="165"/>
      <c r="G30" s="111">
        <f>+EcopeGj!F51</f>
        <v>70862099.153890952</v>
      </c>
      <c r="H30" s="151"/>
      <c r="I30" s="151"/>
      <c r="J30" s="151"/>
      <c r="K30" s="151"/>
      <c r="L30" s="66">
        <f t="shared" si="3"/>
        <v>70862099.153890952</v>
      </c>
      <c r="M30" s="115">
        <f>+PROMIGAS!AU70</f>
        <v>25695831.10537833</v>
      </c>
      <c r="N30" s="59"/>
      <c r="O30" s="956">
        <f t="shared" si="0"/>
        <v>25695831.10537833</v>
      </c>
      <c r="P30" s="405">
        <f t="shared" si="1"/>
        <v>96557930.259269282</v>
      </c>
      <c r="Q30" s="411">
        <f t="shared" si="2"/>
        <v>183513.46471359493</v>
      </c>
      <c r="R30" s="1060">
        <f t="shared" si="4"/>
        <v>0</v>
      </c>
      <c r="S30" s="1053"/>
      <c r="T30" s="1053"/>
      <c r="U30" s="1053"/>
      <c r="V30" s="1053"/>
      <c r="W30" s="1053"/>
      <c r="X30" s="1053"/>
      <c r="Y30" s="1053"/>
      <c r="Z30" s="966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</row>
    <row r="31" spans="2:37" s="774" customFormat="1">
      <c r="B31" s="1116" t="s">
        <v>575</v>
      </c>
      <c r="C31" s="776">
        <v>534</v>
      </c>
      <c r="D31" s="966">
        <f>+EcopeGj!C52</f>
        <v>383.81902782937652</v>
      </c>
      <c r="E31" s="165"/>
      <c r="F31" s="165"/>
      <c r="G31" s="111">
        <f>+EcopeGj!F52</f>
        <v>4212800.825557692</v>
      </c>
      <c r="H31" s="151"/>
      <c r="I31" s="151"/>
      <c r="J31" s="151"/>
      <c r="K31" s="151"/>
      <c r="L31" s="66">
        <f t="shared" si="3"/>
        <v>4212800.825557692</v>
      </c>
      <c r="M31" s="115">
        <f>+PROMIGAS!AU71</f>
        <v>1527634.9386579653</v>
      </c>
      <c r="N31" s="59"/>
      <c r="O31" s="956">
        <f t="shared" ref="O31" si="10">SUM(M31:N31)</f>
        <v>1527634.9386579653</v>
      </c>
      <c r="P31" s="405">
        <f t="shared" ref="P31" si="11">+O31+L31</f>
        <v>5740435.7642156575</v>
      </c>
      <c r="Q31" s="411">
        <f t="shared" ref="Q31" si="12">D31*1000000/$P$1/35.314667</f>
        <v>10910.002453743778</v>
      </c>
      <c r="R31" s="1060"/>
      <c r="S31" s="1053"/>
      <c r="T31" s="1053"/>
      <c r="U31" s="1053"/>
      <c r="V31" s="1053"/>
      <c r="W31" s="1053"/>
      <c r="X31" s="1053"/>
      <c r="Y31" s="1053"/>
      <c r="Z31" s="966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</row>
    <row r="32" spans="2:37" s="774" customFormat="1">
      <c r="B32" s="775" t="s">
        <v>29</v>
      </c>
      <c r="C32" s="776">
        <v>14</v>
      </c>
      <c r="D32" s="966">
        <f>+EcopeGj!C53</f>
        <v>3296.4258000000004</v>
      </c>
      <c r="E32" s="165"/>
      <c r="F32" s="165"/>
      <c r="G32" s="111">
        <f>+EcopeGj!F53</f>
        <v>36181596.858723506</v>
      </c>
      <c r="H32" s="151"/>
      <c r="I32" s="151"/>
      <c r="J32" s="151"/>
      <c r="K32" s="151"/>
      <c r="L32" s="66">
        <f t="shared" si="3"/>
        <v>36181596.858723506</v>
      </c>
      <c r="M32" s="115">
        <f>+PROMIGAS!AU72</f>
        <v>13120077.066664157</v>
      </c>
      <c r="N32" s="59"/>
      <c r="O32" s="956">
        <f t="shared" si="0"/>
        <v>13120077.066664157</v>
      </c>
      <c r="P32" s="405">
        <f t="shared" si="1"/>
        <v>49301673.925387666</v>
      </c>
      <c r="Q32" s="411">
        <f t="shared" si="2"/>
        <v>93700.444633953375</v>
      </c>
      <c r="R32" s="1060">
        <f t="shared" si="4"/>
        <v>0</v>
      </c>
      <c r="S32" s="1053"/>
      <c r="T32" s="1053"/>
      <c r="U32" s="1053"/>
      <c r="V32" s="1053"/>
      <c r="W32" s="1053"/>
      <c r="X32" s="1053"/>
      <c r="Y32" s="1053"/>
      <c r="Z32" s="966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</row>
    <row r="33" spans="2:37" s="774" customFormat="1">
      <c r="B33" s="775" t="s">
        <v>30</v>
      </c>
      <c r="C33" s="776">
        <v>23</v>
      </c>
      <c r="D33" s="966">
        <f>+EcopeGj!C54</f>
        <v>3794.5258000000003</v>
      </c>
      <c r="E33" s="165"/>
      <c r="F33" s="165"/>
      <c r="G33" s="111">
        <f>+EcopeGj!F54</f>
        <v>41648746.580500998</v>
      </c>
      <c r="H33" s="151"/>
      <c r="I33" s="151"/>
      <c r="J33" s="151"/>
      <c r="K33" s="151"/>
      <c r="L33" s="66">
        <f t="shared" si="3"/>
        <v>41648746.580500998</v>
      </c>
      <c r="M33" s="115">
        <f>+PROMIGAS!AU73</f>
        <v>15102560.757607667</v>
      </c>
      <c r="N33" s="59"/>
      <c r="O33" s="956">
        <f t="shared" si="0"/>
        <v>15102560.757607667</v>
      </c>
      <c r="P33" s="405">
        <f t="shared" si="1"/>
        <v>56751307.338108666</v>
      </c>
      <c r="Q33" s="411">
        <f t="shared" si="2"/>
        <v>107858.86781829206</v>
      </c>
      <c r="R33" s="1060">
        <f t="shared" si="4"/>
        <v>0</v>
      </c>
      <c r="S33" s="1053"/>
      <c r="T33" s="1053"/>
      <c r="U33" s="1053"/>
      <c r="V33" s="1053"/>
      <c r="W33" s="1053"/>
      <c r="X33" s="1053"/>
      <c r="Y33" s="1053"/>
      <c r="Z33" s="966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</row>
    <row r="34" spans="2:37" s="774" customFormat="1">
      <c r="B34" s="775" t="s">
        <v>31</v>
      </c>
      <c r="C34" s="776">
        <v>24</v>
      </c>
      <c r="D34" s="966">
        <f>+EcopeGj!C55</f>
        <v>673.4312000000001</v>
      </c>
      <c r="E34" s="165"/>
      <c r="F34" s="165"/>
      <c r="G34" s="111">
        <f>+EcopeGj!F55</f>
        <v>7391586.4238431817</v>
      </c>
      <c r="H34" s="151"/>
      <c r="I34" s="151"/>
      <c r="J34" s="151"/>
      <c r="K34" s="151"/>
      <c r="L34" s="66">
        <f t="shared" si="3"/>
        <v>7391586.4238431817</v>
      </c>
      <c r="M34" s="115">
        <f>+PROMIGAS!AU74</f>
        <v>2680317.950155627</v>
      </c>
      <c r="N34" s="59"/>
      <c r="O34" s="956">
        <f t="shared" si="0"/>
        <v>2680317.950155627</v>
      </c>
      <c r="P34" s="405">
        <f t="shared" si="1"/>
        <v>10071904.37399881</v>
      </c>
      <c r="Q34" s="411">
        <f t="shared" si="2"/>
        <v>19142.188145225893</v>
      </c>
      <c r="R34" s="1060">
        <f t="shared" si="4"/>
        <v>0</v>
      </c>
      <c r="S34" s="1053"/>
      <c r="T34" s="1053"/>
      <c r="U34" s="1053"/>
      <c r="V34" s="1053"/>
      <c r="W34" s="1053"/>
      <c r="X34" s="1053"/>
      <c r="Y34" s="1053"/>
      <c r="Z34" s="966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</row>
    <row r="35" spans="2:37" s="774" customFormat="1">
      <c r="B35" s="775" t="s">
        <v>32</v>
      </c>
      <c r="C35" s="776">
        <v>23</v>
      </c>
      <c r="D35" s="966">
        <f>+EcopeGj!C56</f>
        <v>0.99620000000000009</v>
      </c>
      <c r="E35" s="165"/>
      <c r="F35" s="165"/>
      <c r="G35" s="111">
        <f>+EcopeGj!F56</f>
        <v>10934.299443555001</v>
      </c>
      <c r="H35" s="151"/>
      <c r="I35" s="151"/>
      <c r="J35" s="151"/>
      <c r="K35" s="151"/>
      <c r="L35" s="66">
        <f t="shared" si="3"/>
        <v>10934.299443555001</v>
      </c>
      <c r="M35" s="115">
        <f>+PROMIGAS!AU75</f>
        <v>3964.9673818870224</v>
      </c>
      <c r="N35" s="59"/>
      <c r="O35" s="956">
        <f t="shared" si="0"/>
        <v>3964.9673818870224</v>
      </c>
      <c r="P35" s="405">
        <f t="shared" si="1"/>
        <v>14899.266825442024</v>
      </c>
      <c r="Q35" s="411">
        <f t="shared" si="2"/>
        <v>28.316846368677357</v>
      </c>
      <c r="R35" s="1060">
        <f t="shared" si="4"/>
        <v>0</v>
      </c>
      <c r="S35" s="1053"/>
      <c r="T35" s="1053"/>
      <c r="U35" s="1053"/>
      <c r="V35" s="1053"/>
      <c r="W35" s="1053"/>
      <c r="X35" s="1053"/>
      <c r="Y35" s="1053"/>
      <c r="Z35" s="966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</row>
    <row r="36" spans="2:37" s="774" customFormat="1">
      <c r="B36" s="775" t="s">
        <v>33</v>
      </c>
      <c r="C36" s="776">
        <v>9</v>
      </c>
      <c r="D36" s="966">
        <f>+EcopeGj!C57</f>
        <v>1584.9542000000001</v>
      </c>
      <c r="E36" s="165"/>
      <c r="F36" s="165"/>
      <c r="G36" s="111">
        <f>+EcopeGj!F57</f>
        <v>17396470.414696008</v>
      </c>
      <c r="H36" s="151"/>
      <c r="I36" s="151"/>
      <c r="J36" s="151"/>
      <c r="K36" s="151"/>
      <c r="L36" s="66">
        <f t="shared" si="3"/>
        <v>17396470.414696008</v>
      </c>
      <c r="M36" s="115">
        <f>+PROMIGAS!AU76</f>
        <v>6308263.1045822529</v>
      </c>
      <c r="N36" s="59"/>
      <c r="O36" s="956">
        <f t="shared" si="0"/>
        <v>6308263.1045822529</v>
      </c>
      <c r="P36" s="405">
        <f t="shared" si="1"/>
        <v>23704733.519278262</v>
      </c>
      <c r="Q36" s="411">
        <f t="shared" si="2"/>
        <v>45052.10257256568</v>
      </c>
      <c r="R36" s="1060">
        <f t="shared" si="4"/>
        <v>0</v>
      </c>
      <c r="S36" s="1053"/>
      <c r="T36" s="1053"/>
      <c r="U36" s="1053"/>
      <c r="V36" s="1053"/>
      <c r="W36" s="1053"/>
      <c r="X36" s="1053"/>
      <c r="Y36" s="1053"/>
      <c r="Z36" s="966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</row>
    <row r="37" spans="2:37" s="774" customFormat="1">
      <c r="B37" s="775" t="s">
        <v>34</v>
      </c>
      <c r="C37" s="776">
        <v>12</v>
      </c>
      <c r="D37" s="966">
        <f>+PROMIGAS!D77</f>
        <v>5994.1354000000001</v>
      </c>
      <c r="E37" s="165"/>
      <c r="F37" s="165"/>
      <c r="G37" s="316">
        <f>+EcopeGj!F64</f>
        <v>65791679.751870438</v>
      </c>
      <c r="H37" s="315"/>
      <c r="I37" s="315"/>
      <c r="J37" s="315"/>
      <c r="K37" s="315"/>
      <c r="L37" s="66">
        <f t="shared" si="3"/>
        <v>65791679.751870438</v>
      </c>
      <c r="M37" s="115">
        <f>+PROMIGAS!AU77</f>
        <v>23857208.736814208</v>
      </c>
      <c r="N37" s="59"/>
      <c r="O37" s="956">
        <f t="shared" si="0"/>
        <v>23857208.736814208</v>
      </c>
      <c r="P37" s="405">
        <f t="shared" si="1"/>
        <v>89648888.488684654</v>
      </c>
      <c r="Q37" s="411">
        <f t="shared" si="2"/>
        <v>170382.46460033164</v>
      </c>
      <c r="R37" s="1060">
        <f t="shared" si="4"/>
        <v>0</v>
      </c>
      <c r="S37" s="1053"/>
      <c r="T37" s="1053"/>
      <c r="U37" s="1053"/>
      <c r="V37" s="1053"/>
      <c r="W37" s="1053"/>
      <c r="X37" s="1053"/>
      <c r="Y37" s="1053"/>
      <c r="Z37" s="966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</row>
    <row r="38" spans="2:37" s="774" customFormat="1">
      <c r="B38" s="888" t="s">
        <v>473</v>
      </c>
      <c r="C38" s="776">
        <v>12</v>
      </c>
      <c r="D38" s="966">
        <f>+EcopeGj!C65</f>
        <v>2490.5</v>
      </c>
      <c r="E38" s="165"/>
      <c r="F38" s="165"/>
      <c r="G38" s="316">
        <f>+EcopeGj!F65</f>
        <v>27335748.608887501</v>
      </c>
      <c r="H38" s="315"/>
      <c r="I38" s="315"/>
      <c r="J38" s="315"/>
      <c r="K38" s="315"/>
      <c r="L38" s="66">
        <f t="shared" si="3"/>
        <v>27335748.608887501</v>
      </c>
      <c r="M38" s="115">
        <f>+PROMIGAS!AU78</f>
        <v>9912418.4547175542</v>
      </c>
      <c r="N38" s="59"/>
      <c r="O38" s="956">
        <f>SUM(M38:N38)</f>
        <v>9912418.4547175542</v>
      </c>
      <c r="P38" s="405">
        <f>+O38+L38</f>
        <v>37248167.063605055</v>
      </c>
      <c r="Q38" s="411">
        <f>D38*1000000/$P$1/35.314667</f>
        <v>70792.115921693388</v>
      </c>
      <c r="R38" s="1060">
        <f t="shared" si="4"/>
        <v>0</v>
      </c>
      <c r="S38" s="1053"/>
      <c r="T38" s="1053"/>
      <c r="U38" s="1053"/>
      <c r="V38" s="1053"/>
      <c r="W38" s="1053"/>
      <c r="X38" s="1053"/>
      <c r="Y38" s="1053"/>
      <c r="Z38" s="966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</row>
    <row r="39" spans="2:37" s="774" customFormat="1">
      <c r="B39" s="775" t="s">
        <v>35</v>
      </c>
      <c r="C39" s="776">
        <v>22</v>
      </c>
      <c r="D39" s="966">
        <f>+PROMIGAS!D79</f>
        <v>4143.1958000000004</v>
      </c>
      <c r="E39" s="165"/>
      <c r="F39" s="165"/>
      <c r="G39" s="316">
        <f>+EcopeGj!F66</f>
        <v>45475751.38574525</v>
      </c>
      <c r="H39" s="315"/>
      <c r="I39" s="315"/>
      <c r="J39" s="315"/>
      <c r="K39" s="315"/>
      <c r="L39" s="66">
        <f t="shared" si="3"/>
        <v>45475751.38574525</v>
      </c>
      <c r="M39" s="115">
        <f>+PROMIGAS!AU79</f>
        <v>16490299.341268124</v>
      </c>
      <c r="N39" s="59"/>
      <c r="O39" s="956">
        <f t="shared" si="0"/>
        <v>16490299.341268124</v>
      </c>
      <c r="P39" s="405">
        <f t="shared" si="1"/>
        <v>61966050.727013372</v>
      </c>
      <c r="Q39" s="411">
        <f t="shared" si="2"/>
        <v>117769.76404732912</v>
      </c>
      <c r="R39" s="1060">
        <f t="shared" si="4"/>
        <v>0</v>
      </c>
      <c r="S39" s="1053"/>
      <c r="T39" s="1053"/>
      <c r="U39" s="1053"/>
      <c r="V39" s="1053"/>
      <c r="W39" s="1053"/>
      <c r="X39" s="1053"/>
      <c r="Y39" s="1053"/>
      <c r="Z39" s="966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</row>
    <row r="40" spans="2:37" s="774" customFormat="1">
      <c r="B40" s="775" t="s">
        <v>36</v>
      </c>
      <c r="C40" s="776">
        <v>34</v>
      </c>
      <c r="D40" s="966">
        <f>+PROMIGAS!D80</f>
        <v>845.77380000000005</v>
      </c>
      <c r="E40" s="165"/>
      <c r="F40" s="165"/>
      <c r="G40" s="316">
        <f>+EcopeGj!F67</f>
        <v>9283220.2275781967</v>
      </c>
      <c r="H40" s="315"/>
      <c r="I40" s="315"/>
      <c r="J40" s="315"/>
      <c r="K40" s="315"/>
      <c r="L40" s="66">
        <f t="shared" si="3"/>
        <v>9283220.2275781967</v>
      </c>
      <c r="M40" s="115">
        <f>+PROMIGAS!AU80</f>
        <v>3366257.3072220818</v>
      </c>
      <c r="N40" s="59"/>
      <c r="O40" s="956">
        <f t="shared" si="0"/>
        <v>3366257.3072220818</v>
      </c>
      <c r="P40" s="405">
        <f t="shared" si="1"/>
        <v>12649477.534800278</v>
      </c>
      <c r="Q40" s="411">
        <f t="shared" si="2"/>
        <v>24041.002567007075</v>
      </c>
      <c r="R40" s="1060">
        <f t="shared" si="4"/>
        <v>0</v>
      </c>
      <c r="S40" s="1053"/>
      <c r="T40" s="1053"/>
      <c r="U40" s="1053"/>
      <c r="V40" s="1053"/>
      <c r="W40" s="1053"/>
      <c r="X40" s="1053"/>
      <c r="Y40" s="1053"/>
      <c r="Z40" s="966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</row>
    <row r="41" spans="2:37" s="774" customFormat="1" ht="12.75" customHeight="1">
      <c r="B41" s="783"/>
      <c r="C41" s="154"/>
      <c r="D41" s="970"/>
      <c r="E41" s="421"/>
      <c r="F41" s="421"/>
      <c r="G41" s="112"/>
      <c r="H41" s="152"/>
      <c r="I41" s="152"/>
      <c r="J41" s="152"/>
      <c r="K41" s="152"/>
      <c r="L41" s="152"/>
      <c r="M41" s="116"/>
      <c r="N41" s="154"/>
      <c r="O41" s="959"/>
      <c r="P41" s="305"/>
      <c r="Q41" s="412"/>
      <c r="R41" s="1060">
        <f t="shared" si="4"/>
        <v>0</v>
      </c>
      <c r="S41" s="1057"/>
      <c r="T41" s="1057"/>
      <c r="U41" s="1057"/>
      <c r="V41" s="1057"/>
      <c r="W41" s="1057"/>
      <c r="X41" s="1057"/>
      <c r="Y41" s="1057"/>
      <c r="Z41" s="970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</row>
    <row r="42" spans="2:37" s="774" customFormat="1">
      <c r="B42" s="775" t="s">
        <v>37</v>
      </c>
      <c r="C42" s="776">
        <v>7</v>
      </c>
      <c r="D42" s="966">
        <f>+EcopeGj!C13+Chevron!C13</f>
        <v>9228.7131192000052</v>
      </c>
      <c r="E42" s="165"/>
      <c r="F42" s="165"/>
      <c r="G42" s="111">
        <f>+EcopeGj!F13</f>
        <v>0</v>
      </c>
      <c r="H42" s="151">
        <f>+Chevron!F13</f>
        <v>101294431.56394032</v>
      </c>
      <c r="I42" s="151"/>
      <c r="J42" s="151"/>
      <c r="K42" s="151"/>
      <c r="L42" s="66">
        <f t="shared" si="3"/>
        <v>101294431.56394032</v>
      </c>
      <c r="M42" s="115">
        <f>+PROMIGAS!AU14</f>
        <v>33701816.616970405</v>
      </c>
      <c r="N42" s="59"/>
      <c r="O42" s="956">
        <f t="shared" ref="O42:O63" si="13">SUM(M42:N42)</f>
        <v>33701816.616970405</v>
      </c>
      <c r="P42" s="405">
        <f t="shared" ref="P42:P63" si="14">+O42+L42</f>
        <v>134996248.18091071</v>
      </c>
      <c r="Q42" s="411">
        <f t="shared" ref="Q42:Q63" si="15">D42*1000000/$P$1/35.314667</f>
        <v>262324.88614433212</v>
      </c>
      <c r="R42" s="1060">
        <f t="shared" si="4"/>
        <v>0</v>
      </c>
      <c r="S42" s="1053"/>
      <c r="T42" s="1053"/>
      <c r="U42" s="1053"/>
      <c r="V42" s="1053"/>
      <c r="W42" s="1053"/>
      <c r="X42" s="1053"/>
      <c r="Y42" s="1053"/>
      <c r="Z42" s="966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</row>
    <row r="43" spans="2:37" s="774" customFormat="1">
      <c r="B43" s="775" t="s">
        <v>38</v>
      </c>
      <c r="C43" s="776">
        <v>10</v>
      </c>
      <c r="D43" s="966">
        <f>+EcopeGj!C14+Chevron!C14</f>
        <v>6003.9878180000005</v>
      </c>
      <c r="E43" s="165"/>
      <c r="F43" s="165"/>
      <c r="G43" s="111">
        <f>+EcopeGj!F14</f>
        <v>0</v>
      </c>
      <c r="H43" s="151">
        <f>+Chevron!F14</f>
        <v>65899819.973367199</v>
      </c>
      <c r="I43" s="151"/>
      <c r="J43" s="151"/>
      <c r="K43" s="151"/>
      <c r="L43" s="66">
        <f t="shared" si="3"/>
        <v>65899819.973367199</v>
      </c>
      <c r="M43" s="115">
        <f>+PROMIGAS!AU15</f>
        <v>21925624.277104054</v>
      </c>
      <c r="N43" s="59"/>
      <c r="O43" s="956">
        <f t="shared" si="13"/>
        <v>21925624.277104054</v>
      </c>
      <c r="P43" s="405">
        <f t="shared" si="14"/>
        <v>87825444.250471249</v>
      </c>
      <c r="Q43" s="411">
        <f t="shared" si="15"/>
        <v>170662.51821091789</v>
      </c>
      <c r="R43" s="1060">
        <f t="shared" si="4"/>
        <v>0</v>
      </c>
      <c r="S43" s="1053"/>
      <c r="T43" s="1053"/>
      <c r="U43" s="1053"/>
      <c r="V43" s="1053"/>
      <c r="W43" s="1053"/>
      <c r="X43" s="1053"/>
      <c r="Y43" s="1053"/>
      <c r="Z43" s="966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</row>
    <row r="44" spans="2:37" s="774" customFormat="1">
      <c r="B44" s="775" t="s">
        <v>39</v>
      </c>
      <c r="C44" s="776">
        <v>28</v>
      </c>
      <c r="D44" s="966">
        <f>+PROMIGAS!D24</f>
        <v>3098.2517340000004</v>
      </c>
      <c r="E44" s="165"/>
      <c r="F44" s="165"/>
      <c r="G44" s="316">
        <f>+EcopeGj!F68</f>
        <v>34006436.670417108</v>
      </c>
      <c r="H44" s="315"/>
      <c r="I44" s="315"/>
      <c r="J44" s="315"/>
      <c r="K44" s="315"/>
      <c r="L44" s="66">
        <f t="shared" si="3"/>
        <v>34006436.670417108</v>
      </c>
      <c r="M44" s="115">
        <f>+PROMIGAS!AU24</f>
        <v>12331326.105385369</v>
      </c>
      <c r="N44" s="59"/>
      <c r="O44" s="956">
        <f t="shared" si="13"/>
        <v>12331326.105385369</v>
      </c>
      <c r="P44" s="405">
        <f t="shared" si="14"/>
        <v>46337762.775802478</v>
      </c>
      <c r="Q44" s="411">
        <f t="shared" si="15"/>
        <v>88067.374385832387</v>
      </c>
      <c r="R44" s="1060">
        <f t="shared" si="4"/>
        <v>0</v>
      </c>
      <c r="S44" s="1053"/>
      <c r="T44" s="1053"/>
      <c r="U44" s="1053"/>
      <c r="V44" s="1053"/>
      <c r="W44" s="1053"/>
      <c r="X44" s="1053"/>
      <c r="Y44" s="1053"/>
      <c r="Z44" s="966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</row>
    <row r="45" spans="2:37" s="774" customFormat="1">
      <c r="B45" s="775" t="s">
        <v>40</v>
      </c>
      <c r="C45" s="776">
        <v>29</v>
      </c>
      <c r="D45" s="966">
        <f>+PROMIGAS!D25</f>
        <v>1850.3219560000002</v>
      </c>
      <c r="E45" s="165"/>
      <c r="F45" s="165"/>
      <c r="G45" s="316">
        <f>+EcopeGj!F69</f>
        <v>20309149.100470189</v>
      </c>
      <c r="H45" s="151"/>
      <c r="I45" s="151"/>
      <c r="J45" s="151"/>
      <c r="K45" s="151"/>
      <c r="L45" s="66">
        <f t="shared" si="3"/>
        <v>20309149.100470189</v>
      </c>
      <c r="M45" s="115">
        <f>+PROMIGAS!AU25</f>
        <v>7364451.1157693183</v>
      </c>
      <c r="N45" s="59"/>
      <c r="O45" s="956">
        <f t="shared" si="13"/>
        <v>7364451.1157693183</v>
      </c>
      <c r="P45" s="405">
        <f t="shared" si="14"/>
        <v>27673600.216239508</v>
      </c>
      <c r="Q45" s="411">
        <f t="shared" si="15"/>
        <v>52595.144108253953</v>
      </c>
      <c r="R45" s="1060">
        <f t="shared" si="4"/>
        <v>0</v>
      </c>
      <c r="S45" s="1053"/>
      <c r="T45" s="1053"/>
      <c r="U45" s="1053"/>
      <c r="V45" s="1053"/>
      <c r="W45" s="1053"/>
      <c r="X45" s="1053"/>
      <c r="Y45" s="1053"/>
      <c r="Z45" s="966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</row>
    <row r="46" spans="2:37" s="774" customFormat="1">
      <c r="B46" s="775" t="s">
        <v>41</v>
      </c>
      <c r="C46" s="776">
        <v>26</v>
      </c>
      <c r="D46" s="966">
        <f>+PROMIGAS!D26</f>
        <v>5597.1434299883522</v>
      </c>
      <c r="E46" s="165"/>
      <c r="F46" s="165"/>
      <c r="G46" s="316">
        <f>+EcopeGj!F70</f>
        <v>61434292.603914037</v>
      </c>
      <c r="H46" s="151"/>
      <c r="I46" s="151"/>
      <c r="J46" s="151"/>
      <c r="K46" s="151"/>
      <c r="L46" s="66">
        <f t="shared" si="3"/>
        <v>61434292.603914037</v>
      </c>
      <c r="M46" s="115">
        <f>+PROMIGAS!AU26</f>
        <v>22277144.279910721</v>
      </c>
      <c r="N46" s="59"/>
      <c r="O46" s="956">
        <f t="shared" si="13"/>
        <v>22277144.279910721</v>
      </c>
      <c r="P46" s="405">
        <f t="shared" si="14"/>
        <v>83711436.883824766</v>
      </c>
      <c r="Q46" s="411">
        <f t="shared" si="15"/>
        <v>159098.02309820516</v>
      </c>
      <c r="R46" s="1060">
        <f t="shared" si="4"/>
        <v>0</v>
      </c>
      <c r="S46" s="1053"/>
      <c r="T46" s="1053"/>
      <c r="U46" s="1053"/>
      <c r="V46" s="1053"/>
      <c r="W46" s="1053"/>
      <c r="X46" s="1053"/>
      <c r="Y46" s="1053"/>
      <c r="Z46" s="966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</row>
    <row r="47" spans="2:37" s="774" customFormat="1">
      <c r="B47" s="775" t="s">
        <v>42</v>
      </c>
      <c r="C47" s="776">
        <v>37</v>
      </c>
      <c r="D47" s="966">
        <f>+PROMIGAS!D27</f>
        <v>1178.4647520000001</v>
      </c>
      <c r="E47" s="165"/>
      <c r="F47" s="165"/>
      <c r="G47" s="316">
        <f>+EcopeGj!F71</f>
        <v>12934838.869747823</v>
      </c>
      <c r="H47" s="151"/>
      <c r="I47" s="151"/>
      <c r="J47" s="151"/>
      <c r="K47" s="151"/>
      <c r="L47" s="66">
        <f t="shared" si="3"/>
        <v>12934838.869747823</v>
      </c>
      <c r="M47" s="115">
        <f>+PROMIGAS!AU27</f>
        <v>4690397.8140770728</v>
      </c>
      <c r="N47" s="59"/>
      <c r="O47" s="956">
        <f t="shared" si="13"/>
        <v>4690397.8140770728</v>
      </c>
      <c r="P47" s="405">
        <f t="shared" si="14"/>
        <v>17625236.683824897</v>
      </c>
      <c r="Q47" s="411">
        <f t="shared" si="15"/>
        <v>33497.696580290562</v>
      </c>
      <c r="R47" s="1060">
        <f t="shared" si="4"/>
        <v>0</v>
      </c>
      <c r="S47" s="1053"/>
      <c r="T47" s="1053"/>
      <c r="U47" s="1053"/>
      <c r="V47" s="1053"/>
      <c r="W47" s="1053"/>
      <c r="X47" s="1053"/>
      <c r="Y47" s="1053"/>
      <c r="Z47" s="966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</row>
    <row r="48" spans="2:37" s="774" customFormat="1">
      <c r="B48" s="775" t="s">
        <v>43</v>
      </c>
      <c r="C48" s="776">
        <v>15</v>
      </c>
      <c r="D48" s="966">
        <f>+PROMIGAS!D28</f>
        <v>1736.8149280000002</v>
      </c>
      <c r="E48" s="165"/>
      <c r="F48" s="165"/>
      <c r="G48" s="316">
        <f>+EcopeGj!F72</f>
        <v>19063295.021871533</v>
      </c>
      <c r="H48" s="151"/>
      <c r="I48" s="151"/>
      <c r="J48" s="151"/>
      <c r="K48" s="151"/>
      <c r="L48" s="66">
        <f t="shared" si="3"/>
        <v>19063295.021871533</v>
      </c>
      <c r="M48" s="115">
        <f>+PROMIGAS!AU28</f>
        <v>6912682.7322771112</v>
      </c>
      <c r="N48" s="59"/>
      <c r="O48" s="956">
        <f t="shared" si="13"/>
        <v>6912682.7322771112</v>
      </c>
      <c r="P48" s="405">
        <f t="shared" si="14"/>
        <v>25975977.754148643</v>
      </c>
      <c r="Q48" s="411">
        <f t="shared" si="15"/>
        <v>49368.722633006852</v>
      </c>
      <c r="R48" s="1060">
        <f t="shared" si="4"/>
        <v>0</v>
      </c>
      <c r="S48" s="1053"/>
      <c r="T48" s="1053"/>
      <c r="U48" s="1053"/>
      <c r="V48" s="1053"/>
      <c r="W48" s="1053"/>
      <c r="X48" s="1053"/>
      <c r="Y48" s="1053"/>
      <c r="Z48" s="966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</row>
    <row r="49" spans="2:37" s="774" customFormat="1">
      <c r="B49" s="775" t="s">
        <v>44</v>
      </c>
      <c r="C49" s="776">
        <v>17</v>
      </c>
      <c r="D49" s="966">
        <f>+PROMIGAS!D29</f>
        <v>1226.6409840000001</v>
      </c>
      <c r="E49" s="165"/>
      <c r="F49" s="165"/>
      <c r="G49" s="316">
        <f>+EcopeGj!F73</f>
        <v>13463621.590838145</v>
      </c>
      <c r="H49" s="151"/>
      <c r="I49" s="151"/>
      <c r="J49" s="151"/>
      <c r="K49" s="151"/>
      <c r="L49" s="66">
        <f t="shared" si="3"/>
        <v>13463621.590838145</v>
      </c>
      <c r="M49" s="115">
        <f>+PROMIGAS!AU29</f>
        <v>4882143.6366651282</v>
      </c>
      <c r="N49" s="59"/>
      <c r="O49" s="956">
        <f t="shared" si="13"/>
        <v>4882143.6366651282</v>
      </c>
      <c r="P49" s="405">
        <f t="shared" si="14"/>
        <v>18345765.227503274</v>
      </c>
      <c r="Q49" s="411">
        <f t="shared" si="15"/>
        <v>34867.099270679799</v>
      </c>
      <c r="R49" s="1060">
        <f t="shared" si="4"/>
        <v>0</v>
      </c>
      <c r="S49" s="1053"/>
      <c r="T49" s="1053"/>
      <c r="U49" s="1053"/>
      <c r="V49" s="1053"/>
      <c r="W49" s="1053"/>
      <c r="X49" s="1053"/>
      <c r="Y49" s="1053"/>
      <c r="Z49" s="966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</row>
    <row r="50" spans="2:37" s="774" customFormat="1">
      <c r="B50" s="775" t="s">
        <v>45</v>
      </c>
      <c r="C50" s="776">
        <v>17</v>
      </c>
      <c r="D50" s="966">
        <f>+PROMIGAS!D30</f>
        <v>228.84945488000005</v>
      </c>
      <c r="E50" s="165"/>
      <c r="F50" s="165"/>
      <c r="G50" s="316">
        <f>+EcopeGj!F74</f>
        <v>2511853.5104921195</v>
      </c>
      <c r="H50" s="151"/>
      <c r="I50" s="151"/>
      <c r="J50" s="151"/>
      <c r="K50" s="151"/>
      <c r="L50" s="66">
        <f t="shared" si="3"/>
        <v>2511853.5104921195</v>
      </c>
      <c r="M50" s="115">
        <f>+PROMIGAS!AU30</f>
        <v>910841.82288880344</v>
      </c>
      <c r="N50" s="59"/>
      <c r="O50" s="956">
        <f t="shared" si="13"/>
        <v>910841.82288880344</v>
      </c>
      <c r="P50" s="405">
        <f t="shared" si="14"/>
        <v>3422695.3333809227</v>
      </c>
      <c r="Q50" s="411">
        <f t="shared" si="15"/>
        <v>6505.0139082438482</v>
      </c>
      <c r="R50" s="1060">
        <f t="shared" si="4"/>
        <v>0</v>
      </c>
      <c r="S50" s="1053"/>
      <c r="T50" s="1053"/>
      <c r="U50" s="1053"/>
      <c r="V50" s="1053"/>
      <c r="W50" s="1053"/>
      <c r="X50" s="1053"/>
      <c r="Y50" s="1053"/>
      <c r="Z50" s="966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</row>
    <row r="51" spans="2:37" s="774" customFormat="1">
      <c r="B51" s="775" t="s">
        <v>46</v>
      </c>
      <c r="C51" s="776">
        <v>16</v>
      </c>
      <c r="D51" s="966">
        <f>+PROMIGAS!D31</f>
        <v>5738.1518480000004</v>
      </c>
      <c r="E51" s="165"/>
      <c r="F51" s="165"/>
      <c r="G51" s="316">
        <f>+EcopeGj!F75</f>
        <v>62982002.166854553</v>
      </c>
      <c r="H51" s="151"/>
      <c r="I51" s="151"/>
      <c r="J51" s="151"/>
      <c r="K51" s="151"/>
      <c r="L51" s="66">
        <f t="shared" si="3"/>
        <v>62982002.166854553</v>
      </c>
      <c r="M51" s="115">
        <f>+PROMIGAS!AU31</f>
        <v>22838370.718364526</v>
      </c>
      <c r="N51" s="59"/>
      <c r="O51" s="956">
        <f t="shared" si="13"/>
        <v>22838370.718364526</v>
      </c>
      <c r="P51" s="405">
        <f t="shared" si="14"/>
        <v>85820372.885219082</v>
      </c>
      <c r="Q51" s="411">
        <f t="shared" si="15"/>
        <v>163106.16775743631</v>
      </c>
      <c r="R51" s="1060">
        <f t="shared" si="4"/>
        <v>0</v>
      </c>
      <c r="S51" s="1053"/>
      <c r="T51" s="1053"/>
      <c r="U51" s="1053"/>
      <c r="V51" s="1053"/>
      <c r="W51" s="1053"/>
      <c r="X51" s="1053"/>
      <c r="Y51" s="1053"/>
      <c r="Z51" s="966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</row>
    <row r="52" spans="2:37" s="774" customFormat="1">
      <c r="B52" s="775" t="s">
        <v>47</v>
      </c>
      <c r="C52" s="776">
        <v>16</v>
      </c>
      <c r="D52" s="966">
        <f>+PROMIGAS!D32</f>
        <v>4482.9000000000005</v>
      </c>
      <c r="E52" s="165"/>
      <c r="F52" s="165"/>
      <c r="G52" s="316">
        <f>+EcopeGj!F76</f>
        <v>49204347.495997503</v>
      </c>
      <c r="H52" s="151"/>
      <c r="I52" s="151"/>
      <c r="J52" s="151"/>
      <c r="K52" s="151"/>
      <c r="L52" s="66">
        <f t="shared" si="3"/>
        <v>49204347.495997503</v>
      </c>
      <c r="M52" s="115">
        <f>+PROMIGAS!AU32</f>
        <v>17842353.218491599</v>
      </c>
      <c r="N52" s="59"/>
      <c r="O52" s="956">
        <f t="shared" si="13"/>
        <v>17842353.218491599</v>
      </c>
      <c r="P52" s="405">
        <f t="shared" si="14"/>
        <v>67046700.714489102</v>
      </c>
      <c r="Q52" s="411">
        <f t="shared" si="15"/>
        <v>127425.80865904813</v>
      </c>
      <c r="R52" s="1060">
        <f t="shared" si="4"/>
        <v>0</v>
      </c>
      <c r="S52" s="1053"/>
      <c r="T52" s="1053"/>
      <c r="U52" s="1053"/>
      <c r="V52" s="1053"/>
      <c r="W52" s="1053"/>
      <c r="X52" s="1053"/>
      <c r="Y52" s="1053"/>
      <c r="Z52" s="966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</row>
    <row r="53" spans="2:37" s="774" customFormat="1">
      <c r="B53" s="775" t="s">
        <v>48</v>
      </c>
      <c r="C53" s="776">
        <v>31</v>
      </c>
      <c r="D53" s="966">
        <f>+PROMIGAS!D33</f>
        <v>549.70316000000003</v>
      </c>
      <c r="E53" s="165"/>
      <c r="F53" s="165"/>
      <c r="G53" s="316">
        <f>+EcopeGj!F77</f>
        <v>6033546.4329536492</v>
      </c>
      <c r="H53" s="151"/>
      <c r="I53" s="151"/>
      <c r="J53" s="151"/>
      <c r="K53" s="151"/>
      <c r="L53" s="66">
        <f t="shared" si="3"/>
        <v>6033546.4329536492</v>
      </c>
      <c r="M53" s="115">
        <f>+PROMIGAS!AU33</f>
        <v>2187869.0013252585</v>
      </c>
      <c r="N53" s="59"/>
      <c r="O53" s="956">
        <f t="shared" si="13"/>
        <v>2187869.0013252585</v>
      </c>
      <c r="P53" s="405">
        <f t="shared" si="14"/>
        <v>8221415.4342789073</v>
      </c>
      <c r="Q53" s="411">
        <f t="shared" si="15"/>
        <v>15625.235826236165</v>
      </c>
      <c r="R53" s="1060">
        <f t="shared" si="4"/>
        <v>0</v>
      </c>
      <c r="S53" s="1053"/>
      <c r="T53" s="1053"/>
      <c r="U53" s="1053"/>
      <c r="V53" s="1053"/>
      <c r="W53" s="1053"/>
      <c r="X53" s="1053"/>
      <c r="Y53" s="1053"/>
      <c r="Z53" s="966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</row>
    <row r="54" spans="2:37" s="774" customFormat="1">
      <c r="B54" s="775" t="s">
        <v>49</v>
      </c>
      <c r="C54" s="776">
        <v>33</v>
      </c>
      <c r="D54" s="966">
        <f>+PROMIGAS!D34</f>
        <v>1636.7566000000002</v>
      </c>
      <c r="E54" s="165"/>
      <c r="F54" s="165"/>
      <c r="G54" s="316">
        <f>+EcopeGj!F78</f>
        <v>17965053.985760868</v>
      </c>
      <c r="H54" s="151"/>
      <c r="I54" s="151"/>
      <c r="J54" s="151"/>
      <c r="K54" s="151"/>
      <c r="L54" s="66">
        <f t="shared" si="3"/>
        <v>17965053.985760868</v>
      </c>
      <c r="M54" s="115">
        <f>+PROMIGAS!AU34</f>
        <v>6514441.4084403785</v>
      </c>
      <c r="N54" s="59"/>
      <c r="O54" s="956">
        <f t="shared" si="13"/>
        <v>6514441.4084403785</v>
      </c>
      <c r="P54" s="405">
        <f t="shared" si="14"/>
        <v>24479495.394201245</v>
      </c>
      <c r="Q54" s="411">
        <f t="shared" si="15"/>
        <v>46524.578583736897</v>
      </c>
      <c r="R54" s="1060">
        <f t="shared" si="4"/>
        <v>0</v>
      </c>
      <c r="S54" s="1053"/>
      <c r="T54" s="1053"/>
      <c r="U54" s="1053"/>
      <c r="V54" s="1053"/>
      <c r="W54" s="1053"/>
      <c r="X54" s="1053"/>
      <c r="Y54" s="1053"/>
      <c r="Z54" s="966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</row>
    <row r="55" spans="2:37" s="774" customFormat="1">
      <c r="B55" s="775" t="s">
        <v>50</v>
      </c>
      <c r="C55" s="776">
        <v>32</v>
      </c>
      <c r="D55" s="966">
        <f>+PROMIGAS!D35</f>
        <v>2789.2803040000003</v>
      </c>
      <c r="E55" s="165"/>
      <c r="F55" s="165"/>
      <c r="G55" s="316">
        <f>+EcopeGj!F79</f>
        <v>30615163.69799852</v>
      </c>
      <c r="H55" s="151"/>
      <c r="I55" s="151"/>
      <c r="J55" s="151"/>
      <c r="K55" s="151"/>
      <c r="L55" s="66">
        <f t="shared" si="3"/>
        <v>30615163.69799852</v>
      </c>
      <c r="M55" s="115">
        <f>+PROMIGAS!AU35</f>
        <v>11101591.471893111</v>
      </c>
      <c r="N55" s="59"/>
      <c r="O55" s="956">
        <f t="shared" si="13"/>
        <v>11101591.471893111</v>
      </c>
      <c r="P55" s="405">
        <f t="shared" si="14"/>
        <v>41716755.169891633</v>
      </c>
      <c r="Q55" s="411">
        <f t="shared" si="15"/>
        <v>79284.90448458711</v>
      </c>
      <c r="R55" s="1060">
        <f t="shared" si="4"/>
        <v>0</v>
      </c>
      <c r="S55" s="1053"/>
      <c r="T55" s="1053"/>
      <c r="U55" s="1053"/>
      <c r="V55" s="1053"/>
      <c r="W55" s="1053"/>
      <c r="X55" s="1053"/>
      <c r="Y55" s="1053"/>
      <c r="Z55" s="966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</row>
    <row r="56" spans="2:37" s="774" customFormat="1">
      <c r="B56" s="775" t="s">
        <v>51</v>
      </c>
      <c r="C56" s="776">
        <v>43</v>
      </c>
      <c r="D56" s="966">
        <f>+EcopeGj!C15+Chevron!C15</f>
        <v>701.06729210963249</v>
      </c>
      <c r="E56" s="165"/>
      <c r="F56" s="165"/>
      <c r="G56" s="111">
        <f>+EcopeGj!F15</f>
        <v>0</v>
      </c>
      <c r="H56" s="151">
        <f>+Chevron!F15</f>
        <v>7694920.3995271679</v>
      </c>
      <c r="I56" s="151"/>
      <c r="J56" s="151"/>
      <c r="K56" s="151"/>
      <c r="L56" s="66">
        <f t="shared" si="3"/>
        <v>7694920.3995271679</v>
      </c>
      <c r="M56" s="115">
        <f>+PROMIGAS!AU16</f>
        <v>2560188.0792761054</v>
      </c>
      <c r="N56" s="59"/>
      <c r="O56" s="956">
        <f t="shared" si="13"/>
        <v>2560188.0792761054</v>
      </c>
      <c r="P56" s="405">
        <f t="shared" si="14"/>
        <v>10255108.478803273</v>
      </c>
      <c r="Q56" s="411">
        <f t="shared" si="15"/>
        <v>19927.740217599992</v>
      </c>
      <c r="R56" s="1060">
        <f t="shared" si="4"/>
        <v>0</v>
      </c>
      <c r="S56" s="1053"/>
      <c r="T56" s="1053"/>
      <c r="U56" s="1053"/>
      <c r="V56" s="1053"/>
      <c r="W56" s="1053"/>
      <c r="X56" s="1053"/>
      <c r="Y56" s="1053"/>
      <c r="Z56" s="966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</row>
    <row r="57" spans="2:37" s="774" customFormat="1">
      <c r="B57" s="775" t="s">
        <v>52</v>
      </c>
      <c r="C57" s="776">
        <v>35</v>
      </c>
      <c r="D57" s="966">
        <f>+EcopeGj!C58</f>
        <v>1781.285296</v>
      </c>
      <c r="E57" s="165"/>
      <c r="F57" s="165"/>
      <c r="G57" s="111">
        <f>+EcopeGj!F58</f>
        <v>19551402.149031825</v>
      </c>
      <c r="H57" s="151"/>
      <c r="I57" s="151"/>
      <c r="J57" s="151"/>
      <c r="K57" s="151"/>
      <c r="L57" s="66">
        <f t="shared" si="3"/>
        <v>19551402.149031825</v>
      </c>
      <c r="M57" s="115">
        <f>+PROMIGAS!AU36</f>
        <v>7089678.8762045456</v>
      </c>
      <c r="N57" s="59"/>
      <c r="O57" s="956">
        <f t="shared" si="13"/>
        <v>7089678.8762045456</v>
      </c>
      <c r="P57" s="405">
        <f t="shared" si="14"/>
        <v>26641081.025236372</v>
      </c>
      <c r="Q57" s="411">
        <f t="shared" si="15"/>
        <v>50632.786654904601</v>
      </c>
      <c r="R57" s="1060">
        <f t="shared" si="4"/>
        <v>0</v>
      </c>
      <c r="S57" s="1053"/>
      <c r="T57" s="1053"/>
      <c r="U57" s="1053"/>
      <c r="V57" s="1053"/>
      <c r="W57" s="1053"/>
      <c r="X57" s="1053"/>
      <c r="Y57" s="1053"/>
      <c r="Z57" s="966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</row>
    <row r="58" spans="2:37" s="774" customFormat="1">
      <c r="B58" s="778" t="s">
        <v>342</v>
      </c>
      <c r="C58" s="776">
        <v>35</v>
      </c>
      <c r="D58" s="966">
        <f>+EcopeGj!C59</f>
        <v>380.46870400000006</v>
      </c>
      <c r="E58" s="165"/>
      <c r="F58" s="165"/>
      <c r="G58" s="111">
        <f>+EcopeGj!F59</f>
        <v>4176027.6434825263</v>
      </c>
      <c r="H58" s="151"/>
      <c r="I58" s="151"/>
      <c r="J58" s="151"/>
      <c r="K58" s="151"/>
      <c r="L58" s="66">
        <f t="shared" si="3"/>
        <v>4176027.6434825263</v>
      </c>
      <c r="M58" s="115">
        <f>+PROMIGAS!AU37</f>
        <v>1514300.3424902917</v>
      </c>
      <c r="N58" s="59"/>
      <c r="O58" s="956">
        <f>SUM(M58:N58)</f>
        <v>1514300.3424902917</v>
      </c>
      <c r="P58" s="405">
        <f>+O58+L58</f>
        <v>5690327.985972818</v>
      </c>
      <c r="Q58" s="411">
        <f t="shared" si="15"/>
        <v>10814.769965125257</v>
      </c>
      <c r="R58" s="1060">
        <f t="shared" si="4"/>
        <v>0</v>
      </c>
      <c r="S58" s="1053"/>
      <c r="T58" s="1053"/>
      <c r="U58" s="1053"/>
      <c r="V58" s="1053"/>
      <c r="W58" s="1053"/>
      <c r="X58" s="1053"/>
      <c r="Y58" s="1053"/>
      <c r="Z58" s="966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</row>
    <row r="59" spans="2:37" s="774" customFormat="1">
      <c r="B59" s="775" t="s">
        <v>53</v>
      </c>
      <c r="C59" s="779">
        <v>16</v>
      </c>
      <c r="D59" s="966">
        <f>+PROMIGAS!D39</f>
        <v>125.99937600000001</v>
      </c>
      <c r="E59" s="165"/>
      <c r="F59" s="165"/>
      <c r="G59" s="316">
        <f>+EcopeGj!F80</f>
        <v>1382970.1936208366</v>
      </c>
      <c r="H59" s="151"/>
      <c r="I59" s="151"/>
      <c r="J59" s="151"/>
      <c r="K59" s="151"/>
      <c r="L59" s="66">
        <f t="shared" si="3"/>
        <v>1382970.1936208366</v>
      </c>
      <c r="M59" s="115">
        <f>+PROMIGAS!AU39</f>
        <v>501489.07446107065</v>
      </c>
      <c r="N59" s="59"/>
      <c r="O59" s="956">
        <f t="shared" si="13"/>
        <v>501489.07446107065</v>
      </c>
      <c r="P59" s="405">
        <f t="shared" si="14"/>
        <v>1884459.2680819072</v>
      </c>
      <c r="Q59" s="411">
        <f t="shared" si="15"/>
        <v>3581.5147287103123</v>
      </c>
      <c r="R59" s="1060">
        <f t="shared" si="4"/>
        <v>0</v>
      </c>
      <c r="S59" s="1053"/>
      <c r="T59" s="1053"/>
      <c r="U59" s="1053"/>
      <c r="V59" s="1053"/>
      <c r="W59" s="1053"/>
      <c r="X59" s="1053"/>
      <c r="Y59" s="1053"/>
      <c r="Z59" s="966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</row>
    <row r="60" spans="2:37" s="774" customFormat="1">
      <c r="B60" s="775" t="s">
        <v>54</v>
      </c>
      <c r="C60" s="776">
        <v>45</v>
      </c>
      <c r="D60" s="966">
        <f>+EcopeGj!C60</f>
        <v>1256.3731308720005</v>
      </c>
      <c r="E60" s="165"/>
      <c r="F60" s="165"/>
      <c r="G60" s="111">
        <f>+EcopeGj!F60</f>
        <v>13789961.880938737</v>
      </c>
      <c r="H60" s="151"/>
      <c r="I60" s="151"/>
      <c r="J60" s="151"/>
      <c r="K60" s="151"/>
      <c r="L60" s="66">
        <f t="shared" si="3"/>
        <v>13789961.880938737</v>
      </c>
      <c r="M60" s="115">
        <f>+PROMIGAS!AU40</f>
        <v>5000480.3085592818</v>
      </c>
      <c r="N60" s="59"/>
      <c r="O60" s="956">
        <f t="shared" si="13"/>
        <v>5000480.3085592818</v>
      </c>
      <c r="P60" s="405">
        <f t="shared" si="14"/>
        <v>18790442.189498018</v>
      </c>
      <c r="Q60" s="411">
        <f t="shared" si="15"/>
        <v>35712.231407986954</v>
      </c>
      <c r="R60" s="1060">
        <f t="shared" si="4"/>
        <v>0</v>
      </c>
      <c r="S60" s="1053"/>
      <c r="T60" s="1053"/>
      <c r="U60" s="1053"/>
      <c r="V60" s="1053"/>
      <c r="W60" s="1053"/>
      <c r="X60" s="1053"/>
      <c r="Y60" s="1053"/>
      <c r="Z60" s="966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</row>
    <row r="61" spans="2:37" s="774" customFormat="1">
      <c r="B61" s="778" t="s">
        <v>150</v>
      </c>
      <c r="C61" s="776">
        <v>10</v>
      </c>
      <c r="D61" s="967">
        <f>+EcopeGj!C61</f>
        <v>435.43866553846146</v>
      </c>
      <c r="E61" s="165"/>
      <c r="F61" s="414"/>
      <c r="G61" s="784">
        <f>+EcopeGj!F61</f>
        <v>4779378.3962051105</v>
      </c>
      <c r="H61" s="151"/>
      <c r="I61" s="151"/>
      <c r="J61" s="151"/>
      <c r="K61" s="151"/>
      <c r="L61" s="66">
        <f t="shared" si="3"/>
        <v>4779378.3962051105</v>
      </c>
      <c r="M61" s="784">
        <f>+PROMIGAS!AU38</f>
        <v>1733085.8318333791</v>
      </c>
      <c r="N61" s="59"/>
      <c r="O61" s="960">
        <f t="shared" si="13"/>
        <v>1733085.8318333791</v>
      </c>
      <c r="P61" s="407">
        <f t="shared" si="14"/>
        <v>6512464.2280384898</v>
      </c>
      <c r="Q61" s="411">
        <f t="shared" si="15"/>
        <v>12377.283472228964</v>
      </c>
      <c r="R61" s="1060">
        <f t="shared" si="4"/>
        <v>0</v>
      </c>
      <c r="S61" s="1053"/>
      <c r="T61" s="1053"/>
      <c r="U61" s="1053"/>
      <c r="V61" s="1053"/>
      <c r="W61" s="1053"/>
      <c r="X61" s="1053"/>
      <c r="Y61" s="1053"/>
      <c r="Z61" s="967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</row>
    <row r="62" spans="2:37" s="774" customFormat="1">
      <c r="B62" s="775" t="s">
        <v>55</v>
      </c>
      <c r="C62" s="776">
        <v>44</v>
      </c>
      <c r="D62" s="966">
        <f>+Chevron!C16+Chevron!C16</f>
        <v>844.93699200000003</v>
      </c>
      <c r="E62" s="165"/>
      <c r="F62" s="165"/>
      <c r="G62" s="111">
        <f>+EcopeGj!F16</f>
        <v>0</v>
      </c>
      <c r="H62" s="151">
        <f>+Chevron!F16</f>
        <v>4637017.7080228049</v>
      </c>
      <c r="I62" s="151"/>
      <c r="J62" s="151"/>
      <c r="K62" s="151"/>
      <c r="L62" s="66">
        <f t="shared" si="3"/>
        <v>4637017.7080228049</v>
      </c>
      <c r="M62" s="115">
        <f>+PROMIGAS!AU17</f>
        <v>1542788.8585048488</v>
      </c>
      <c r="N62" s="59"/>
      <c r="O62" s="956">
        <f t="shared" si="13"/>
        <v>1542788.8585048488</v>
      </c>
      <c r="P62" s="405">
        <f t="shared" si="14"/>
        <v>6179806.5665276535</v>
      </c>
      <c r="Q62" s="411">
        <f t="shared" si="15"/>
        <v>24017.216416057385</v>
      </c>
      <c r="R62" s="1060">
        <f t="shared" si="4"/>
        <v>0</v>
      </c>
      <c r="S62" s="1053"/>
      <c r="T62" s="1053"/>
      <c r="U62" s="1053"/>
      <c r="V62" s="1053"/>
      <c r="W62" s="1053"/>
      <c r="X62" s="1053"/>
      <c r="Y62" s="1053"/>
      <c r="Z62" s="966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</row>
    <row r="63" spans="2:37" s="774" customFormat="1">
      <c r="B63" s="775" t="s">
        <v>56</v>
      </c>
      <c r="C63" s="776">
        <v>46</v>
      </c>
      <c r="D63" s="966">
        <f>+EcopeGj!C17+Chevron!C17</f>
        <v>2515.740020781398</v>
      </c>
      <c r="E63" s="165"/>
      <c r="F63" s="165"/>
      <c r="G63" s="111">
        <f>+EcopeGj!F17</f>
        <v>0</v>
      </c>
      <c r="H63" s="151">
        <f>+Chevron!F17</f>
        <v>27612783.285845298</v>
      </c>
      <c r="I63" s="151"/>
      <c r="J63" s="151"/>
      <c r="K63" s="151"/>
      <c r="L63" s="66">
        <f t="shared" si="3"/>
        <v>27612783.285845298</v>
      </c>
      <c r="M63" s="115">
        <f>+PROMIGAS!AU18</f>
        <v>9187089.0059368983</v>
      </c>
      <c r="N63" s="59"/>
      <c r="O63" s="956">
        <f t="shared" si="13"/>
        <v>9187089.0059368983</v>
      </c>
      <c r="P63" s="405">
        <f t="shared" si="14"/>
        <v>36799872.2917822</v>
      </c>
      <c r="Q63" s="411">
        <f t="shared" si="15"/>
        <v>71509.560000000012</v>
      </c>
      <c r="R63" s="1060">
        <f t="shared" si="4"/>
        <v>0</v>
      </c>
      <c r="S63" s="1053"/>
      <c r="T63" s="1053"/>
      <c r="U63" s="1053"/>
      <c r="V63" s="1053"/>
      <c r="W63" s="1053"/>
      <c r="X63" s="1053"/>
      <c r="Y63" s="1053"/>
      <c r="Z63" s="966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</row>
    <row r="64" spans="2:37" s="774" customFormat="1">
      <c r="B64" s="987" t="s">
        <v>503</v>
      </c>
      <c r="C64" s="59">
        <v>80</v>
      </c>
      <c r="D64" s="966">
        <f>+EcopeGj!C81</f>
        <v>0</v>
      </c>
      <c r="E64" s="165"/>
      <c r="F64" s="165"/>
      <c r="G64" s="111">
        <f>+EcopeGj!F81</f>
        <v>0</v>
      </c>
      <c r="H64" s="151"/>
      <c r="I64" s="151"/>
      <c r="J64" s="151"/>
      <c r="K64" s="151"/>
      <c r="L64" s="66">
        <f t="shared" si="3"/>
        <v>0</v>
      </c>
      <c r="M64" s="115">
        <f>+PROMIGAS!AU21</f>
        <v>0</v>
      </c>
      <c r="N64" s="59"/>
      <c r="O64" s="956">
        <f>SUM(M64:N64)</f>
        <v>0</v>
      </c>
      <c r="P64" s="405">
        <f>+O64+L64</f>
        <v>0</v>
      </c>
      <c r="Q64" s="411">
        <f>D64*1000000/$P$1/35.314667</f>
        <v>0</v>
      </c>
      <c r="R64" s="1060">
        <f t="shared" si="4"/>
        <v>0</v>
      </c>
      <c r="S64" s="1053"/>
      <c r="T64" s="1053"/>
      <c r="U64" s="1053"/>
      <c r="V64" s="1053"/>
      <c r="W64" s="1053"/>
      <c r="X64" s="1053"/>
      <c r="Y64" s="1053"/>
      <c r="Z64" s="966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</row>
    <row r="65" spans="2:37" s="774" customFormat="1">
      <c r="B65" s="987" t="s">
        <v>506</v>
      </c>
      <c r="C65" s="59">
        <v>76</v>
      </c>
      <c r="D65" s="966">
        <f>+EcopeGj!C82</f>
        <v>0</v>
      </c>
      <c r="E65" s="165"/>
      <c r="F65" s="165"/>
      <c r="G65" s="111">
        <f>+EcopeGj!F82</f>
        <v>0</v>
      </c>
      <c r="H65" s="151"/>
      <c r="I65" s="151"/>
      <c r="J65" s="151"/>
      <c r="K65" s="151"/>
      <c r="L65" s="66">
        <f t="shared" si="3"/>
        <v>0</v>
      </c>
      <c r="M65" s="115">
        <f>+PROMIGAS!AU22</f>
        <v>0</v>
      </c>
      <c r="N65" s="59"/>
      <c r="O65" s="956">
        <f>SUM(M65:N65)</f>
        <v>0</v>
      </c>
      <c r="P65" s="405">
        <f>+O65+L65</f>
        <v>0</v>
      </c>
      <c r="Q65" s="411">
        <f>D65*1000000/$P$1/35.314667</f>
        <v>0</v>
      </c>
      <c r="R65" s="1060">
        <f t="shared" si="4"/>
        <v>0</v>
      </c>
      <c r="S65" s="1053"/>
      <c r="T65" s="1053"/>
      <c r="U65" s="1053"/>
      <c r="V65" s="1053"/>
      <c r="W65" s="1053"/>
      <c r="X65" s="1053"/>
      <c r="Y65" s="1053"/>
      <c r="Z65" s="966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</row>
    <row r="66" spans="2:37" s="774" customFormat="1">
      <c r="B66" s="987" t="s">
        <v>507</v>
      </c>
      <c r="C66" s="59">
        <v>78</v>
      </c>
      <c r="D66" s="966">
        <f>+EcopeGj!C83</f>
        <v>2589.8266293430056</v>
      </c>
      <c r="E66" s="165"/>
      <c r="F66" s="165"/>
      <c r="G66" s="111">
        <f>+EcopeGj!F83</f>
        <v>28425958.514484189</v>
      </c>
      <c r="H66" s="151"/>
      <c r="I66" s="151"/>
      <c r="J66" s="151"/>
      <c r="K66" s="151"/>
      <c r="L66" s="66">
        <f t="shared" si="3"/>
        <v>28425958.514484189</v>
      </c>
      <c r="M66" s="115">
        <f>+PROMIGAS!AU23</f>
        <v>10307747.550780393</v>
      </c>
      <c r="N66" s="59"/>
      <c r="O66" s="956">
        <f>SUM(M66:N66)</f>
        <v>10307747.550780393</v>
      </c>
      <c r="P66" s="405">
        <f>+O66+L66</f>
        <v>38733706.065264583</v>
      </c>
      <c r="Q66" s="411">
        <f>D66*1000000/$P$1/35.314667</f>
        <v>73615.461538461546</v>
      </c>
      <c r="R66" s="1060">
        <f t="shared" si="4"/>
        <v>0</v>
      </c>
      <c r="S66" s="1053"/>
      <c r="T66" s="1053"/>
      <c r="U66" s="1053"/>
      <c r="V66" s="1053"/>
      <c r="W66" s="1053"/>
      <c r="X66" s="1053"/>
      <c r="Y66" s="1053"/>
      <c r="Z66" s="966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</row>
    <row r="67" spans="2:37" s="774" customFormat="1" ht="12.75" customHeight="1">
      <c r="B67" s="783"/>
      <c r="C67" s="154"/>
      <c r="D67" s="970"/>
      <c r="E67" s="421"/>
      <c r="F67" s="421"/>
      <c r="G67" s="113"/>
      <c r="H67" s="153"/>
      <c r="I67" s="153"/>
      <c r="J67" s="153"/>
      <c r="K67" s="153"/>
      <c r="L67" s="68"/>
      <c r="M67" s="132"/>
      <c r="N67" s="950"/>
      <c r="O67" s="959"/>
      <c r="P67" s="305"/>
      <c r="Q67" s="412"/>
      <c r="R67" s="1060">
        <f t="shared" si="4"/>
        <v>0</v>
      </c>
      <c r="S67" s="1057"/>
      <c r="T67" s="1057"/>
      <c r="U67" s="1057"/>
      <c r="V67" s="1057"/>
      <c r="W67" s="1057"/>
      <c r="X67" s="1057"/>
      <c r="Y67" s="1057"/>
      <c r="Z67" s="970"/>
      <c r="AB67" s="15"/>
      <c r="AC67" s="15"/>
      <c r="AD67" s="15"/>
      <c r="AE67" s="15"/>
      <c r="AF67" s="15"/>
      <c r="AG67" s="15"/>
      <c r="AH67" s="15"/>
      <c r="AI67" s="15"/>
      <c r="AJ67" s="15"/>
      <c r="AK67" s="15"/>
    </row>
    <row r="68" spans="2:37" s="774" customFormat="1">
      <c r="B68" s="775" t="s">
        <v>57</v>
      </c>
      <c r="C68" s="776">
        <v>1</v>
      </c>
      <c r="D68" s="966">
        <f>+EcopeGj!C18+Chevron!C19</f>
        <v>14929.904567846155</v>
      </c>
      <c r="E68" s="165"/>
      <c r="F68" s="165"/>
      <c r="G68" s="111">
        <f>+EcopeGj!F18</f>
        <v>0</v>
      </c>
      <c r="H68" s="151">
        <f>+Chevron!F19</f>
        <v>163870756.08163971</v>
      </c>
      <c r="I68" s="151"/>
      <c r="J68" s="151"/>
      <c r="K68" s="151"/>
      <c r="L68" s="66">
        <f t="shared" si="3"/>
        <v>163870756.08163971</v>
      </c>
      <c r="M68" s="115">
        <f>+PROMIGAS!AU12</f>
        <v>54521675.921164297</v>
      </c>
      <c r="N68" s="59"/>
      <c r="O68" s="956">
        <f>SUM(M68:N68)</f>
        <v>54521675.921164297</v>
      </c>
      <c r="P68" s="405">
        <f>+O68+L68</f>
        <v>218392432.00280401</v>
      </c>
      <c r="Q68" s="411">
        <f>D68*1000000/$P$1/35.314667</f>
        <v>424380.45969354932</v>
      </c>
      <c r="R68" s="1060">
        <f t="shared" si="4"/>
        <v>0</v>
      </c>
      <c r="S68" s="1053"/>
      <c r="T68" s="1053"/>
      <c r="U68" s="1053"/>
      <c r="V68" s="1053"/>
      <c r="W68" s="1053"/>
      <c r="X68" s="1053"/>
      <c r="Y68" s="1053"/>
      <c r="Z68" s="966"/>
      <c r="AB68" s="15"/>
      <c r="AC68" s="15"/>
      <c r="AD68" s="15"/>
      <c r="AE68" s="15"/>
      <c r="AF68" s="15"/>
      <c r="AG68" s="15"/>
      <c r="AH68" s="15"/>
      <c r="AI68" s="15"/>
      <c r="AJ68" s="15"/>
      <c r="AK68" s="15"/>
    </row>
    <row r="69" spans="2:37" s="774" customFormat="1">
      <c r="B69" s="775" t="s">
        <v>58</v>
      </c>
      <c r="C69" s="776">
        <v>1</v>
      </c>
      <c r="D69" s="966">
        <f>+EcopeGj!C19+Chevron!C20</f>
        <v>10600.766505230766</v>
      </c>
      <c r="E69" s="165"/>
      <c r="F69" s="165"/>
      <c r="G69" s="111">
        <f>+EcopeGj!F19</f>
        <v>0</v>
      </c>
      <c r="H69" s="151">
        <f>+Chevron!F20</f>
        <v>116354100.88275573</v>
      </c>
      <c r="I69" s="151"/>
      <c r="J69" s="151"/>
      <c r="K69" s="151"/>
      <c r="L69" s="66">
        <f t="shared" si="3"/>
        <v>116354100.88275573</v>
      </c>
      <c r="M69" s="115">
        <f>+PROMIGAS!AU19</f>
        <v>38712340.945492432</v>
      </c>
      <c r="N69" s="59"/>
      <c r="O69" s="956">
        <f>SUM(M69:N69)</f>
        <v>38712340.945492432</v>
      </c>
      <c r="P69" s="405">
        <f>+O69+L69</f>
        <v>155066441.82824814</v>
      </c>
      <c r="Q69" s="411">
        <f>D69*1000000/$P$1/35.314667</f>
        <v>301325.31270712742</v>
      </c>
      <c r="R69" s="1060">
        <f t="shared" si="4"/>
        <v>0</v>
      </c>
      <c r="S69" s="1053"/>
      <c r="T69" s="1053"/>
      <c r="U69" s="1053"/>
      <c r="V69" s="1053"/>
      <c r="W69" s="1053"/>
      <c r="X69" s="1053"/>
      <c r="Y69" s="1053"/>
      <c r="Z69" s="966"/>
      <c r="AB69" s="15"/>
      <c r="AC69" s="15"/>
      <c r="AD69" s="15"/>
      <c r="AE69" s="15"/>
      <c r="AF69" s="15"/>
      <c r="AG69" s="15"/>
      <c r="AH69" s="15"/>
      <c r="AI69" s="15"/>
      <c r="AJ69" s="15"/>
      <c r="AK69" s="15"/>
    </row>
    <row r="70" spans="2:37" s="774" customFormat="1">
      <c r="B70" s="775" t="s">
        <v>181</v>
      </c>
      <c r="C70" s="776">
        <v>1</v>
      </c>
      <c r="D70" s="966">
        <f>+EcopeGj!C21+Chevron!C22+PACIFIC!C5</f>
        <v>75586.168087461541</v>
      </c>
      <c r="E70" s="165"/>
      <c r="F70" s="165"/>
      <c r="G70" s="111">
        <f>+EcopeGj!F21</f>
        <v>534793169.10127503</v>
      </c>
      <c r="H70" s="151">
        <f>+Chevron!F22</f>
        <v>213649846.00224382</v>
      </c>
      <c r="I70" s="151"/>
      <c r="J70" s="151"/>
      <c r="K70" s="151"/>
      <c r="L70" s="66">
        <f t="shared" si="3"/>
        <v>748443015.10351884</v>
      </c>
      <c r="M70" s="115">
        <f>+PROMIGAS!AU9</f>
        <v>274575707.55486542</v>
      </c>
      <c r="N70" s="59"/>
      <c r="O70" s="956">
        <f>SUM(M70:N70)</f>
        <v>274575707.55486542</v>
      </c>
      <c r="P70" s="405">
        <f>+O70+L70</f>
        <v>1023018722.6583843</v>
      </c>
      <c r="Q70" s="411">
        <f>D70*1000000/$P$1/35.314667</f>
        <v>2148526.3093050309</v>
      </c>
      <c r="R70" s="1060">
        <f t="shared" si="4"/>
        <v>0</v>
      </c>
      <c r="S70" s="1053"/>
      <c r="T70" s="1053"/>
      <c r="U70" s="1053"/>
      <c r="V70" s="1053"/>
      <c r="W70" s="1053"/>
      <c r="X70" s="1053"/>
      <c r="Y70" s="1053">
        <f>+PACIFIC!C5</f>
        <v>0</v>
      </c>
      <c r="Z70" s="966"/>
      <c r="AB70" s="15"/>
      <c r="AC70" s="15"/>
      <c r="AD70" s="15"/>
      <c r="AE70" s="15"/>
      <c r="AF70" s="15"/>
      <c r="AG70" s="15"/>
      <c r="AH70" s="15"/>
      <c r="AI70" s="15"/>
      <c r="AJ70" s="15"/>
      <c r="AK70" s="15"/>
    </row>
    <row r="71" spans="2:37" s="774" customFormat="1">
      <c r="B71" s="785" t="s">
        <v>463</v>
      </c>
      <c r="C71" s="776">
        <v>1</v>
      </c>
      <c r="D71" s="966">
        <f>+EcopeGj!C20+Chevron!C21</f>
        <v>20562.753477999999</v>
      </c>
      <c r="E71" s="165"/>
      <c r="F71" s="165"/>
      <c r="G71" s="111">
        <f>+EcopeGj!F20</f>
        <v>0</v>
      </c>
      <c r="H71" s="151">
        <f>+Chevron!F21</f>
        <v>225696952.33131301</v>
      </c>
      <c r="I71" s="151"/>
      <c r="J71" s="151"/>
      <c r="K71" s="151"/>
      <c r="L71" s="66">
        <f t="shared" si="3"/>
        <v>225696952.33131301</v>
      </c>
      <c r="M71" s="115">
        <f>+PROMIGAS!AU13</f>
        <v>75091958.965953827</v>
      </c>
      <c r="N71" s="59"/>
      <c r="O71" s="956">
        <f>SUM(M71:N71)</f>
        <v>75091958.965953827</v>
      </c>
      <c r="P71" s="405">
        <f>+O71+L71</f>
        <v>300788911.29726684</v>
      </c>
      <c r="Q71" s="411">
        <f>D71*1000000/$P$1/35.314667</f>
        <v>584493.40609667927</v>
      </c>
      <c r="R71" s="1060">
        <f t="shared" si="4"/>
        <v>0</v>
      </c>
      <c r="S71" s="1053"/>
      <c r="T71" s="1053"/>
      <c r="U71" s="1053"/>
      <c r="V71" s="1053"/>
      <c r="W71" s="1053"/>
      <c r="X71" s="1053"/>
      <c r="Y71" s="1053"/>
      <c r="Z71" s="966"/>
      <c r="AB71" s="15"/>
      <c r="AC71" s="15"/>
      <c r="AD71" s="15"/>
      <c r="AE71" s="15"/>
      <c r="AF71" s="15"/>
      <c r="AG71" s="15"/>
      <c r="AH71" s="15"/>
      <c r="AI71" s="15"/>
      <c r="AJ71" s="15"/>
      <c r="AK71" s="15"/>
    </row>
    <row r="72" spans="2:37" s="774" customFormat="1">
      <c r="B72" s="775" t="s">
        <v>182</v>
      </c>
      <c r="C72" s="776">
        <v>1</v>
      </c>
      <c r="D72" s="966">
        <f>+EcopeGj!C22+EcopeGj!C23+Chevron!C23+Chevron!C24</f>
        <v>1368.6373396000001</v>
      </c>
      <c r="E72" s="165"/>
      <c r="F72" s="165"/>
      <c r="G72" s="111">
        <f>+EcopeGj!F22+EcopeGj!F23</f>
        <v>0</v>
      </c>
      <c r="H72" s="151">
        <f>+Chevron!F23+Chevron!F24</f>
        <v>15022174.764923586</v>
      </c>
      <c r="I72" s="151"/>
      <c r="J72" s="151"/>
      <c r="K72" s="151"/>
      <c r="L72" s="66">
        <f t="shared" si="3"/>
        <v>15022174.764923586</v>
      </c>
      <c r="M72" s="115">
        <f>+PROMIGAS!AU20</f>
        <v>4998049.4613463348</v>
      </c>
      <c r="N72" s="59"/>
      <c r="O72" s="956">
        <f>SUM(M72:N72)</f>
        <v>4998049.4613463348</v>
      </c>
      <c r="P72" s="405">
        <f>+O72+L72</f>
        <v>20020224.226269919</v>
      </c>
      <c r="Q72" s="411">
        <f>D72*1000000/$P$1/35.314667</f>
        <v>38903.32591837833</v>
      </c>
      <c r="R72" s="1060">
        <f t="shared" si="4"/>
        <v>0</v>
      </c>
      <c r="S72" s="1053"/>
      <c r="T72" s="1053"/>
      <c r="U72" s="1053"/>
      <c r="V72" s="1053"/>
      <c r="W72" s="1053"/>
      <c r="X72" s="1053"/>
      <c r="Y72" s="1053"/>
      <c r="Z72" s="966"/>
      <c r="AB72" s="15"/>
      <c r="AC72" s="15"/>
      <c r="AD72" s="15"/>
      <c r="AE72" s="15"/>
      <c r="AF72" s="15"/>
      <c r="AG72" s="15"/>
      <c r="AH72" s="15"/>
      <c r="AI72" s="15"/>
      <c r="AJ72" s="15"/>
      <c r="AK72" s="15"/>
    </row>
    <row r="73" spans="2:37" s="774" customFormat="1" ht="7.15" customHeight="1">
      <c r="B73" s="783"/>
      <c r="C73" s="154"/>
      <c r="D73" s="970"/>
      <c r="E73" s="421"/>
      <c r="F73" s="421"/>
      <c r="G73" s="113"/>
      <c r="H73" s="153"/>
      <c r="I73" s="153"/>
      <c r="J73" s="153"/>
      <c r="K73" s="153"/>
      <c r="L73" s="68"/>
      <c r="M73" s="116"/>
      <c r="N73" s="154"/>
      <c r="O73" s="959"/>
      <c r="P73" s="305"/>
      <c r="Q73" s="412"/>
      <c r="R73" s="1060">
        <f t="shared" si="4"/>
        <v>0</v>
      </c>
      <c r="S73" s="1057"/>
      <c r="T73" s="1057"/>
      <c r="U73" s="1057"/>
      <c r="V73" s="1057"/>
      <c r="W73" s="1057"/>
      <c r="X73" s="1057"/>
      <c r="Y73" s="1057"/>
      <c r="Z73" s="970"/>
      <c r="AA73" s="13"/>
      <c r="AB73" s="15"/>
      <c r="AC73" s="15"/>
      <c r="AD73" s="15"/>
      <c r="AE73" s="15"/>
      <c r="AF73" s="15"/>
      <c r="AG73" s="15"/>
      <c r="AH73" s="15"/>
      <c r="AI73" s="15"/>
      <c r="AJ73" s="15"/>
      <c r="AK73" s="15"/>
    </row>
    <row r="74" spans="2:37" s="774" customFormat="1">
      <c r="B74" s="775" t="s">
        <v>59</v>
      </c>
      <c r="C74" s="776">
        <v>1</v>
      </c>
      <c r="D74" s="966">
        <f>+EcopeGj!C24+Chevron!C25</f>
        <v>12838.240379400948</v>
      </c>
      <c r="E74" s="165"/>
      <c r="F74" s="165"/>
      <c r="G74" s="111">
        <f>+EcopeGj!F24</f>
        <v>0</v>
      </c>
      <c r="H74" s="151">
        <f>+Chevron!F25</f>
        <v>140912632.64074394</v>
      </c>
      <c r="I74" s="151"/>
      <c r="J74" s="151"/>
      <c r="K74" s="151"/>
      <c r="L74" s="66">
        <f t="shared" si="3"/>
        <v>140912632.64074394</v>
      </c>
      <c r="M74" s="115">
        <f>+PROMIGAS!AU10</f>
        <v>46826611.334588237</v>
      </c>
      <c r="N74" s="59"/>
      <c r="O74" s="956">
        <f>SUM(M74:N74)</f>
        <v>46826611.334588237</v>
      </c>
      <c r="P74" s="405">
        <f>+O74+L74</f>
        <v>187739243.97533217</v>
      </c>
      <c r="Q74" s="411">
        <f>D74*1000000/$P$1/35.314667</f>
        <v>364925.19621325709</v>
      </c>
      <c r="R74" s="1060">
        <f t="shared" si="4"/>
        <v>0</v>
      </c>
      <c r="S74" s="1053"/>
      <c r="T74" s="1053"/>
      <c r="U74" s="1053"/>
      <c r="V74" s="1053"/>
      <c r="W74" s="1053"/>
      <c r="X74" s="1053"/>
      <c r="Y74" s="1053"/>
      <c r="Z74" s="966"/>
      <c r="AB74" s="15"/>
      <c r="AC74" s="15"/>
      <c r="AD74" s="15"/>
      <c r="AE74" s="15"/>
      <c r="AF74" s="15"/>
      <c r="AG74" s="15"/>
      <c r="AH74" s="15"/>
      <c r="AI74" s="15"/>
      <c r="AJ74" s="15"/>
      <c r="AK74" s="15"/>
    </row>
    <row r="75" spans="2:37" s="774" customFormat="1">
      <c r="B75" s="775" t="s">
        <v>60</v>
      </c>
      <c r="C75" s="776">
        <v>1</v>
      </c>
      <c r="D75" s="966">
        <f>+EcopeGj!C25+Chevron!C26</f>
        <v>13192.044396153842</v>
      </c>
      <c r="E75" s="165"/>
      <c r="F75" s="165"/>
      <c r="G75" s="111">
        <f>+EcopeGj!F25</f>
        <v>144795501.16380003</v>
      </c>
      <c r="H75" s="151">
        <f>+Chevron!F26</f>
        <v>487.29255194985041</v>
      </c>
      <c r="I75" s="151"/>
      <c r="J75" s="151"/>
      <c r="K75" s="151"/>
      <c r="L75" s="66">
        <f t="shared" ref="L75:L77" si="16">SUM(E75:K75)</f>
        <v>144795988.456352</v>
      </c>
      <c r="M75" s="115">
        <f>+PROMIGAS!AU11</f>
        <v>62287876.89641501</v>
      </c>
      <c r="N75" s="59"/>
      <c r="O75" s="956">
        <f>SUM(M75:N75)</f>
        <v>62287876.89641501</v>
      </c>
      <c r="P75" s="405">
        <f>+O75+L75</f>
        <v>207083865.35276699</v>
      </c>
      <c r="Q75" s="411">
        <f>D75*1000000/$P$1/35.314667</f>
        <v>374982.02615404472</v>
      </c>
      <c r="R75" s="1060">
        <f t="shared" si="4"/>
        <v>0</v>
      </c>
      <c r="S75" s="1053"/>
      <c r="T75" s="1053"/>
      <c r="U75" s="1053"/>
      <c r="V75" s="1053"/>
      <c r="W75" s="1053"/>
      <c r="X75" s="1053"/>
      <c r="Y75" s="1053"/>
      <c r="Z75" s="966"/>
      <c r="AB75" s="15"/>
      <c r="AC75" s="15"/>
      <c r="AD75" s="15"/>
      <c r="AE75" s="15"/>
      <c r="AF75" s="15"/>
      <c r="AG75" s="15"/>
      <c r="AH75" s="15"/>
      <c r="AI75" s="15"/>
      <c r="AJ75" s="15"/>
      <c r="AK75" s="15"/>
    </row>
    <row r="76" spans="2:37" s="774" customFormat="1">
      <c r="B76" s="775" t="s">
        <v>61</v>
      </c>
      <c r="C76" s="776">
        <v>2</v>
      </c>
      <c r="D76" s="966">
        <f>+EcopeGj!C62+Chevron!C57</f>
        <v>14533.974253005081</v>
      </c>
      <c r="E76" s="165"/>
      <c r="F76" s="165"/>
      <c r="G76" s="111">
        <f>+EcopeGj!F62</f>
        <v>0</v>
      </c>
      <c r="H76" s="151">
        <f>+Chevron!F57</f>
        <v>159525021.66962072</v>
      </c>
      <c r="I76" s="151"/>
      <c r="J76" s="151"/>
      <c r="K76" s="151"/>
      <c r="L76" s="66">
        <f t="shared" si="16"/>
        <v>159525021.66962072</v>
      </c>
      <c r="M76" s="115">
        <f>+PROMIGAS!AU66</f>
        <v>56450030.941811152</v>
      </c>
      <c r="N76" s="59"/>
      <c r="O76" s="956">
        <f>SUM(M76:N76)</f>
        <v>56450030.941811152</v>
      </c>
      <c r="P76" s="405">
        <f>+O76+L76</f>
        <v>215975052.61143187</v>
      </c>
      <c r="Q76" s="411">
        <f>D76*1000000/$P$1/35.314667</f>
        <v>413126.19559190632</v>
      </c>
      <c r="R76" s="1060">
        <f t="shared" si="4"/>
        <v>0</v>
      </c>
      <c r="S76" s="1053"/>
      <c r="T76" s="1053"/>
      <c r="U76" s="1053"/>
      <c r="V76" s="1053"/>
      <c r="W76" s="1053"/>
      <c r="X76" s="1053"/>
      <c r="Y76" s="1053"/>
      <c r="Z76" s="966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</row>
    <row r="77" spans="2:37" s="774" customFormat="1">
      <c r="B77" s="775" t="s">
        <v>217</v>
      </c>
      <c r="C77" s="776">
        <v>2</v>
      </c>
      <c r="D77" s="966">
        <f>+EcopeGj!C63+Chevron!C58</f>
        <v>26159.215800000002</v>
      </c>
      <c r="E77" s="165"/>
      <c r="F77" s="165"/>
      <c r="G77" s="111">
        <f>+EcopeGj!F63</f>
        <v>0</v>
      </c>
      <c r="H77" s="151">
        <f>+Chevron!F58</f>
        <v>287123769.08831078</v>
      </c>
      <c r="I77" s="151"/>
      <c r="J77" s="151"/>
      <c r="K77" s="151"/>
      <c r="L77" s="66">
        <f t="shared" si="16"/>
        <v>287123769.08831078</v>
      </c>
      <c r="M77" s="115">
        <f>+PROMIGAS!AU67</f>
        <v>104116078.48097132</v>
      </c>
      <c r="N77" s="59"/>
      <c r="O77" s="956">
        <f>SUM(M77:N77)</f>
        <v>104116078.48097132</v>
      </c>
      <c r="P77" s="405">
        <f>+O77+L77</f>
        <v>391239847.56928211</v>
      </c>
      <c r="Q77" s="411">
        <f>D77*1000000/$P$1/35.314667</f>
        <v>743572.06879509869</v>
      </c>
      <c r="R77" s="1060">
        <f t="shared" si="4"/>
        <v>0</v>
      </c>
      <c r="S77" s="1053"/>
      <c r="T77" s="1053"/>
      <c r="U77" s="1053"/>
      <c r="V77" s="1053"/>
      <c r="W77" s="1053"/>
      <c r="X77" s="1053"/>
      <c r="Y77" s="1053"/>
      <c r="Z77" s="966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</row>
    <row r="78" spans="2:37" s="774" customFormat="1" ht="9" customHeight="1">
      <c r="B78" s="783"/>
      <c r="C78" s="154"/>
      <c r="D78" s="970"/>
      <c r="E78" s="421"/>
      <c r="F78" s="421"/>
      <c r="G78" s="112"/>
      <c r="H78" s="152"/>
      <c r="I78" s="152"/>
      <c r="J78" s="152"/>
      <c r="K78" s="152"/>
      <c r="L78" s="67"/>
      <c r="M78" s="116"/>
      <c r="N78" s="154"/>
      <c r="O78" s="959"/>
      <c r="P78" s="305"/>
      <c r="Q78" s="412"/>
      <c r="R78" s="1060">
        <f t="shared" ref="R78:R143" si="17">SUM(S78:Z78)</f>
        <v>0</v>
      </c>
      <c r="S78" s="1057"/>
      <c r="T78" s="1057"/>
      <c r="U78" s="1057"/>
      <c r="V78" s="1057"/>
      <c r="W78" s="1057"/>
      <c r="X78" s="1057"/>
      <c r="Y78" s="1057"/>
      <c r="Z78" s="970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</row>
    <row r="79" spans="2:37" s="774" customFormat="1">
      <c r="B79" s="775" t="s">
        <v>62</v>
      </c>
      <c r="C79" s="776">
        <v>97</v>
      </c>
      <c r="D79" s="971">
        <f>+Chevron!C118</f>
        <v>3662.6361572506962</v>
      </c>
      <c r="E79" s="165"/>
      <c r="F79" s="165"/>
      <c r="G79" s="111">
        <f>+EcopeGj!F123</f>
        <v>0</v>
      </c>
      <c r="H79" s="151">
        <f>+Chevron!F118</f>
        <v>40201124.77029784</v>
      </c>
      <c r="I79" s="151"/>
      <c r="J79" s="151"/>
      <c r="K79" s="151"/>
      <c r="L79" s="66">
        <f t="shared" ref="L79:L86" si="18">SUM(E79:K79)</f>
        <v>40201124.77029784</v>
      </c>
      <c r="M79" s="115">
        <f>+PROMIGAS!AU96</f>
        <v>4245045.6509051602</v>
      </c>
      <c r="N79" s="59"/>
      <c r="O79" s="956">
        <f t="shared" ref="O79:O86" si="19">SUM(M79:N79)</f>
        <v>4245045.6509051602</v>
      </c>
      <c r="P79" s="405">
        <f t="shared" ref="P79:P86" si="20">+O79+L79</f>
        <v>44446170.421203002</v>
      </c>
      <c r="Q79" s="411">
        <f t="shared" ref="Q79:Q86" si="21">D79*1000000/$P$1/35.314667</f>
        <v>104109.92307692306</v>
      </c>
      <c r="R79" s="1060">
        <f t="shared" si="17"/>
        <v>0</v>
      </c>
      <c r="S79" s="1052"/>
      <c r="T79" s="1052"/>
      <c r="U79" s="1052"/>
      <c r="V79" s="1052"/>
      <c r="W79" s="1052"/>
      <c r="X79" s="1052"/>
      <c r="Y79" s="1052"/>
      <c r="Z79" s="971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</row>
    <row r="80" spans="2:37" s="774" customFormat="1">
      <c r="B80" s="775" t="s">
        <v>63</v>
      </c>
      <c r="C80" s="776">
        <v>97</v>
      </c>
      <c r="D80" s="971">
        <f>+Chevron!C119</f>
        <v>3849.8828624657399</v>
      </c>
      <c r="E80" s="165"/>
      <c r="F80" s="165"/>
      <c r="G80" s="111">
        <f>+EcopeGj!F124</f>
        <v>0</v>
      </c>
      <c r="H80" s="151">
        <f>+Chevron!F119</f>
        <v>42256346.156204648</v>
      </c>
      <c r="I80" s="151"/>
      <c r="J80" s="151"/>
      <c r="K80" s="151"/>
      <c r="L80" s="66">
        <f t="shared" si="18"/>
        <v>42256346.156204648</v>
      </c>
      <c r="M80" s="115">
        <f>+PROMIGAS!AU97</f>
        <v>4462067.1560431691</v>
      </c>
      <c r="N80" s="59"/>
      <c r="O80" s="956">
        <f t="shared" si="19"/>
        <v>4462067.1560431691</v>
      </c>
      <c r="P80" s="405">
        <f t="shared" si="20"/>
        <v>46718413.31224782</v>
      </c>
      <c r="Q80" s="411">
        <f t="shared" si="21"/>
        <v>109432.38461538461</v>
      </c>
      <c r="R80" s="1060">
        <f t="shared" si="17"/>
        <v>0</v>
      </c>
      <c r="S80" s="1052"/>
      <c r="T80" s="1052"/>
      <c r="U80" s="1052"/>
      <c r="V80" s="1052"/>
      <c r="W80" s="1052"/>
      <c r="X80" s="1052"/>
      <c r="Y80" s="1052"/>
      <c r="Z80" s="971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</row>
    <row r="81" spans="1:37" s="774" customFormat="1">
      <c r="B81" s="794" t="s">
        <v>467</v>
      </c>
      <c r="C81" s="59">
        <v>97</v>
      </c>
      <c r="D81" s="971">
        <f>+Chevron!C120</f>
        <v>1287.5308280859631</v>
      </c>
      <c r="E81" s="165"/>
      <c r="F81" s="165"/>
      <c r="G81" s="111">
        <f>+EcopeGj!F125</f>
        <v>0</v>
      </c>
      <c r="H81" s="151">
        <f>+Chevron!F120</f>
        <v>14131949.023389133</v>
      </c>
      <c r="I81" s="151"/>
      <c r="J81" s="151"/>
      <c r="K81" s="151"/>
      <c r="L81" s="66">
        <f t="shared" si="18"/>
        <v>14131949.023389133</v>
      </c>
      <c r="M81" s="115">
        <f>+PROMIGAS!AU98</f>
        <v>1492265.927466661</v>
      </c>
      <c r="N81" s="59"/>
      <c r="O81" s="956">
        <f>SUM(M81:N81)</f>
        <v>1492265.927466661</v>
      </c>
      <c r="P81" s="405">
        <f>+O81+L81</f>
        <v>15624214.950855793</v>
      </c>
      <c r="Q81" s="411">
        <f>D81*1000000/$P$1/35.314667</f>
        <v>36597.884615384603</v>
      </c>
      <c r="R81" s="1060">
        <f t="shared" si="17"/>
        <v>0</v>
      </c>
      <c r="S81" s="1052"/>
      <c r="T81" s="1052"/>
      <c r="U81" s="1052"/>
      <c r="V81" s="1052"/>
      <c r="W81" s="1052"/>
      <c r="X81" s="1052"/>
      <c r="Y81" s="1052"/>
      <c r="Z81" s="971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</row>
    <row r="82" spans="1:37" s="774" customFormat="1">
      <c r="B82" s="775" t="s">
        <v>167</v>
      </c>
      <c r="C82" s="59">
        <v>97</v>
      </c>
      <c r="D82" s="971">
        <f>+Chevron!C122</f>
        <v>5173.8227721212961</v>
      </c>
      <c r="E82" s="165"/>
      <c r="F82" s="165"/>
      <c r="G82" s="111">
        <f>+EcopeGj!F126</f>
        <v>0</v>
      </c>
      <c r="H82" s="151">
        <f>+Chevron!F122</f>
        <v>56787921.560186788</v>
      </c>
      <c r="I82" s="151"/>
      <c r="J82" s="151"/>
      <c r="K82" s="151"/>
      <c r="L82" s="66">
        <f t="shared" si="18"/>
        <v>56787921.560186788</v>
      </c>
      <c r="M82" s="115">
        <f>+PROMIGAS!AU99</f>
        <v>5996531.7095088894</v>
      </c>
      <c r="N82" s="59"/>
      <c r="O82" s="956">
        <f t="shared" si="19"/>
        <v>5996531.7095088894</v>
      </c>
      <c r="P82" s="405">
        <f t="shared" si="20"/>
        <v>62784453.269695677</v>
      </c>
      <c r="Q82" s="411">
        <f t="shared" si="21"/>
        <v>147065.19230769234</v>
      </c>
      <c r="R82" s="1060">
        <f t="shared" si="17"/>
        <v>0</v>
      </c>
      <c r="S82" s="1052"/>
      <c r="T82" s="1052"/>
      <c r="U82" s="1052"/>
      <c r="V82" s="1052"/>
      <c r="W82" s="1052"/>
      <c r="X82" s="1052"/>
      <c r="Y82" s="1052"/>
      <c r="Z82" s="971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</row>
    <row r="83" spans="1:37" s="774" customFormat="1">
      <c r="B83" s="794" t="s">
        <v>510</v>
      </c>
      <c r="C83" s="59">
        <v>97</v>
      </c>
      <c r="D83" s="971">
        <f>+Chevron!C121</f>
        <v>6995.9546884612273</v>
      </c>
      <c r="E83" s="165"/>
      <c r="F83" s="165"/>
      <c r="G83" s="111"/>
      <c r="H83" s="151">
        <f>+Chevron!F121</f>
        <v>76787656.552075475</v>
      </c>
      <c r="I83" s="151"/>
      <c r="J83" s="151"/>
      <c r="K83" s="151"/>
      <c r="L83" s="66">
        <f t="shared" si="18"/>
        <v>76787656.552075475</v>
      </c>
      <c r="M83" s="115">
        <f>+PROMIGAS!AU100</f>
        <v>8108407.6466045622</v>
      </c>
      <c r="N83" s="59"/>
      <c r="O83" s="956">
        <f>SUM(M83:N83)</f>
        <v>8108407.6466045622</v>
      </c>
      <c r="P83" s="405">
        <f>+O83+L83</f>
        <v>84896064.198680043</v>
      </c>
      <c r="Q83" s="411">
        <f>D83*1000000/$P$1/35.314667</f>
        <v>198859.03846153847</v>
      </c>
      <c r="R83" s="1060">
        <f t="shared" si="17"/>
        <v>0</v>
      </c>
      <c r="S83" s="1052"/>
      <c r="T83" s="1052"/>
      <c r="U83" s="1052"/>
      <c r="V83" s="1052"/>
      <c r="W83" s="1052"/>
      <c r="X83" s="1052"/>
      <c r="Y83" s="1052"/>
      <c r="Z83" s="971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</row>
    <row r="84" spans="1:37" s="774" customFormat="1">
      <c r="B84" s="775" t="s">
        <v>203</v>
      </c>
      <c r="C84" s="59">
        <v>97</v>
      </c>
      <c r="D84" s="971">
        <f>+Chevron!C145</f>
        <v>3702.6106442735331</v>
      </c>
      <c r="E84" s="165"/>
      <c r="F84" s="165"/>
      <c r="G84" s="111">
        <f>+EcopeGj!F148</f>
        <v>0</v>
      </c>
      <c r="H84" s="151">
        <f>+Chevron!F145</f>
        <v>40639885.070649385</v>
      </c>
      <c r="I84" s="151"/>
      <c r="J84" s="151"/>
      <c r="K84" s="151"/>
      <c r="L84" s="66">
        <f t="shared" si="18"/>
        <v>40639885.070649385</v>
      </c>
      <c r="M84" s="115">
        <f>+PROMIGAS!AU101</f>
        <v>4291376.6308326982</v>
      </c>
      <c r="N84" s="59"/>
      <c r="O84" s="956">
        <f t="shared" si="19"/>
        <v>4291376.6308326982</v>
      </c>
      <c r="P84" s="405">
        <f t="shared" si="20"/>
        <v>44931261.701482087</v>
      </c>
      <c r="Q84" s="411">
        <f t="shared" si="21"/>
        <v>105246.19230769236</v>
      </c>
      <c r="R84" s="1060">
        <f t="shared" si="17"/>
        <v>0</v>
      </c>
      <c r="S84" s="1052"/>
      <c r="T84" s="1052"/>
      <c r="U84" s="1052"/>
      <c r="V84" s="1052"/>
      <c r="W84" s="1052"/>
      <c r="X84" s="1052"/>
      <c r="Y84" s="1052"/>
      <c r="Z84" s="971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</row>
    <row r="85" spans="1:37" s="774" customFormat="1">
      <c r="B85" s="775" t="s">
        <v>213</v>
      </c>
      <c r="C85" s="59">
        <v>97</v>
      </c>
      <c r="D85" s="971">
        <f>+Chevron!C146</f>
        <v>4031.5369146327707</v>
      </c>
      <c r="E85" s="165"/>
      <c r="F85" s="165"/>
      <c r="G85" s="111">
        <f>+EcopeGj!F149</f>
        <v>0</v>
      </c>
      <c r="H85" s="151">
        <f>+Chevron!F146</f>
        <v>44250182.535977259</v>
      </c>
      <c r="I85" s="151"/>
      <c r="J85" s="151"/>
      <c r="K85" s="151"/>
      <c r="L85" s="66">
        <f t="shared" si="18"/>
        <v>44250182.535977259</v>
      </c>
      <c r="M85" s="115">
        <f>+PROMIGAS!AU102</f>
        <v>4672606.6994248936</v>
      </c>
      <c r="N85" s="59"/>
      <c r="O85" s="956">
        <f t="shared" si="19"/>
        <v>4672606.6994248936</v>
      </c>
      <c r="P85" s="405">
        <f t="shared" si="20"/>
        <v>48922789.235402152</v>
      </c>
      <c r="Q85" s="411">
        <f t="shared" si="21"/>
        <v>114595.87576923074</v>
      </c>
      <c r="R85" s="1060">
        <f t="shared" si="17"/>
        <v>0</v>
      </c>
      <c r="S85" s="1052"/>
      <c r="T85" s="1052"/>
      <c r="U85" s="1052"/>
      <c r="V85" s="1052"/>
      <c r="W85" s="1052"/>
      <c r="X85" s="1052"/>
      <c r="Y85" s="1052"/>
      <c r="Z85" s="971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</row>
    <row r="86" spans="1:37" s="774" customFormat="1">
      <c r="B86" s="785" t="s">
        <v>451</v>
      </c>
      <c r="C86" s="59">
        <v>97</v>
      </c>
      <c r="D86" s="971">
        <f>+Chevron!C123</f>
        <v>1693.3159146115734</v>
      </c>
      <c r="E86" s="165"/>
      <c r="F86" s="165"/>
      <c r="G86" s="111">
        <f>+EcopeGj!F127</f>
        <v>0</v>
      </c>
      <c r="H86" s="151">
        <f>+Chevron!F123</f>
        <v>18585849.490965825</v>
      </c>
      <c r="I86" s="151"/>
      <c r="J86" s="151"/>
      <c r="K86" s="151"/>
      <c r="L86" s="66">
        <f t="shared" si="18"/>
        <v>18585849.490965825</v>
      </c>
      <c r="M86" s="115">
        <f>+PROMIGAS!AU103</f>
        <v>1962576.4204561533</v>
      </c>
      <c r="N86" s="59"/>
      <c r="O86" s="956">
        <f t="shared" si="19"/>
        <v>1962576.4204561533</v>
      </c>
      <c r="P86" s="405">
        <f t="shared" si="20"/>
        <v>20548425.911421977</v>
      </c>
      <c r="Q86" s="411">
        <f t="shared" si="21"/>
        <v>48132.269230769227</v>
      </c>
      <c r="R86" s="1060">
        <f t="shared" si="17"/>
        <v>0</v>
      </c>
      <c r="S86" s="1052"/>
      <c r="T86" s="1052"/>
      <c r="U86" s="1052"/>
      <c r="V86" s="1052"/>
      <c r="W86" s="1052"/>
      <c r="X86" s="1052"/>
      <c r="Y86" s="1052"/>
      <c r="Z86" s="971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</row>
    <row r="87" spans="1:37" s="774" customFormat="1" ht="9.75" customHeight="1">
      <c r="B87" s="783"/>
      <c r="C87" s="154"/>
      <c r="D87" s="970"/>
      <c r="E87" s="421"/>
      <c r="F87" s="421"/>
      <c r="G87" s="112"/>
      <c r="H87" s="152"/>
      <c r="I87" s="152"/>
      <c r="J87" s="152"/>
      <c r="K87" s="152"/>
      <c r="L87" s="152"/>
      <c r="M87" s="116"/>
      <c r="N87" s="154"/>
      <c r="O87" s="959"/>
      <c r="P87" s="305"/>
      <c r="Q87" s="412"/>
      <c r="R87" s="1060">
        <f t="shared" si="17"/>
        <v>0</v>
      </c>
      <c r="S87" s="1057"/>
      <c r="T87" s="1057"/>
      <c r="U87" s="1057"/>
      <c r="V87" s="1057"/>
      <c r="W87" s="1057"/>
      <c r="X87" s="1057"/>
      <c r="Y87" s="1057"/>
      <c r="Z87" s="970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</row>
    <row r="88" spans="1:37" s="774" customFormat="1">
      <c r="B88" s="775" t="s">
        <v>64</v>
      </c>
      <c r="C88" s="776">
        <v>98</v>
      </c>
      <c r="D88" s="971">
        <f>+Chevron!C77+EcopeGj!C85+GDO!C9</f>
        <v>37802.901020000005</v>
      </c>
      <c r="E88" s="165"/>
      <c r="F88" s="165"/>
      <c r="G88" s="111">
        <f>+EcopeGj!F85</f>
        <v>0</v>
      </c>
      <c r="H88" s="151">
        <f>+Chevron!F77</f>
        <v>394178706.69379967</v>
      </c>
      <c r="I88" s="151"/>
      <c r="J88" s="151">
        <f>+GDO!F9</f>
        <v>0</v>
      </c>
      <c r="K88" s="151"/>
      <c r="L88" s="66">
        <f t="shared" ref="L88:L152" si="22">SUM(E88:K88)</f>
        <v>394178706.69379967</v>
      </c>
      <c r="M88" s="115">
        <f>+PROMIGAS!AU136</f>
        <v>53036849.496752732</v>
      </c>
      <c r="N88" s="59"/>
      <c r="O88" s="956">
        <f t="shared" ref="O88:O146" si="23">SUM(M88:N88)</f>
        <v>53036849.496752732</v>
      </c>
      <c r="P88" s="405">
        <f t="shared" ref="P88:P146" si="24">+O88+L88</f>
        <v>447215556.19055241</v>
      </c>
      <c r="Q88" s="411">
        <f t="shared" ref="Q88:Q147" si="25">D88*1000000/$P$1/35.314667</f>
        <v>1074542.2008368366</v>
      </c>
      <c r="R88" s="1060">
        <f t="shared" si="17"/>
        <v>0</v>
      </c>
      <c r="S88" s="1052"/>
      <c r="T88" s="1052"/>
      <c r="U88" s="1052">
        <f>+GDO!C9</f>
        <v>0</v>
      </c>
      <c r="V88" s="1052"/>
      <c r="W88" s="1052"/>
      <c r="X88" s="1052"/>
      <c r="Y88" s="1052"/>
      <c r="Z88" s="971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</row>
    <row r="89" spans="1:37" s="774" customFormat="1">
      <c r="B89" s="775" t="s">
        <v>65</v>
      </c>
      <c r="C89" s="776">
        <v>98</v>
      </c>
      <c r="D89" s="971">
        <f>+Chevron!C78</f>
        <v>4482.9000000000005</v>
      </c>
      <c r="E89" s="165"/>
      <c r="F89" s="165"/>
      <c r="G89" s="111">
        <f>+EcopeGj!F86</f>
        <v>0</v>
      </c>
      <c r="H89" s="151">
        <f>+Chevron!F78</f>
        <v>46744130.121197626</v>
      </c>
      <c r="I89" s="151"/>
      <c r="J89" s="151"/>
      <c r="K89" s="151"/>
      <c r="L89" s="66">
        <f t="shared" si="22"/>
        <v>46744130.121197626</v>
      </c>
      <c r="M89" s="115">
        <f>+PROMIGAS!AU137</f>
        <v>6289435.1013749996</v>
      </c>
      <c r="N89" s="59"/>
      <c r="O89" s="956">
        <f t="shared" si="23"/>
        <v>6289435.1013749996</v>
      </c>
      <c r="P89" s="405">
        <f t="shared" si="24"/>
        <v>53033565.222572625</v>
      </c>
      <c r="Q89" s="411">
        <f t="shared" si="25"/>
        <v>127425.80865904813</v>
      </c>
      <c r="R89" s="1060">
        <f t="shared" si="17"/>
        <v>0</v>
      </c>
      <c r="S89" s="1052"/>
      <c r="T89" s="1052"/>
      <c r="U89" s="1052"/>
      <c r="V89" s="1052"/>
      <c r="W89" s="1052"/>
      <c r="X89" s="1052"/>
      <c r="Y89" s="1052"/>
      <c r="Z89" s="971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</row>
    <row r="90" spans="1:37" s="774" customFormat="1">
      <c r="B90" s="775" t="s">
        <v>66</v>
      </c>
      <c r="C90" s="776">
        <v>98</v>
      </c>
      <c r="D90" s="971">
        <f>+Chevron!C79</f>
        <v>4682.1400000000003</v>
      </c>
      <c r="E90" s="165"/>
      <c r="F90" s="165"/>
      <c r="G90" s="111">
        <f>+EcopeGj!F87</f>
        <v>0</v>
      </c>
      <c r="H90" s="151">
        <f>+Chevron!F79</f>
        <v>48821647.015473075</v>
      </c>
      <c r="I90" s="151"/>
      <c r="J90" s="151"/>
      <c r="K90" s="151"/>
      <c r="L90" s="66">
        <f t="shared" si="22"/>
        <v>48821647.015473075</v>
      </c>
      <c r="M90" s="115">
        <f>+PROMIGAS!AU138</f>
        <v>6568965.5503249997</v>
      </c>
      <c r="N90" s="59"/>
      <c r="O90" s="956">
        <f t="shared" si="23"/>
        <v>6568965.5503249997</v>
      </c>
      <c r="P90" s="405">
        <f t="shared" si="24"/>
        <v>55390612.565798074</v>
      </c>
      <c r="Q90" s="411">
        <f t="shared" si="25"/>
        <v>133089.17793278355</v>
      </c>
      <c r="R90" s="1060">
        <f t="shared" si="17"/>
        <v>0</v>
      </c>
      <c r="S90" s="1052"/>
      <c r="T90" s="1052"/>
      <c r="U90" s="1052"/>
      <c r="V90" s="1052"/>
      <c r="W90" s="1052"/>
      <c r="X90" s="1052"/>
      <c r="Y90" s="1052"/>
      <c r="Z90" s="971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</row>
    <row r="91" spans="1:37" s="774" customFormat="1">
      <c r="B91" s="775" t="s">
        <v>67</v>
      </c>
      <c r="C91" s="776">
        <v>98</v>
      </c>
      <c r="D91" s="971">
        <f>+Chevron!C80</f>
        <v>0</v>
      </c>
      <c r="E91" s="165"/>
      <c r="F91" s="165"/>
      <c r="G91" s="111">
        <f>+EcopeGj!F88</f>
        <v>0</v>
      </c>
      <c r="H91" s="151">
        <f>+Chevron!F80</f>
        <v>0</v>
      </c>
      <c r="I91" s="151"/>
      <c r="J91" s="151"/>
      <c r="K91" s="151"/>
      <c r="L91" s="66">
        <f t="shared" si="22"/>
        <v>0</v>
      </c>
      <c r="M91" s="115">
        <f>+PROMIGAS!AU139</f>
        <v>0</v>
      </c>
      <c r="N91" s="59"/>
      <c r="O91" s="956">
        <f t="shared" si="23"/>
        <v>0</v>
      </c>
      <c r="P91" s="405">
        <f t="shared" si="24"/>
        <v>0</v>
      </c>
      <c r="Q91" s="411">
        <f t="shared" si="25"/>
        <v>0</v>
      </c>
      <c r="R91" s="1060">
        <f t="shared" si="17"/>
        <v>0</v>
      </c>
      <c r="S91" s="1052"/>
      <c r="T91" s="1052"/>
      <c r="U91" s="1052"/>
      <c r="V91" s="1052"/>
      <c r="W91" s="1052"/>
      <c r="X91" s="1052"/>
      <c r="Y91" s="1052"/>
      <c r="Z91" s="971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</row>
    <row r="92" spans="1:37" s="774" customFormat="1">
      <c r="B92" s="775" t="s">
        <v>68</v>
      </c>
      <c r="C92" s="776">
        <v>98</v>
      </c>
      <c r="D92" s="971">
        <f>+Chevron!C81</f>
        <v>684.84794153870223</v>
      </c>
      <c r="E92" s="165"/>
      <c r="F92" s="165"/>
      <c r="G92" s="111">
        <f>+EcopeGj!F89</f>
        <v>0</v>
      </c>
      <c r="H92" s="151">
        <f>+Chevron!F81</f>
        <v>7141051.8397732358</v>
      </c>
      <c r="I92" s="151"/>
      <c r="J92" s="151"/>
      <c r="K92" s="151"/>
      <c r="L92" s="66">
        <f t="shared" si="22"/>
        <v>7141051.8397732358</v>
      </c>
      <c r="M92" s="115">
        <f>+PROMIGAS!AU140</f>
        <v>960830.41839388059</v>
      </c>
      <c r="N92" s="59"/>
      <c r="O92" s="956">
        <f t="shared" si="23"/>
        <v>960830.41839388059</v>
      </c>
      <c r="P92" s="405">
        <f t="shared" si="24"/>
        <v>8101882.258167116</v>
      </c>
      <c r="Q92" s="411">
        <f t="shared" si="25"/>
        <v>19466.707434708253</v>
      </c>
      <c r="R92" s="1060">
        <f t="shared" si="17"/>
        <v>0</v>
      </c>
      <c r="S92" s="1052"/>
      <c r="T92" s="1052"/>
      <c r="U92" s="1052"/>
      <c r="V92" s="1052"/>
      <c r="W92" s="1052"/>
      <c r="X92" s="1052"/>
      <c r="Y92" s="1052"/>
      <c r="Z92" s="971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</row>
    <row r="93" spans="1:37" s="774" customFormat="1">
      <c r="B93" s="775" t="s">
        <v>69</v>
      </c>
      <c r="C93" s="776">
        <v>98</v>
      </c>
      <c r="D93" s="1070">
        <f>+Chevron!C82+Chevron!C176</f>
        <v>7139.7864734615387</v>
      </c>
      <c r="E93" s="165"/>
      <c r="F93" s="165"/>
      <c r="G93" s="111">
        <f>+EcopeGj!F90</f>
        <v>0</v>
      </c>
      <c r="H93" s="1041">
        <f>+Chevron!F82+Chevron!F176</f>
        <v>74109147.162916511</v>
      </c>
      <c r="I93" s="151"/>
      <c r="J93" s="151"/>
      <c r="K93" s="151"/>
      <c r="L93" s="66">
        <f t="shared" si="22"/>
        <v>74109147.162916511</v>
      </c>
      <c r="M93" s="115">
        <f>+PROMIGAS!AU141</f>
        <v>10017003.203843815</v>
      </c>
      <c r="N93" s="59"/>
      <c r="O93" s="956">
        <f t="shared" si="23"/>
        <v>10017003.203843815</v>
      </c>
      <c r="P93" s="405">
        <f t="shared" si="24"/>
        <v>84126150.366760328</v>
      </c>
      <c r="Q93" s="411">
        <f t="shared" si="25"/>
        <v>202947.43693452221</v>
      </c>
      <c r="R93" s="1060">
        <f t="shared" si="17"/>
        <v>0</v>
      </c>
      <c r="S93" s="1052"/>
      <c r="T93" s="1052"/>
      <c r="U93" s="1052"/>
      <c r="V93" s="1052"/>
      <c r="W93" s="1052"/>
      <c r="X93" s="1052"/>
      <c r="Y93" s="1052"/>
      <c r="Z93" s="971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</row>
    <row r="94" spans="1:37" s="774" customFormat="1">
      <c r="B94" s="775" t="s">
        <v>70</v>
      </c>
      <c r="C94" s="776">
        <v>98</v>
      </c>
      <c r="D94" s="971">
        <f>+Chevron!C83</f>
        <v>90.654200000000003</v>
      </c>
      <c r="E94" s="165"/>
      <c r="F94" s="165"/>
      <c r="G94" s="111">
        <f>+EcopeGj!F91</f>
        <v>0</v>
      </c>
      <c r="H94" s="151">
        <f>+Chevron!F83</f>
        <v>945270.18689532962</v>
      </c>
      <c r="I94" s="151"/>
      <c r="J94" s="151"/>
      <c r="K94" s="151"/>
      <c r="L94" s="66">
        <f t="shared" si="22"/>
        <v>945270.18689532962</v>
      </c>
      <c r="M94" s="115">
        <f>+PROMIGAS!AU142</f>
        <v>127186.35427225001</v>
      </c>
      <c r="N94" s="59"/>
      <c r="O94" s="956">
        <f t="shared" si="23"/>
        <v>127186.35427225001</v>
      </c>
      <c r="P94" s="405">
        <f t="shared" si="24"/>
        <v>1072456.5411675796</v>
      </c>
      <c r="Q94" s="411">
        <f t="shared" si="25"/>
        <v>2576.8330195496392</v>
      </c>
      <c r="R94" s="1060">
        <f t="shared" si="17"/>
        <v>0</v>
      </c>
      <c r="S94" s="1052"/>
      <c r="T94" s="1052"/>
      <c r="U94" s="1052"/>
      <c r="V94" s="1052"/>
      <c r="W94" s="1052"/>
      <c r="X94" s="1052"/>
      <c r="Y94" s="1052"/>
      <c r="Z94" s="971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</row>
    <row r="95" spans="1:37" s="791" customFormat="1">
      <c r="A95" s="787">
        <v>11</v>
      </c>
      <c r="B95" s="788" t="s">
        <v>71</v>
      </c>
      <c r="C95" s="789">
        <v>99</v>
      </c>
      <c r="D95" s="971">
        <f>+Chevron!C96</f>
        <v>2667.9251357692297</v>
      </c>
      <c r="E95" s="671"/>
      <c r="F95" s="671"/>
      <c r="G95" s="415">
        <f>+EcopeGj!F92</f>
        <v>0</v>
      </c>
      <c r="H95" s="151">
        <f>+Chevron!F96</f>
        <v>21192347.100156158</v>
      </c>
      <c r="I95" s="151"/>
      <c r="J95" s="151"/>
      <c r="K95" s="151"/>
      <c r="L95" s="66">
        <f t="shared" si="22"/>
        <v>21192347.100156158</v>
      </c>
      <c r="M95" s="672">
        <f>+PROMIGAS!AU143</f>
        <v>3743055.1644577514</v>
      </c>
      <c r="N95" s="511"/>
      <c r="O95" s="961">
        <f t="shared" si="23"/>
        <v>3743055.1644577514</v>
      </c>
      <c r="P95" s="512">
        <f t="shared" si="24"/>
        <v>24935402.264613912</v>
      </c>
      <c r="Q95" s="673">
        <f t="shared" si="25"/>
        <v>75835.400715428579</v>
      </c>
      <c r="R95" s="1060">
        <f t="shared" si="17"/>
        <v>0</v>
      </c>
      <c r="S95" s="1052"/>
      <c r="T95" s="1052"/>
      <c r="U95" s="1052"/>
      <c r="V95" s="1052"/>
      <c r="W95" s="1052"/>
      <c r="X95" s="1052"/>
      <c r="Y95" s="1052"/>
      <c r="Z95" s="971"/>
      <c r="AA95" s="790"/>
      <c r="AB95" s="790"/>
      <c r="AC95" s="790"/>
      <c r="AD95" s="790"/>
      <c r="AE95" s="790"/>
      <c r="AF95" s="790"/>
      <c r="AG95" s="790"/>
      <c r="AH95" s="790"/>
      <c r="AI95" s="790"/>
      <c r="AJ95" s="790"/>
      <c r="AK95" s="790"/>
    </row>
    <row r="96" spans="1:37" s="774" customFormat="1">
      <c r="A96" s="792"/>
      <c r="B96" s="775" t="s">
        <v>72</v>
      </c>
      <c r="C96" s="776">
        <v>98</v>
      </c>
      <c r="D96" s="971">
        <f>+Chevron!C84</f>
        <v>0</v>
      </c>
      <c r="E96" s="165"/>
      <c r="F96" s="165"/>
      <c r="G96" s="111">
        <f>+EcopeGj!F93</f>
        <v>0</v>
      </c>
      <c r="H96" s="151">
        <f>+Chevron!F84</f>
        <v>0</v>
      </c>
      <c r="I96" s="151"/>
      <c r="J96" s="151"/>
      <c r="K96" s="151"/>
      <c r="L96" s="66">
        <f t="shared" si="22"/>
        <v>0</v>
      </c>
      <c r="M96" s="115">
        <f>+PROMIGAS!AU144</f>
        <v>0</v>
      </c>
      <c r="N96" s="59"/>
      <c r="O96" s="956">
        <f t="shared" si="23"/>
        <v>0</v>
      </c>
      <c r="P96" s="405">
        <f t="shared" si="24"/>
        <v>0</v>
      </c>
      <c r="Q96" s="411">
        <f t="shared" si="25"/>
        <v>0</v>
      </c>
      <c r="R96" s="1060">
        <f t="shared" si="17"/>
        <v>0</v>
      </c>
      <c r="S96" s="1052"/>
      <c r="T96" s="1052"/>
      <c r="U96" s="1052"/>
      <c r="V96" s="1052"/>
      <c r="W96" s="1052"/>
      <c r="X96" s="1052"/>
      <c r="Y96" s="1052"/>
      <c r="Z96" s="971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</row>
    <row r="97" spans="1:37" s="774" customFormat="1">
      <c r="A97" s="792"/>
      <c r="B97" s="775" t="s">
        <v>73</v>
      </c>
      <c r="C97" s="776">
        <v>98</v>
      </c>
      <c r="D97" s="971">
        <f>+Chevron!C85</f>
        <v>293.87900000000002</v>
      </c>
      <c r="E97" s="165"/>
      <c r="F97" s="165"/>
      <c r="G97" s="111">
        <f>+EcopeGj!F94</f>
        <v>0</v>
      </c>
      <c r="H97" s="151">
        <f>+Chevron!F85</f>
        <v>3064337.4190562889</v>
      </c>
      <c r="I97" s="151"/>
      <c r="J97" s="151"/>
      <c r="K97" s="151"/>
      <c r="L97" s="66">
        <f t="shared" si="22"/>
        <v>3064337.4190562889</v>
      </c>
      <c r="M97" s="115">
        <f>+PROMIGAS!AU145</f>
        <v>412307.41220125003</v>
      </c>
      <c r="N97" s="59"/>
      <c r="O97" s="956">
        <f t="shared" si="23"/>
        <v>412307.41220125003</v>
      </c>
      <c r="P97" s="405">
        <f t="shared" si="24"/>
        <v>3476644.8312575389</v>
      </c>
      <c r="Q97" s="411">
        <f t="shared" si="25"/>
        <v>8353.4696787598186</v>
      </c>
      <c r="R97" s="1060">
        <f t="shared" si="17"/>
        <v>0</v>
      </c>
      <c r="S97" s="1052"/>
      <c r="T97" s="1052"/>
      <c r="U97" s="1052"/>
      <c r="V97" s="1052"/>
      <c r="W97" s="1052"/>
      <c r="X97" s="1052"/>
      <c r="Y97" s="1052"/>
      <c r="Z97" s="971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</row>
    <row r="98" spans="1:37" s="791" customFormat="1">
      <c r="A98" s="787">
        <v>11</v>
      </c>
      <c r="B98" s="794" t="s">
        <v>532</v>
      </c>
      <c r="C98" s="789">
        <v>99</v>
      </c>
      <c r="D98" s="971">
        <f>+Chevron!C111</f>
        <v>5977.2000000000007</v>
      </c>
      <c r="E98" s="671"/>
      <c r="F98" s="671"/>
      <c r="G98" s="415">
        <f>+EcopeGj!F117</f>
        <v>0</v>
      </c>
      <c r="H98" s="151">
        <f>+Chevron!F111</f>
        <v>62325506.828263499</v>
      </c>
      <c r="I98" s="151"/>
      <c r="J98" s="151"/>
      <c r="K98" s="151"/>
      <c r="L98" s="66">
        <f t="shared" si="22"/>
        <v>62325506.828263499</v>
      </c>
      <c r="M98" s="672">
        <f>+PROMIGAS!AU146</f>
        <v>8385913.4685000004</v>
      </c>
      <c r="N98" s="511"/>
      <c r="O98" s="961">
        <f t="shared" si="23"/>
        <v>8385913.4685000004</v>
      </c>
      <c r="P98" s="512">
        <f t="shared" si="24"/>
        <v>70711420.296763495</v>
      </c>
      <c r="Q98" s="673">
        <f t="shared" si="25"/>
        <v>169901.07821206414</v>
      </c>
      <c r="R98" s="1060">
        <f t="shared" si="17"/>
        <v>0</v>
      </c>
      <c r="S98" s="1052"/>
      <c r="T98" s="1052"/>
      <c r="U98" s="1052"/>
      <c r="V98" s="1052"/>
      <c r="W98" s="1052"/>
      <c r="X98" s="1052"/>
      <c r="Y98" s="1052"/>
      <c r="Z98" s="971"/>
      <c r="AA98" s="790"/>
      <c r="AB98" s="790"/>
      <c r="AC98" s="790"/>
      <c r="AD98" s="790"/>
      <c r="AE98" s="790"/>
      <c r="AF98" s="790"/>
      <c r="AG98" s="790"/>
      <c r="AH98" s="790"/>
      <c r="AI98" s="790"/>
      <c r="AJ98" s="790"/>
      <c r="AK98" s="790"/>
    </row>
    <row r="99" spans="1:37" s="774" customFormat="1">
      <c r="A99" s="774">
        <v>1</v>
      </c>
      <c r="B99" s="788" t="s">
        <v>201</v>
      </c>
      <c r="C99" s="793">
        <v>96</v>
      </c>
      <c r="D99" s="971">
        <f>+Chevron!C124</f>
        <v>3430.0878298062084</v>
      </c>
      <c r="E99" s="165"/>
      <c r="F99" s="165"/>
      <c r="G99" s="111">
        <f>+EcopeGj!F128</f>
        <v>0</v>
      </c>
      <c r="H99" s="151">
        <f>+Chevron!F124</f>
        <v>37648672.40392974</v>
      </c>
      <c r="I99" s="151"/>
      <c r="J99" s="151"/>
      <c r="K99" s="151"/>
      <c r="L99" s="66">
        <f t="shared" si="22"/>
        <v>37648672.40392974</v>
      </c>
      <c r="M99" s="115">
        <f>+PROMIGAS!AU82</f>
        <v>3710596.5810906482</v>
      </c>
      <c r="N99" s="951"/>
      <c r="O99" s="956">
        <f t="shared" si="23"/>
        <v>3710596.5810906482</v>
      </c>
      <c r="P99" s="405">
        <f t="shared" si="24"/>
        <v>41359268.985020392</v>
      </c>
      <c r="Q99" s="411">
        <f t="shared" si="25"/>
        <v>97499.769230769234</v>
      </c>
      <c r="R99" s="1060">
        <f t="shared" si="17"/>
        <v>0</v>
      </c>
      <c r="S99" s="1052"/>
      <c r="T99" s="1052"/>
      <c r="U99" s="1052"/>
      <c r="V99" s="1052"/>
      <c r="W99" s="1052"/>
      <c r="X99" s="1052"/>
      <c r="Y99" s="1052"/>
      <c r="Z99" s="971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</row>
    <row r="100" spans="1:37" s="774" customFormat="1">
      <c r="A100" s="774">
        <v>1</v>
      </c>
      <c r="B100" s="788" t="s">
        <v>197</v>
      </c>
      <c r="C100" s="793">
        <v>96</v>
      </c>
      <c r="D100" s="971">
        <f>+Chevron!C126</f>
        <v>1985.5354156923074</v>
      </c>
      <c r="E100" s="165"/>
      <c r="F100" s="165"/>
      <c r="G100" s="111">
        <f>+EcopeGj!F130</f>
        <v>0</v>
      </c>
      <c r="H100" s="151">
        <f>+Chevron!F126</f>
        <v>21793253.152944334</v>
      </c>
      <c r="I100" s="151"/>
      <c r="J100" s="151"/>
      <c r="K100" s="151"/>
      <c r="L100" s="66">
        <f t="shared" si="22"/>
        <v>21793253.152944334</v>
      </c>
      <c r="M100" s="115">
        <f>+PROMIGAS!AU83</f>
        <v>2147910.2841277737</v>
      </c>
      <c r="N100" s="951"/>
      <c r="O100" s="956">
        <f t="shared" si="23"/>
        <v>2147910.2841277737</v>
      </c>
      <c r="P100" s="405">
        <f t="shared" si="24"/>
        <v>23941163.437072106</v>
      </c>
      <c r="Q100" s="411">
        <f t="shared" si="25"/>
        <v>56438.567883684998</v>
      </c>
      <c r="R100" s="1060">
        <f t="shared" si="17"/>
        <v>0</v>
      </c>
      <c r="S100" s="1052"/>
      <c r="T100" s="1052"/>
      <c r="U100" s="1052"/>
      <c r="V100" s="1052"/>
      <c r="W100" s="1052"/>
      <c r="X100" s="1052"/>
      <c r="Y100" s="1052"/>
      <c r="Z100" s="971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</row>
    <row r="101" spans="1:37" s="774" customFormat="1">
      <c r="A101" s="774">
        <v>1</v>
      </c>
      <c r="B101" s="794" t="s">
        <v>449</v>
      </c>
      <c r="C101" s="793">
        <v>96</v>
      </c>
      <c r="D101" s="971">
        <f>+Chevron!C127</f>
        <v>2206.1470566275043</v>
      </c>
      <c r="E101" s="165"/>
      <c r="F101" s="165"/>
      <c r="G101" s="111">
        <f>+EcopeGj!F131</f>
        <v>0</v>
      </c>
      <c r="H101" s="151">
        <f>+Chevron!F127</f>
        <v>24214688.349410381</v>
      </c>
      <c r="I101" s="151"/>
      <c r="J101" s="151"/>
      <c r="K101" s="151"/>
      <c r="L101" s="66">
        <f t="shared" si="22"/>
        <v>24214688.349410381</v>
      </c>
      <c r="M101" s="115">
        <f>+PROMIGAS!AU94</f>
        <v>3009992.3684650101</v>
      </c>
      <c r="N101" s="951"/>
      <c r="O101" s="956">
        <f>SUM(M101:N101)</f>
        <v>3009992.3684650101</v>
      </c>
      <c r="P101" s="405">
        <f>+O101+L101</f>
        <v>27224680.717875391</v>
      </c>
      <c r="Q101" s="411">
        <f>D101*1000000/$P$1/35.314667</f>
        <v>62709.423076923085</v>
      </c>
      <c r="R101" s="1060">
        <f t="shared" si="17"/>
        <v>0</v>
      </c>
      <c r="S101" s="1052"/>
      <c r="T101" s="1052"/>
      <c r="U101" s="1052"/>
      <c r="V101" s="1052"/>
      <c r="W101" s="1052"/>
      <c r="X101" s="1052"/>
      <c r="Y101" s="1052"/>
      <c r="Z101" s="971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</row>
    <row r="102" spans="1:37" s="774" customFormat="1">
      <c r="A102" s="774">
        <v>1</v>
      </c>
      <c r="B102" s="788" t="s">
        <v>175</v>
      </c>
      <c r="C102" s="793">
        <v>96</v>
      </c>
      <c r="D102" s="971">
        <f>+Chevron!C142</f>
        <v>1178.5552590562404</v>
      </c>
      <c r="E102" s="165"/>
      <c r="F102" s="165"/>
      <c r="G102" s="111">
        <f>+EcopeGj!F145</f>
        <v>0</v>
      </c>
      <c r="H102" s="151">
        <f>+Chevron!F142</f>
        <v>12935832.275946064</v>
      </c>
      <c r="I102" s="151"/>
      <c r="J102" s="151"/>
      <c r="K102" s="151"/>
      <c r="L102" s="66">
        <f t="shared" si="22"/>
        <v>12935832.275946064</v>
      </c>
      <c r="M102" s="115">
        <f>+PROMIGAS!AU84</f>
        <v>1274936.1916856689</v>
      </c>
      <c r="N102" s="951"/>
      <c r="O102" s="956">
        <f t="shared" si="23"/>
        <v>1274936.1916856689</v>
      </c>
      <c r="P102" s="405">
        <f t="shared" si="24"/>
        <v>14210768.467631733</v>
      </c>
      <c r="Q102" s="411">
        <f t="shared" si="25"/>
        <v>33500.26923076922</v>
      </c>
      <c r="R102" s="1060">
        <f t="shared" si="17"/>
        <v>0</v>
      </c>
      <c r="S102" s="1052"/>
      <c r="T102" s="1052"/>
      <c r="U102" s="1052"/>
      <c r="V102" s="1052"/>
      <c r="W102" s="1052"/>
      <c r="X102" s="1052"/>
      <c r="Y102" s="1052"/>
      <c r="Z102" s="971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</row>
    <row r="103" spans="1:37" s="774" customFormat="1">
      <c r="A103" s="774">
        <v>1</v>
      </c>
      <c r="B103" s="788" t="s">
        <v>345</v>
      </c>
      <c r="C103" s="793">
        <v>96</v>
      </c>
      <c r="D103" s="971">
        <f>+Chevron!C150</f>
        <v>4067.2887032205713</v>
      </c>
      <c r="E103" s="165"/>
      <c r="F103" s="165"/>
      <c r="G103" s="111">
        <f>+EcopeGj!F153</f>
        <v>0</v>
      </c>
      <c r="H103" s="151">
        <f>+Chevron!F150</f>
        <v>44642594.463363014</v>
      </c>
      <c r="I103" s="151"/>
      <c r="J103" s="151"/>
      <c r="K103" s="151"/>
      <c r="L103" s="66">
        <f t="shared" si="22"/>
        <v>44642594.463363014</v>
      </c>
      <c r="M103" s="115">
        <f>+PROMIGAS!AU85</f>
        <v>4399907.0301740728</v>
      </c>
      <c r="N103" s="951"/>
      <c r="O103" s="956">
        <f t="shared" si="23"/>
        <v>4399907.0301740728</v>
      </c>
      <c r="P103" s="405">
        <f t="shared" si="24"/>
        <v>49042501.493537083</v>
      </c>
      <c r="Q103" s="411">
        <f t="shared" si="25"/>
        <v>115612.11538461539</v>
      </c>
      <c r="R103" s="1060">
        <f t="shared" si="17"/>
        <v>0</v>
      </c>
      <c r="S103" s="1052"/>
      <c r="T103" s="1052"/>
      <c r="U103" s="1052"/>
      <c r="V103" s="1052"/>
      <c r="W103" s="1052"/>
      <c r="X103" s="1052"/>
      <c r="Y103" s="1052"/>
      <c r="Z103" s="971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</row>
    <row r="104" spans="1:37" s="774" customFormat="1">
      <c r="A104" s="774">
        <v>1</v>
      </c>
      <c r="B104" s="788" t="s">
        <v>471</v>
      </c>
      <c r="C104" s="793">
        <v>96</v>
      </c>
      <c r="D104" s="971">
        <f>+Chevron!C151</f>
        <v>3655.3795085046836</v>
      </c>
      <c r="E104" s="165"/>
      <c r="F104" s="165"/>
      <c r="G104" s="111">
        <f>+EcopeGj!F154</f>
        <v>0</v>
      </c>
      <c r="H104" s="151">
        <f>+Chevron!F151</f>
        <v>40121475.733612843</v>
      </c>
      <c r="I104" s="151"/>
      <c r="J104" s="151"/>
      <c r="K104" s="151"/>
      <c r="L104" s="66">
        <f t="shared" si="22"/>
        <v>40121475.733612843</v>
      </c>
      <c r="M104" s="115">
        <f>+PROMIGAS!AU86</f>
        <v>3954312.3616203745</v>
      </c>
      <c r="N104" s="951"/>
      <c r="O104" s="956">
        <f>SUM(M104:N104)</f>
        <v>3954312.3616203745</v>
      </c>
      <c r="P104" s="405">
        <f>+O104+L104</f>
        <v>44075788.095233217</v>
      </c>
      <c r="Q104" s="411">
        <f>D104*1000000/$P$1/35.314667</f>
        <v>103903.65384615384</v>
      </c>
      <c r="R104" s="1060">
        <f t="shared" si="17"/>
        <v>0</v>
      </c>
      <c r="S104" s="1052"/>
      <c r="T104" s="1052"/>
      <c r="U104" s="1052"/>
      <c r="V104" s="1052"/>
      <c r="W104" s="1052"/>
      <c r="X104" s="1052"/>
      <c r="Y104" s="1052"/>
      <c r="Z104" s="971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</row>
    <row r="105" spans="1:37" s="774" customFormat="1">
      <c r="A105" s="774">
        <v>1</v>
      </c>
      <c r="B105" s="788" t="s">
        <v>438</v>
      </c>
      <c r="C105" s="793">
        <v>96</v>
      </c>
      <c r="D105" s="971">
        <f>+Chevron!C125</f>
        <v>1843.8599166314632</v>
      </c>
      <c r="E105" s="165"/>
      <c r="F105" s="165"/>
      <c r="G105" s="111">
        <f>+EcopeGj!F129</f>
        <v>0</v>
      </c>
      <c r="H105" s="151">
        <f>+Chevron!F125</f>
        <v>20238221.702887751</v>
      </c>
      <c r="I105" s="151"/>
      <c r="J105" s="151"/>
      <c r="K105" s="151"/>
      <c r="L105" s="66">
        <f t="shared" si="22"/>
        <v>20238221.702887751</v>
      </c>
      <c r="M105" s="115">
        <f>+PROMIGAS!AU111</f>
        <v>2515700.0576667907</v>
      </c>
      <c r="N105" s="951"/>
      <c r="O105" s="956">
        <f>SUM(M105:N105)</f>
        <v>2515700.0576667907</v>
      </c>
      <c r="P105" s="405">
        <f>+O105+L105</f>
        <v>22753921.760554541</v>
      </c>
      <c r="Q105" s="411">
        <f>D105*1000000/$P$1/35.314667</f>
        <v>52411.461538461532</v>
      </c>
      <c r="R105" s="1060">
        <f t="shared" si="17"/>
        <v>0</v>
      </c>
      <c r="S105" s="1052"/>
      <c r="T105" s="1052"/>
      <c r="U105" s="1052"/>
      <c r="V105" s="1052"/>
      <c r="W105" s="1052"/>
      <c r="X105" s="1052"/>
      <c r="Y105" s="1052"/>
      <c r="Z105" s="971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</row>
    <row r="106" spans="1:37" s="774" customFormat="1">
      <c r="A106" s="774">
        <v>3</v>
      </c>
      <c r="B106" s="788" t="s">
        <v>117</v>
      </c>
      <c r="C106" s="793">
        <v>96</v>
      </c>
      <c r="D106" s="1070">
        <f>+Chevron!C128</f>
        <v>4887.3338276153818</v>
      </c>
      <c r="E106" s="165"/>
      <c r="F106" s="165"/>
      <c r="G106" s="111">
        <f>+EcopeGj!F132</f>
        <v>0</v>
      </c>
      <c r="H106" s="151">
        <f>+Chevron!F128</f>
        <v>53643416.534593858</v>
      </c>
      <c r="I106" s="151"/>
      <c r="J106" s="151"/>
      <c r="K106" s="151"/>
      <c r="L106" s="66">
        <f t="shared" si="22"/>
        <v>53643416.534593858</v>
      </c>
      <c r="M106" s="115">
        <f>+PROMIGAS!AU113</f>
        <v>6419432.1970158173</v>
      </c>
      <c r="N106" s="59"/>
      <c r="O106" s="956">
        <f t="shared" si="23"/>
        <v>6419432.1970158173</v>
      </c>
      <c r="P106" s="405">
        <f t="shared" si="24"/>
        <v>60062848.731609672</v>
      </c>
      <c r="Q106" s="411">
        <f t="shared" si="25"/>
        <v>138921.78392795083</v>
      </c>
      <c r="R106" s="1060">
        <f t="shared" si="17"/>
        <v>62680</v>
      </c>
      <c r="S106" s="1052"/>
      <c r="T106" s="1052"/>
      <c r="U106" s="1052"/>
      <c r="V106" s="1052"/>
      <c r="W106" s="1052"/>
      <c r="X106" s="1052"/>
      <c r="Y106" s="1052">
        <f>+PACIFIC!C6</f>
        <v>62680</v>
      </c>
      <c r="Z106" s="971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</row>
    <row r="107" spans="1:37" s="774" customFormat="1">
      <c r="A107" s="774">
        <v>3</v>
      </c>
      <c r="B107" s="788" t="s">
        <v>398</v>
      </c>
      <c r="C107" s="793">
        <v>96</v>
      </c>
      <c r="D107" s="971">
        <f>+Chevron!C129</f>
        <v>2639.9300000000003</v>
      </c>
      <c r="E107" s="165"/>
      <c r="F107" s="165"/>
      <c r="G107" s="111">
        <f>+EcopeGj!F133</f>
        <v>0</v>
      </c>
      <c r="H107" s="151">
        <f>+Chevron!F129</f>
        <v>28975893.525420755</v>
      </c>
      <c r="I107" s="151"/>
      <c r="J107" s="151"/>
      <c r="K107" s="151"/>
      <c r="L107" s="66">
        <f t="shared" si="22"/>
        <v>28975893.525420755</v>
      </c>
      <c r="M107" s="115">
        <f>+PROMIGAS!AU114</f>
        <v>3467504.4180758656</v>
      </c>
      <c r="N107" s="59"/>
      <c r="O107" s="956">
        <f>SUM(M107:N107)</f>
        <v>3467504.4180758656</v>
      </c>
      <c r="P107" s="405">
        <f>+O107+L107</f>
        <v>32443397.943496622</v>
      </c>
      <c r="Q107" s="411">
        <f>D107*1000000/$P$1/35.314667</f>
        <v>75039.642876995</v>
      </c>
      <c r="R107" s="1060">
        <f t="shared" si="17"/>
        <v>0</v>
      </c>
      <c r="S107" s="1052"/>
      <c r="T107" s="1052"/>
      <c r="U107" s="1052"/>
      <c r="V107" s="1052"/>
      <c r="W107" s="1052"/>
      <c r="X107" s="1052"/>
      <c r="Y107" s="1052"/>
      <c r="Z107" s="971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</row>
    <row r="108" spans="1:37" s="774" customFormat="1">
      <c r="A108" s="774">
        <v>3</v>
      </c>
      <c r="B108" s="788" t="s">
        <v>439</v>
      </c>
      <c r="C108" s="793">
        <v>96</v>
      </c>
      <c r="D108" s="971">
        <f>+Chevron!C130</f>
        <v>3188.0177725042349</v>
      </c>
      <c r="E108" s="165"/>
      <c r="F108" s="165"/>
      <c r="G108" s="111">
        <f>+EcopeGj!F134</f>
        <v>0</v>
      </c>
      <c r="H108" s="151">
        <f>+Chevron!F130</f>
        <v>34991709.451853551</v>
      </c>
      <c r="I108" s="151"/>
      <c r="J108" s="151"/>
      <c r="K108" s="151"/>
      <c r="L108" s="66">
        <f t="shared" si="22"/>
        <v>34991709.451853551</v>
      </c>
      <c r="M108" s="115">
        <f>+PROMIGAS!AU115</f>
        <v>4187408.6476015705</v>
      </c>
      <c r="N108" s="59"/>
      <c r="O108" s="956">
        <f>SUM(M108:N108)</f>
        <v>4187408.6476015705</v>
      </c>
      <c r="P108" s="405">
        <f>+O108+L108</f>
        <v>39179118.099455118</v>
      </c>
      <c r="Q108" s="411">
        <f>D108*1000000/$P$1/35.314667</f>
        <v>90618.961538461561</v>
      </c>
      <c r="R108" s="1060">
        <f t="shared" si="17"/>
        <v>0</v>
      </c>
      <c r="S108" s="1052"/>
      <c r="T108" s="1052"/>
      <c r="U108" s="1052"/>
      <c r="V108" s="1052"/>
      <c r="W108" s="1052"/>
      <c r="X108" s="1052"/>
      <c r="Y108" s="1052"/>
      <c r="Z108" s="971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</row>
    <row r="109" spans="1:37" s="774" customFormat="1">
      <c r="B109" s="788" t="s">
        <v>331</v>
      </c>
      <c r="C109" s="795">
        <v>97</v>
      </c>
      <c r="D109" s="971">
        <f>+Chevron!C148</f>
        <v>3590.950534667249</v>
      </c>
      <c r="E109" s="165"/>
      <c r="F109" s="165"/>
      <c r="G109" s="111">
        <f>+EcopeGj!F151</f>
        <v>0</v>
      </c>
      <c r="H109" s="151">
        <f>+Chevron!F148</f>
        <v>39414302.783623405</v>
      </c>
      <c r="I109" s="151"/>
      <c r="J109" s="151"/>
      <c r="K109" s="151"/>
      <c r="L109" s="66">
        <f t="shared" si="22"/>
        <v>39414302.783623405</v>
      </c>
      <c r="M109" s="115">
        <f>+PROMIGAS!AU116</f>
        <v>4716654.1703948872</v>
      </c>
      <c r="N109" s="59"/>
      <c r="O109" s="956">
        <f t="shared" si="23"/>
        <v>4716654.1703948872</v>
      </c>
      <c r="P109" s="405">
        <f t="shared" si="24"/>
        <v>44130956.954018295</v>
      </c>
      <c r="Q109" s="411">
        <f t="shared" si="25"/>
        <v>102072.26923076922</v>
      </c>
      <c r="R109" s="1060">
        <f t="shared" si="17"/>
        <v>0</v>
      </c>
      <c r="S109" s="1052"/>
      <c r="T109" s="1052"/>
      <c r="U109" s="1052"/>
      <c r="V109" s="1052"/>
      <c r="W109" s="1052"/>
      <c r="X109" s="1052"/>
      <c r="Y109" s="1052"/>
      <c r="Z109" s="971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</row>
    <row r="110" spans="1:37" s="774" customFormat="1">
      <c r="A110" s="791"/>
      <c r="B110" s="788" t="s">
        <v>378</v>
      </c>
      <c r="C110" s="795">
        <v>97</v>
      </c>
      <c r="D110" s="971">
        <f>+Chevron!C136</f>
        <v>4841.3172541464637</v>
      </c>
      <c r="E110" s="165"/>
      <c r="F110" s="165"/>
      <c r="G110" s="111">
        <f>+EcopeGj!F139</f>
        <v>0</v>
      </c>
      <c r="H110" s="151">
        <f>+Chevron!F136</f>
        <v>53138338.243411869</v>
      </c>
      <c r="I110" s="151"/>
      <c r="J110" s="151"/>
      <c r="K110" s="151"/>
      <c r="L110" s="66">
        <f t="shared" si="22"/>
        <v>53138338.243411869</v>
      </c>
      <c r="M110" s="115">
        <f>+PROMIGAS!AU117</f>
        <v>6358990.1883988511</v>
      </c>
      <c r="N110" s="59"/>
      <c r="O110" s="956">
        <f t="shared" ref="O110:O115" si="26">SUM(M110:N110)</f>
        <v>6358990.1883988511</v>
      </c>
      <c r="P110" s="405">
        <f t="shared" ref="P110:P115" si="27">+O110+L110</f>
        <v>59497328.431810722</v>
      </c>
      <c r="Q110" s="411">
        <f t="shared" ref="Q110:Q115" si="28">D110*1000000/$P$1/35.314667</f>
        <v>137613.76923076922</v>
      </c>
      <c r="R110" s="1060">
        <f t="shared" si="17"/>
        <v>0</v>
      </c>
      <c r="S110" s="1052"/>
      <c r="T110" s="1052"/>
      <c r="U110" s="1052"/>
      <c r="V110" s="1052"/>
      <c r="W110" s="1052"/>
      <c r="X110" s="1052"/>
      <c r="Y110" s="1052"/>
      <c r="Z110" s="971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</row>
    <row r="111" spans="1:37" s="774" customFormat="1">
      <c r="A111" s="791"/>
      <c r="B111" s="788" t="s">
        <v>421</v>
      </c>
      <c r="C111" s="795">
        <v>97</v>
      </c>
      <c r="D111" s="971">
        <f>+Chevron!C137</f>
        <v>2759.204361345322</v>
      </c>
      <c r="E111" s="165"/>
      <c r="F111" s="165"/>
      <c r="G111" s="111">
        <f>+EcopeGj!F140</f>
        <v>0</v>
      </c>
      <c r="H111" s="151">
        <f>+Chevron!F137</f>
        <v>30285049.902542345</v>
      </c>
      <c r="I111" s="151"/>
      <c r="J111" s="151"/>
      <c r="K111" s="151"/>
      <c r="L111" s="66">
        <f t="shared" si="22"/>
        <v>30285049.902542345</v>
      </c>
      <c r="M111" s="115">
        <f>+PROMIGAS!AU118</f>
        <v>3624169.3201482994</v>
      </c>
      <c r="N111" s="59"/>
      <c r="O111" s="956">
        <f t="shared" si="26"/>
        <v>3624169.3201482994</v>
      </c>
      <c r="P111" s="405">
        <f t="shared" si="27"/>
        <v>33909219.222690642</v>
      </c>
      <c r="Q111" s="411">
        <f t="shared" si="28"/>
        <v>78430</v>
      </c>
      <c r="R111" s="1060">
        <f t="shared" si="17"/>
        <v>0</v>
      </c>
      <c r="S111" s="1052"/>
      <c r="T111" s="1052"/>
      <c r="U111" s="1052"/>
      <c r="V111" s="1052"/>
      <c r="W111" s="1052"/>
      <c r="X111" s="1052"/>
      <c r="Y111" s="1052"/>
      <c r="Z111" s="971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</row>
    <row r="112" spans="1:37" s="774" customFormat="1">
      <c r="A112" s="791"/>
      <c r="B112" s="788" t="s">
        <v>444</v>
      </c>
      <c r="C112" s="795">
        <v>97</v>
      </c>
      <c r="D112" s="971">
        <f>+Chevron!C138</f>
        <v>2875.8979845326539</v>
      </c>
      <c r="E112" s="165"/>
      <c r="F112" s="165"/>
      <c r="G112" s="111">
        <f>+EcopeGj!F141</f>
        <v>0</v>
      </c>
      <c r="H112" s="151">
        <f>+Chevron!F138</f>
        <v>31565880.076286234</v>
      </c>
      <c r="I112" s="151"/>
      <c r="J112" s="151"/>
      <c r="K112" s="151"/>
      <c r="L112" s="66">
        <f t="shared" si="22"/>
        <v>31565880.076286234</v>
      </c>
      <c r="M112" s="115">
        <f>+PROMIGAS!AU119</f>
        <v>3777444.4653087226</v>
      </c>
      <c r="N112" s="59"/>
      <c r="O112" s="956">
        <f t="shared" si="26"/>
        <v>3777444.4653087226</v>
      </c>
      <c r="P112" s="405">
        <f t="shared" si="27"/>
        <v>35343324.54159496</v>
      </c>
      <c r="Q112" s="411">
        <f t="shared" si="28"/>
        <v>81747</v>
      </c>
      <c r="R112" s="1060">
        <f t="shared" si="17"/>
        <v>0</v>
      </c>
      <c r="S112" s="1052"/>
      <c r="T112" s="1052"/>
      <c r="U112" s="1052"/>
      <c r="V112" s="1052"/>
      <c r="W112" s="1052"/>
      <c r="X112" s="1052"/>
      <c r="Y112" s="1052"/>
      <c r="Z112" s="971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</row>
    <row r="113" spans="1:37" s="774" customFormat="1">
      <c r="A113" s="791"/>
      <c r="B113" s="788" t="s">
        <v>448</v>
      </c>
      <c r="C113" s="795">
        <v>97</v>
      </c>
      <c r="D113" s="971">
        <f>+Chevron!C139</f>
        <v>2642.1751705859206</v>
      </c>
      <c r="E113" s="165"/>
      <c r="F113" s="165"/>
      <c r="G113" s="111">
        <f>+EcopeGj!F142</f>
        <v>0</v>
      </c>
      <c r="H113" s="151">
        <f>+Chevron!F139</f>
        <v>29000536.5363506</v>
      </c>
      <c r="I113" s="151"/>
      <c r="J113" s="151"/>
      <c r="K113" s="151"/>
      <c r="L113" s="66">
        <f t="shared" si="22"/>
        <v>29000536.5363506</v>
      </c>
      <c r="M113" s="115">
        <f>+PROMIGAS!AU120</f>
        <v>3470453.4125287542</v>
      </c>
      <c r="N113" s="59"/>
      <c r="O113" s="956">
        <f t="shared" si="26"/>
        <v>3470453.4125287542</v>
      </c>
      <c r="P113" s="405">
        <f t="shared" si="27"/>
        <v>32470989.948879354</v>
      </c>
      <c r="Q113" s="411">
        <f t="shared" si="28"/>
        <v>75103.461538461532</v>
      </c>
      <c r="R113" s="1060">
        <f t="shared" si="17"/>
        <v>0</v>
      </c>
      <c r="S113" s="1052"/>
      <c r="T113" s="1052"/>
      <c r="U113" s="1052"/>
      <c r="V113" s="1052"/>
      <c r="W113" s="1052"/>
      <c r="X113" s="1052"/>
      <c r="Y113" s="1052"/>
      <c r="Z113" s="971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</row>
    <row r="114" spans="1:37" s="774" customFormat="1">
      <c r="A114" s="791"/>
      <c r="B114" s="794" t="s">
        <v>474</v>
      </c>
      <c r="C114" s="795">
        <v>97</v>
      </c>
      <c r="D114" s="971">
        <f>+Chevron!C140</f>
        <v>4317.8318417173123</v>
      </c>
      <c r="E114" s="165"/>
      <c r="F114" s="165"/>
      <c r="G114" s="111">
        <f>+EcopeGj!F143</f>
        <v>0</v>
      </c>
      <c r="H114" s="151">
        <f>+Chevron!F140</f>
        <v>47392558.024747714</v>
      </c>
      <c r="I114" s="151"/>
      <c r="J114" s="151"/>
      <c r="K114" s="151"/>
      <c r="L114" s="66">
        <f t="shared" si="22"/>
        <v>47392558.024747714</v>
      </c>
      <c r="M114" s="115">
        <f>+PROMIGAS!AU121</f>
        <v>5671400.7521651816</v>
      </c>
      <c r="N114" s="59"/>
      <c r="O114" s="956">
        <f t="shared" si="26"/>
        <v>5671400.7521651816</v>
      </c>
      <c r="P114" s="405">
        <f t="shared" si="27"/>
        <v>53063958.776912898</v>
      </c>
      <c r="Q114" s="411">
        <f t="shared" si="28"/>
        <v>122733.76923076923</v>
      </c>
      <c r="R114" s="1060">
        <f t="shared" si="17"/>
        <v>0</v>
      </c>
      <c r="S114" s="1052"/>
      <c r="T114" s="1052"/>
      <c r="U114" s="1052"/>
      <c r="V114" s="1052"/>
      <c r="W114" s="1052"/>
      <c r="X114" s="1052"/>
      <c r="Y114" s="1052"/>
      <c r="Z114" s="971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</row>
    <row r="115" spans="1:37" s="774" customFormat="1">
      <c r="A115" s="791">
        <v>1</v>
      </c>
      <c r="B115" s="794" t="s">
        <v>486</v>
      </c>
      <c r="C115" s="793">
        <v>96</v>
      </c>
      <c r="D115" s="971">
        <f>+Chevron!C167</f>
        <v>2182.321759010536</v>
      </c>
      <c r="E115" s="165"/>
      <c r="F115" s="165"/>
      <c r="G115" s="111">
        <f>+EcopeGj!F170</f>
        <v>0</v>
      </c>
      <c r="H115" s="151">
        <f>+Chevron!F167</f>
        <v>23953181.685612198</v>
      </c>
      <c r="I115" s="151"/>
      <c r="J115" s="151"/>
      <c r="K115" s="151"/>
      <c r="L115" s="66">
        <f t="shared" si="22"/>
        <v>23953181.685612198</v>
      </c>
      <c r="M115" s="115">
        <f>+PROMIGAS!AU123</f>
        <v>2866443.5576065006</v>
      </c>
      <c r="N115" s="59"/>
      <c r="O115" s="956">
        <f t="shared" si="26"/>
        <v>2866443.5576065006</v>
      </c>
      <c r="P115" s="405">
        <f t="shared" si="27"/>
        <v>26819625.243218698</v>
      </c>
      <c r="Q115" s="411">
        <f t="shared" si="28"/>
        <v>62032.192307692305</v>
      </c>
      <c r="R115" s="1060">
        <f t="shared" si="17"/>
        <v>0</v>
      </c>
      <c r="S115" s="1052"/>
      <c r="T115" s="1052"/>
      <c r="U115" s="1052"/>
      <c r="V115" s="1052"/>
      <c r="W115" s="1052"/>
      <c r="X115" s="1052"/>
      <c r="Y115" s="1052"/>
      <c r="Z115" s="971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</row>
    <row r="116" spans="1:37" s="774" customFormat="1">
      <c r="A116" s="791"/>
      <c r="B116" s="1095" t="s">
        <v>578</v>
      </c>
      <c r="C116" s="796">
        <v>97</v>
      </c>
      <c r="D116" s="971">
        <f>+Chevron!C168</f>
        <v>1286.0207740116482</v>
      </c>
      <c r="E116" s="165"/>
      <c r="F116" s="165"/>
      <c r="G116" s="111">
        <f>+EcopeGj!F171</f>
        <v>0</v>
      </c>
      <c r="H116" s="151">
        <f>+Chevron!F168</f>
        <v>14115374.657373756</v>
      </c>
      <c r="I116" s="151"/>
      <c r="J116" s="151"/>
      <c r="K116" s="151"/>
      <c r="L116" s="66">
        <f t="shared" ref="L116" si="29">SUM(E116:K116)</f>
        <v>14115374.657373756</v>
      </c>
      <c r="M116" s="115">
        <f>+PROMIGAS!AU122</f>
        <v>2251231.4018235663</v>
      </c>
      <c r="N116" s="59"/>
      <c r="O116" s="956">
        <f t="shared" ref="O116" si="30">SUM(M116:N116)</f>
        <v>2251231.4018235663</v>
      </c>
      <c r="P116" s="405">
        <f t="shared" ref="P116" si="31">+O116+L116</f>
        <v>16366606.059197322</v>
      </c>
      <c r="Q116" s="411">
        <f t="shared" ref="Q116" si="32">D116*1000000/$P$1/35.314667</f>
        <v>36554.961538461532</v>
      </c>
      <c r="R116" s="1060"/>
      <c r="S116" s="1052"/>
      <c r="T116" s="1052"/>
      <c r="U116" s="1052"/>
      <c r="V116" s="1052"/>
      <c r="W116" s="1052"/>
      <c r="X116" s="1052"/>
      <c r="Y116" s="1052"/>
      <c r="Z116" s="971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</row>
    <row r="117" spans="1:37" s="774" customFormat="1">
      <c r="B117" s="788" t="s">
        <v>187</v>
      </c>
      <c r="C117" s="796">
        <v>97</v>
      </c>
      <c r="D117" s="971">
        <f>+Chevron!C143</f>
        <v>5244.7873438842589</v>
      </c>
      <c r="E117" s="165"/>
      <c r="F117" s="165"/>
      <c r="G117" s="111">
        <f>+EcopeGj!F146</f>
        <v>0</v>
      </c>
      <c r="H117" s="151">
        <f>+Chevron!F143</f>
        <v>57566829.287088901</v>
      </c>
      <c r="I117" s="151"/>
      <c r="J117" s="151"/>
      <c r="K117" s="151"/>
      <c r="L117" s="66">
        <f t="shared" si="22"/>
        <v>57566829.287088901</v>
      </c>
      <c r="M117" s="115">
        <f>+PROMIGAS!AU92</f>
        <v>7155810.3218406616</v>
      </c>
      <c r="N117" s="59"/>
      <c r="O117" s="956">
        <f t="shared" si="23"/>
        <v>7155810.3218406616</v>
      </c>
      <c r="P117" s="405">
        <f t="shared" si="24"/>
        <v>64722639.60892956</v>
      </c>
      <c r="Q117" s="411">
        <f t="shared" si="25"/>
        <v>149082.35038461545</v>
      </c>
      <c r="R117" s="1060">
        <f t="shared" si="17"/>
        <v>0</v>
      </c>
      <c r="S117" s="1052"/>
      <c r="T117" s="1052"/>
      <c r="U117" s="1052"/>
      <c r="V117" s="1052"/>
      <c r="W117" s="1052"/>
      <c r="X117" s="1052"/>
      <c r="Y117" s="1052"/>
      <c r="Z117" s="971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</row>
    <row r="118" spans="1:37" s="774" customFormat="1">
      <c r="B118" s="788" t="s">
        <v>202</v>
      </c>
      <c r="C118" s="796">
        <v>97</v>
      </c>
      <c r="D118" s="971">
        <f>+Chevron!C144</f>
        <v>7351.2368553903107</v>
      </c>
      <c r="E118" s="165"/>
      <c r="F118" s="165"/>
      <c r="G118" s="111">
        <f>+EcopeGj!F147</f>
        <v>0</v>
      </c>
      <c r="H118" s="151">
        <f>+Chevron!F144</f>
        <v>80687236.556249037</v>
      </c>
      <c r="I118" s="151"/>
      <c r="J118" s="151"/>
      <c r="K118" s="151"/>
      <c r="L118" s="66">
        <f t="shared" si="22"/>
        <v>80687236.556249037</v>
      </c>
      <c r="M118" s="115">
        <f>+PROMIGAS!AU87</f>
        <v>7952412.7940303963</v>
      </c>
      <c r="N118" s="59"/>
      <c r="O118" s="956">
        <f t="shared" si="23"/>
        <v>7952412.7940303963</v>
      </c>
      <c r="P118" s="405">
        <f t="shared" si="24"/>
        <v>88639649.350279436</v>
      </c>
      <c r="Q118" s="411">
        <f t="shared" si="25"/>
        <v>208957.88461538468</v>
      </c>
      <c r="R118" s="1060">
        <f t="shared" si="17"/>
        <v>0</v>
      </c>
      <c r="S118" s="1052"/>
      <c r="T118" s="1052"/>
      <c r="U118" s="1052"/>
      <c r="V118" s="1052"/>
      <c r="W118" s="1052"/>
      <c r="X118" s="1052"/>
      <c r="Y118" s="1052"/>
      <c r="Z118" s="971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</row>
    <row r="119" spans="1:37" s="774" customFormat="1">
      <c r="B119" s="788" t="s">
        <v>329</v>
      </c>
      <c r="C119" s="796">
        <v>97</v>
      </c>
      <c r="D119" s="971">
        <f>+Chevron!C147+'E2'!C16</f>
        <v>6684.0463080600539</v>
      </c>
      <c r="E119" s="165"/>
      <c r="F119" s="165"/>
      <c r="G119" s="111">
        <f>+EcopeGj!F150</f>
        <v>0</v>
      </c>
      <c r="H119" s="151">
        <f>+Chevron!F147</f>
        <v>159660.39763785066</v>
      </c>
      <c r="I119" s="151">
        <f>+'E2'!F16</f>
        <v>73204487.190112501</v>
      </c>
      <c r="J119" s="151"/>
      <c r="K119" s="151"/>
      <c r="L119" s="66">
        <f t="shared" si="22"/>
        <v>73364147.587750345</v>
      </c>
      <c r="M119" s="115">
        <f>+PROMIGAS!AU88</f>
        <v>7230660.1489969566</v>
      </c>
      <c r="N119" s="59"/>
      <c r="O119" s="956">
        <f t="shared" si="23"/>
        <v>7230660.1489969566</v>
      </c>
      <c r="P119" s="405">
        <f t="shared" si="24"/>
        <v>80594807.736747295</v>
      </c>
      <c r="Q119" s="411">
        <f t="shared" si="25"/>
        <v>189993.08615384623</v>
      </c>
      <c r="R119" s="1060">
        <f t="shared" si="17"/>
        <v>0</v>
      </c>
      <c r="S119" s="1052"/>
      <c r="T119" s="1052"/>
      <c r="U119" s="1052"/>
      <c r="V119" s="1052"/>
      <c r="W119" s="1052"/>
      <c r="X119" s="1052"/>
      <c r="Y119" s="1052"/>
      <c r="Z119" s="971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</row>
    <row r="120" spans="1:37" s="774" customFormat="1">
      <c r="B120" s="788" t="s">
        <v>334</v>
      </c>
      <c r="C120" s="796">
        <v>97</v>
      </c>
      <c r="D120" s="971">
        <f>+Chevron!C149</f>
        <v>5221.6285673573129</v>
      </c>
      <c r="E120" s="165"/>
      <c r="F120" s="165"/>
      <c r="G120" s="111">
        <f>+EcopeGj!F152</f>
        <v>0</v>
      </c>
      <c r="H120" s="151">
        <f>+Chevron!F149</f>
        <v>57312638.364290267</v>
      </c>
      <c r="I120" s="151"/>
      <c r="J120" s="151"/>
      <c r="K120" s="151"/>
      <c r="L120" s="66">
        <f t="shared" si="22"/>
        <v>57312638.364290267</v>
      </c>
      <c r="M120" s="115">
        <f>+PROMIGAS!AU104</f>
        <v>6051939.2833005069</v>
      </c>
      <c r="N120" s="59"/>
      <c r="O120" s="956">
        <f t="shared" si="23"/>
        <v>6051939.2833005069</v>
      </c>
      <c r="P120" s="405">
        <f t="shared" si="24"/>
        <v>63364577.647590771</v>
      </c>
      <c r="Q120" s="411">
        <f t="shared" si="25"/>
        <v>148424.06538461539</v>
      </c>
      <c r="R120" s="1060">
        <f t="shared" si="17"/>
        <v>0</v>
      </c>
      <c r="S120" s="1052"/>
      <c r="T120" s="1052"/>
      <c r="U120" s="1052"/>
      <c r="V120" s="1052"/>
      <c r="W120" s="1052"/>
      <c r="X120" s="1052"/>
      <c r="Y120" s="1052"/>
      <c r="Z120" s="971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</row>
    <row r="121" spans="1:37" s="774" customFormat="1">
      <c r="B121" s="788" t="s">
        <v>373</v>
      </c>
      <c r="C121" s="796">
        <v>97</v>
      </c>
      <c r="D121" s="971">
        <f>+Chevron!C154</f>
        <v>6123.6467848653419</v>
      </c>
      <c r="E121" s="165"/>
      <c r="F121" s="165"/>
      <c r="G121" s="111">
        <f>+EcopeGj!F157</f>
        <v>0</v>
      </c>
      <c r="H121" s="151">
        <f>+Chevron!F154</f>
        <v>67213197.783859134</v>
      </c>
      <c r="I121" s="151"/>
      <c r="J121" s="151"/>
      <c r="K121" s="151"/>
      <c r="L121" s="66">
        <f t="shared" si="22"/>
        <v>67213197.783859134</v>
      </c>
      <c r="M121" s="115">
        <f>+PROMIGAS!AU105</f>
        <v>7097390.7960557211</v>
      </c>
      <c r="N121" s="59"/>
      <c r="O121" s="956">
        <f t="shared" ref="O121:O130" si="33">SUM(M121:N121)</f>
        <v>7097390.7960557211</v>
      </c>
      <c r="P121" s="405">
        <f t="shared" ref="P121:P130" si="34">+O121+L121</f>
        <v>74310588.579914853</v>
      </c>
      <c r="Q121" s="411">
        <f>D121*1000000/$P$1/35.314667</f>
        <v>174063.80769230769</v>
      </c>
      <c r="R121" s="1060">
        <f t="shared" si="17"/>
        <v>0</v>
      </c>
      <c r="S121" s="1052"/>
      <c r="T121" s="1052"/>
      <c r="U121" s="1052"/>
      <c r="V121" s="1052"/>
      <c r="W121" s="1052"/>
      <c r="X121" s="1052"/>
      <c r="Y121" s="1052"/>
      <c r="Z121" s="971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</row>
    <row r="122" spans="1:37" s="774" customFormat="1">
      <c r="B122" s="788" t="s">
        <v>431</v>
      </c>
      <c r="C122" s="796">
        <v>97</v>
      </c>
      <c r="D122" s="971">
        <f>+Chevron!C163</f>
        <v>5059.1006084198752</v>
      </c>
      <c r="E122" s="165"/>
      <c r="F122" s="165"/>
      <c r="G122" s="111">
        <f>+EcopeGj!F166</f>
        <v>0</v>
      </c>
      <c r="H122" s="151">
        <f>+Chevron!F163</f>
        <v>55528730.142074093</v>
      </c>
      <c r="I122" s="151"/>
      <c r="J122" s="151"/>
      <c r="K122" s="151"/>
      <c r="L122" s="66">
        <f t="shared" si="22"/>
        <v>55528730.142074093</v>
      </c>
      <c r="M122" s="115">
        <f>+PROMIGAS!AU110</f>
        <v>5863567.1448690034</v>
      </c>
      <c r="N122" s="59"/>
      <c r="O122" s="956">
        <f>SUM(M122:N122)</f>
        <v>5863567.1448690034</v>
      </c>
      <c r="P122" s="405">
        <f>+O122+L122</f>
        <v>61392297.286943093</v>
      </c>
      <c r="Q122" s="411">
        <f>D122*1000000/$P$1/35.314667</f>
        <v>143804.23076923081</v>
      </c>
      <c r="R122" s="1060">
        <f t="shared" si="17"/>
        <v>0</v>
      </c>
      <c r="S122" s="1052"/>
      <c r="T122" s="1052"/>
      <c r="U122" s="1052"/>
      <c r="V122" s="1052"/>
      <c r="W122" s="1052"/>
      <c r="X122" s="1052"/>
      <c r="Y122" s="1052"/>
      <c r="Z122" s="971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</row>
    <row r="123" spans="1:37" s="774" customFormat="1">
      <c r="B123" s="788" t="s">
        <v>339</v>
      </c>
      <c r="C123" s="796">
        <v>97</v>
      </c>
      <c r="D123" s="971">
        <f>+Chevron!C160</f>
        <v>4087.4647034912787</v>
      </c>
      <c r="E123" s="165"/>
      <c r="F123" s="165"/>
      <c r="G123" s="111">
        <f>+EcopeGj!F163</f>
        <v>0</v>
      </c>
      <c r="H123" s="151">
        <f>+Chevron!F160</f>
        <v>44864046.409290701</v>
      </c>
      <c r="I123" s="151"/>
      <c r="J123" s="151"/>
      <c r="K123" s="151"/>
      <c r="L123" s="66">
        <f t="shared" si="22"/>
        <v>44864046.409290701</v>
      </c>
      <c r="M123" s="115">
        <f>+PROMIGAS!AU93</f>
        <v>5576798.4853587095</v>
      </c>
      <c r="N123" s="59"/>
      <c r="O123" s="961">
        <f t="shared" si="33"/>
        <v>5576798.4853587095</v>
      </c>
      <c r="P123" s="512">
        <f t="shared" si="34"/>
        <v>50440844.894649409</v>
      </c>
      <c r="Q123" s="411">
        <f t="shared" si="25"/>
        <v>116185.6153846154</v>
      </c>
      <c r="R123" s="1060">
        <f t="shared" si="17"/>
        <v>0</v>
      </c>
      <c r="S123" s="1052"/>
      <c r="T123" s="1052"/>
      <c r="U123" s="1052"/>
      <c r="V123" s="1052"/>
      <c r="W123" s="1052"/>
      <c r="X123" s="1052"/>
      <c r="Y123" s="1052"/>
      <c r="Z123" s="971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</row>
    <row r="124" spans="1:37" s="774" customFormat="1">
      <c r="B124" s="788" t="s">
        <v>352</v>
      </c>
      <c r="C124" s="796">
        <v>97</v>
      </c>
      <c r="D124" s="971">
        <f>+Chevron!C161</f>
        <v>1666.6382926320105</v>
      </c>
      <c r="E124" s="165"/>
      <c r="F124" s="165"/>
      <c r="G124" s="111">
        <f>+EcopeGj!F164</f>
        <v>0</v>
      </c>
      <c r="H124" s="151">
        <f>+Chevron!F161</f>
        <v>18293035.691360816</v>
      </c>
      <c r="I124" s="151"/>
      <c r="J124" s="151"/>
      <c r="K124" s="151"/>
      <c r="L124" s="66">
        <f t="shared" si="22"/>
        <v>18293035.691360816</v>
      </c>
      <c r="M124" s="115">
        <f>+PROMIGAS!AU106</f>
        <v>1931656.6898854156</v>
      </c>
      <c r="N124" s="59"/>
      <c r="O124" s="961">
        <f t="shared" si="33"/>
        <v>1931656.6898854156</v>
      </c>
      <c r="P124" s="512">
        <f t="shared" si="34"/>
        <v>20224692.381246231</v>
      </c>
      <c r="Q124" s="411">
        <f t="shared" si="25"/>
        <v>47373.961538461524</v>
      </c>
      <c r="R124" s="1060">
        <f t="shared" si="17"/>
        <v>0</v>
      </c>
      <c r="S124" s="1052"/>
      <c r="T124" s="1052"/>
      <c r="U124" s="1052"/>
      <c r="V124" s="1052"/>
      <c r="W124" s="1052"/>
      <c r="X124" s="1052"/>
      <c r="Y124" s="1052"/>
      <c r="Z124" s="971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</row>
    <row r="125" spans="1:37" s="774" customFormat="1">
      <c r="B125" s="788" t="s">
        <v>356</v>
      </c>
      <c r="C125" s="796">
        <v>97</v>
      </c>
      <c r="D125" s="971">
        <f>+Chevron!C152</f>
        <v>4592.2841697240374</v>
      </c>
      <c r="E125" s="165"/>
      <c r="F125" s="165"/>
      <c r="G125" s="111">
        <f>+EcopeGj!F155</f>
        <v>0</v>
      </c>
      <c r="H125" s="151">
        <f>+Chevron!F152</f>
        <v>50404949.048042543</v>
      </c>
      <c r="I125" s="151"/>
      <c r="J125" s="151"/>
      <c r="K125" s="151"/>
      <c r="L125" s="66">
        <f t="shared" si="22"/>
        <v>50404949.048042543</v>
      </c>
      <c r="M125" s="115">
        <f>+PROMIGAS!AU107</f>
        <v>5322520.4758096598</v>
      </c>
      <c r="N125" s="59"/>
      <c r="O125" s="956">
        <f t="shared" si="33"/>
        <v>5322520.4758096598</v>
      </c>
      <c r="P125" s="405">
        <f t="shared" si="34"/>
        <v>55727469.523852199</v>
      </c>
      <c r="Q125" s="411">
        <f t="shared" si="25"/>
        <v>130535.03846153842</v>
      </c>
      <c r="R125" s="1060">
        <f t="shared" si="17"/>
        <v>0</v>
      </c>
      <c r="S125" s="1052"/>
      <c r="T125" s="1052"/>
      <c r="U125" s="1052"/>
      <c r="V125" s="1052"/>
      <c r="W125" s="1052"/>
      <c r="X125" s="1052"/>
      <c r="Y125" s="1052"/>
      <c r="Z125" s="971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</row>
    <row r="126" spans="1:37" s="774" customFormat="1">
      <c r="B126" s="788" t="s">
        <v>364</v>
      </c>
      <c r="C126" s="796">
        <v>97</v>
      </c>
      <c r="D126" s="971">
        <f>+Chevron!C153</f>
        <v>3195.5680428758096</v>
      </c>
      <c r="E126" s="165"/>
      <c r="F126" s="165"/>
      <c r="G126" s="111">
        <f>+EcopeGj!F156</f>
        <v>0</v>
      </c>
      <c r="H126" s="151">
        <f>+Chevron!F153</f>
        <v>35074581.281930439</v>
      </c>
      <c r="I126" s="151"/>
      <c r="J126" s="151"/>
      <c r="K126" s="151"/>
      <c r="L126" s="66">
        <f t="shared" si="22"/>
        <v>35074581.281930439</v>
      </c>
      <c r="M126" s="115">
        <f>+PROMIGAS!AU108</f>
        <v>3703707.2862743991</v>
      </c>
      <c r="N126" s="59"/>
      <c r="O126" s="956">
        <f t="shared" si="33"/>
        <v>3703707.2862743991</v>
      </c>
      <c r="P126" s="405">
        <f t="shared" si="34"/>
        <v>38778288.568204835</v>
      </c>
      <c r="Q126" s="411">
        <f t="shared" si="25"/>
        <v>90833.576923076966</v>
      </c>
      <c r="R126" s="1060">
        <f t="shared" si="17"/>
        <v>0</v>
      </c>
      <c r="S126" s="1052"/>
      <c r="T126" s="1052"/>
      <c r="U126" s="1052"/>
      <c r="V126" s="1052"/>
      <c r="W126" s="1052"/>
      <c r="X126" s="1052"/>
      <c r="Y126" s="1052"/>
      <c r="Z126" s="971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</row>
    <row r="127" spans="1:37" s="774" customFormat="1">
      <c r="B127" s="788" t="s">
        <v>386</v>
      </c>
      <c r="C127" s="796">
        <v>97</v>
      </c>
      <c r="D127" s="971">
        <f>+Chevron!C166</f>
        <v>2035.4690002834163</v>
      </c>
      <c r="E127" s="165"/>
      <c r="F127" s="165"/>
      <c r="G127" s="111">
        <f>+EcopeGj!F169</f>
        <v>0</v>
      </c>
      <c r="H127" s="151">
        <f>+Chevron!F166</f>
        <v>22341324.590616755</v>
      </c>
      <c r="I127" s="151"/>
      <c r="J127" s="151"/>
      <c r="K127" s="151"/>
      <c r="L127" s="66">
        <f t="shared" si="22"/>
        <v>22341324.590616755</v>
      </c>
      <c r="M127" s="115">
        <f>+PROMIGAS!AU109</f>
        <v>2359136.549804437</v>
      </c>
      <c r="N127" s="59"/>
      <c r="O127" s="956">
        <f>SUM(M127:N127)</f>
        <v>2359136.549804437</v>
      </c>
      <c r="P127" s="405">
        <f>+O127+L127</f>
        <v>24700461.140421193</v>
      </c>
      <c r="Q127" s="411">
        <f>D127*1000000/$P$1/35.314667</f>
        <v>57857.923076923093</v>
      </c>
      <c r="R127" s="1060">
        <f t="shared" si="17"/>
        <v>0</v>
      </c>
      <c r="S127" s="1052"/>
      <c r="T127" s="1052"/>
      <c r="U127" s="1052"/>
      <c r="V127" s="1052"/>
      <c r="W127" s="1052"/>
      <c r="X127" s="1052"/>
      <c r="Y127" s="1052"/>
      <c r="Z127" s="971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</row>
    <row r="128" spans="1:37" s="774" customFormat="1">
      <c r="A128" s="774">
        <v>1</v>
      </c>
      <c r="B128" s="788" t="s">
        <v>368</v>
      </c>
      <c r="C128" s="797">
        <v>96</v>
      </c>
      <c r="D128" s="971">
        <f>+Chevron!C164</f>
        <v>1748.7684558961362</v>
      </c>
      <c r="E128" s="165"/>
      <c r="F128" s="165"/>
      <c r="G128" s="111">
        <f>+EcopeGj!F167</f>
        <v>0</v>
      </c>
      <c r="H128" s="151">
        <f>+Chevron!F164</f>
        <v>19194497.042974964</v>
      </c>
      <c r="I128" s="151"/>
      <c r="J128" s="151"/>
      <c r="K128" s="151"/>
      <c r="L128" s="66">
        <f t="shared" si="22"/>
        <v>19194497.042974964</v>
      </c>
      <c r="M128" s="115">
        <f>+PROMIGAS!AU89</f>
        <v>2385960.4873785474</v>
      </c>
      <c r="N128" s="59"/>
      <c r="O128" s="956">
        <f t="shared" si="33"/>
        <v>2385960.4873785474</v>
      </c>
      <c r="P128" s="405">
        <f t="shared" si="34"/>
        <v>21580457.530353513</v>
      </c>
      <c r="Q128" s="411">
        <f t="shared" si="25"/>
        <v>49708.500000000007</v>
      </c>
      <c r="R128" s="1060">
        <f t="shared" si="17"/>
        <v>0</v>
      </c>
      <c r="S128" s="1052"/>
      <c r="T128" s="1052"/>
      <c r="U128" s="1052"/>
      <c r="V128" s="1052"/>
      <c r="W128" s="1052"/>
      <c r="X128" s="1052"/>
      <c r="Y128" s="1052"/>
      <c r="Z128" s="971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</row>
    <row r="129" spans="1:37" s="774" customFormat="1">
      <c r="A129" s="774">
        <v>1</v>
      </c>
      <c r="B129" s="788" t="s">
        <v>429</v>
      </c>
      <c r="C129" s="797">
        <v>96</v>
      </c>
      <c r="D129" s="971">
        <f>+Chevron!C162</f>
        <v>2773.4659831582953</v>
      </c>
      <c r="E129" s="165"/>
      <c r="F129" s="165"/>
      <c r="G129" s="111">
        <f>+EcopeGj!F165</f>
        <v>0</v>
      </c>
      <c r="H129" s="151">
        <f>+Chevron!F162</f>
        <v>30441585.581576463</v>
      </c>
      <c r="I129" s="151"/>
      <c r="J129" s="151"/>
      <c r="K129" s="151"/>
      <c r="L129" s="66">
        <f t="shared" si="22"/>
        <v>30441585.581576463</v>
      </c>
      <c r="M129" s="115">
        <f>+PROMIGAS!AU90</f>
        <v>3784023.1087157791</v>
      </c>
      <c r="N129" s="59"/>
      <c r="O129" s="956">
        <f>SUM(M129:N129)</f>
        <v>3784023.1087157791</v>
      </c>
      <c r="P129" s="405">
        <f>+O129+L129</f>
        <v>34225608.690292239</v>
      </c>
      <c r="Q129" s="411">
        <f>D129*1000000/$P$1/35.314667</f>
        <v>78835.384615384595</v>
      </c>
      <c r="R129" s="1060">
        <f t="shared" si="17"/>
        <v>0</v>
      </c>
      <c r="S129" s="1052"/>
      <c r="T129" s="1052"/>
      <c r="U129" s="1052"/>
      <c r="V129" s="1052"/>
      <c r="W129" s="1052"/>
      <c r="X129" s="1052"/>
      <c r="Y129" s="1052"/>
      <c r="Z129" s="971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</row>
    <row r="130" spans="1:37" s="774" customFormat="1">
      <c r="B130" s="788" t="s">
        <v>392</v>
      </c>
      <c r="C130" s="796">
        <v>97</v>
      </c>
      <c r="D130" s="971">
        <f>+Chevron!C165</f>
        <v>476.84151991142636</v>
      </c>
      <c r="E130" s="165"/>
      <c r="F130" s="165"/>
      <c r="G130" s="111">
        <f>+EcopeGj!F168</f>
        <v>0</v>
      </c>
      <c r="H130" s="151">
        <f>+Chevron!F165</f>
        <v>5233816.4684113935</v>
      </c>
      <c r="I130" s="151"/>
      <c r="J130" s="151"/>
      <c r="K130" s="151"/>
      <c r="L130" s="66">
        <f t="shared" si="22"/>
        <v>5233816.4684113935</v>
      </c>
      <c r="M130" s="115">
        <f>+PROMIGAS!AU91</f>
        <v>650586.42921780073</v>
      </c>
      <c r="N130" s="59"/>
      <c r="O130" s="956">
        <f t="shared" si="33"/>
        <v>650586.42921780073</v>
      </c>
      <c r="P130" s="405">
        <f t="shared" si="34"/>
        <v>5884402.897629194</v>
      </c>
      <c r="Q130" s="411">
        <f t="shared" si="25"/>
        <v>13554.153846153848</v>
      </c>
      <c r="R130" s="1060">
        <f t="shared" si="17"/>
        <v>0</v>
      </c>
      <c r="S130" s="1052"/>
      <c r="T130" s="1052"/>
      <c r="U130" s="1052"/>
      <c r="V130" s="1052"/>
      <c r="W130" s="1052"/>
      <c r="X130" s="1052"/>
      <c r="Y130" s="1052"/>
      <c r="Z130" s="971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</row>
    <row r="131" spans="1:37" s="774" customFormat="1">
      <c r="B131" s="775" t="s">
        <v>77</v>
      </c>
      <c r="C131" s="776">
        <v>98</v>
      </c>
      <c r="D131" s="971">
        <f>+Chevron!C88</f>
        <v>0</v>
      </c>
      <c r="E131" s="165"/>
      <c r="F131" s="165"/>
      <c r="G131" s="111">
        <f>+EcopeGj!F97</f>
        <v>0</v>
      </c>
      <c r="H131" s="151">
        <f>+Chevron!F88</f>
        <v>0</v>
      </c>
      <c r="I131" s="151"/>
      <c r="J131" s="151"/>
      <c r="K131" s="151"/>
      <c r="L131" s="66">
        <f t="shared" si="22"/>
        <v>0</v>
      </c>
      <c r="M131" s="115">
        <f>+PROMIGAS!AU154</f>
        <v>0</v>
      </c>
      <c r="N131" s="59"/>
      <c r="O131" s="956">
        <f t="shared" si="23"/>
        <v>0</v>
      </c>
      <c r="P131" s="405">
        <f t="shared" si="24"/>
        <v>0</v>
      </c>
      <c r="Q131" s="411">
        <f t="shared" si="25"/>
        <v>0</v>
      </c>
      <c r="R131" s="1060">
        <f t="shared" si="17"/>
        <v>0</v>
      </c>
      <c r="S131" s="1052"/>
      <c r="T131" s="1052"/>
      <c r="U131" s="1052"/>
      <c r="V131" s="1052"/>
      <c r="W131" s="1052"/>
      <c r="X131" s="1052"/>
      <c r="Y131" s="1052"/>
      <c r="Z131" s="971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</row>
    <row r="132" spans="1:37" s="774" customFormat="1">
      <c r="B132" s="775" t="s">
        <v>78</v>
      </c>
      <c r="C132" s="776">
        <v>98</v>
      </c>
      <c r="D132" s="971">
        <f>+Chevron!C89</f>
        <v>0</v>
      </c>
      <c r="E132" s="165"/>
      <c r="F132" s="165"/>
      <c r="G132" s="111">
        <f>+EcopeGj!F98</f>
        <v>0</v>
      </c>
      <c r="H132" s="151">
        <f>+Chevron!F89</f>
        <v>0</v>
      </c>
      <c r="I132" s="151"/>
      <c r="J132" s="151"/>
      <c r="K132" s="151"/>
      <c r="L132" s="66">
        <f t="shared" si="22"/>
        <v>0</v>
      </c>
      <c r="M132" s="115">
        <f>+PROMIGAS!AU155</f>
        <v>0</v>
      </c>
      <c r="N132" s="59"/>
      <c r="O132" s="956">
        <f t="shared" si="23"/>
        <v>0</v>
      </c>
      <c r="P132" s="405">
        <f t="shared" si="24"/>
        <v>0</v>
      </c>
      <c r="Q132" s="411">
        <f t="shared" si="25"/>
        <v>0</v>
      </c>
      <c r="R132" s="1060">
        <f t="shared" si="17"/>
        <v>0</v>
      </c>
      <c r="S132" s="1052"/>
      <c r="T132" s="1052"/>
      <c r="U132" s="1052"/>
      <c r="V132" s="1052"/>
      <c r="W132" s="1052"/>
      <c r="X132" s="1052"/>
      <c r="Y132" s="1052"/>
      <c r="Z132" s="971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</row>
    <row r="133" spans="1:37" s="774" customFormat="1">
      <c r="B133" s="775" t="s">
        <v>79</v>
      </c>
      <c r="C133" s="776">
        <v>98</v>
      </c>
      <c r="D133" s="971">
        <f>+Chevron!C90</f>
        <v>7591.5065214285714</v>
      </c>
      <c r="E133" s="165"/>
      <c r="F133" s="165"/>
      <c r="G133" s="111">
        <f>+EcopeGj!F99</f>
        <v>0</v>
      </c>
      <c r="H133" s="151">
        <f>+Chevron!F90</f>
        <v>79158216.478970632</v>
      </c>
      <c r="I133" s="151"/>
      <c r="J133" s="151"/>
      <c r="K133" s="151"/>
      <c r="L133" s="66">
        <f t="shared" si="22"/>
        <v>79158216.478970632</v>
      </c>
      <c r="M133" s="115">
        <f>+PROMIGAS!AU156</f>
        <v>10650759.014965778</v>
      </c>
      <c r="N133" s="59"/>
      <c r="O133" s="956">
        <f t="shared" si="23"/>
        <v>10650759.014965778</v>
      </c>
      <c r="P133" s="405">
        <f t="shared" si="24"/>
        <v>89808975.493936405</v>
      </c>
      <c r="Q133" s="411">
        <f t="shared" si="25"/>
        <v>215787.51643656404</v>
      </c>
      <c r="R133" s="1060">
        <f t="shared" si="17"/>
        <v>0</v>
      </c>
      <c r="S133" s="1052"/>
      <c r="T133" s="1052"/>
      <c r="U133" s="1052"/>
      <c r="V133" s="1052"/>
      <c r="W133" s="1052"/>
      <c r="X133" s="1052"/>
      <c r="Y133" s="1052"/>
      <c r="Z133" s="971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</row>
    <row r="134" spans="1:37" s="774" customFormat="1">
      <c r="B134" s="788" t="s">
        <v>424</v>
      </c>
      <c r="C134" s="776">
        <v>98</v>
      </c>
      <c r="D134" s="971">
        <f>+Chevron!C91</f>
        <v>1245.8365572562698</v>
      </c>
      <c r="E134" s="165"/>
      <c r="F134" s="165"/>
      <c r="G134" s="111">
        <f>+EcopeGj!F100</f>
        <v>0</v>
      </c>
      <c r="H134" s="151">
        <f>+Chevron!F91</f>
        <v>12990596.74365521</v>
      </c>
      <c r="I134" s="151"/>
      <c r="J134" s="151"/>
      <c r="K134" s="151"/>
      <c r="L134" s="66">
        <f t="shared" si="22"/>
        <v>12990596.74365521</v>
      </c>
      <c r="M134" s="115">
        <f>+PROMIGAS!AU157</f>
        <v>1747888.2361381622</v>
      </c>
      <c r="N134" s="59"/>
      <c r="O134" s="956">
        <f t="shared" si="23"/>
        <v>1747888.2361381622</v>
      </c>
      <c r="P134" s="405">
        <f t="shared" si="24"/>
        <v>14738484.979793373</v>
      </c>
      <c r="Q134" s="411">
        <f t="shared" si="25"/>
        <v>35412.730769230773</v>
      </c>
      <c r="R134" s="1060">
        <f t="shared" si="17"/>
        <v>0</v>
      </c>
      <c r="S134" s="1052"/>
      <c r="T134" s="1052"/>
      <c r="U134" s="1052"/>
      <c r="V134" s="1052"/>
      <c r="W134" s="1052"/>
      <c r="X134" s="1052"/>
      <c r="Y134" s="1052"/>
      <c r="Z134" s="971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</row>
    <row r="135" spans="1:37" s="774" customFormat="1">
      <c r="A135" s="774">
        <v>4</v>
      </c>
      <c r="B135" s="788" t="s">
        <v>118</v>
      </c>
      <c r="C135" s="793">
        <v>96</v>
      </c>
      <c r="D135" s="971">
        <f>+Chevron!C131+'E2'!C9</f>
        <v>8053.2808000000005</v>
      </c>
      <c r="E135" s="165"/>
      <c r="F135" s="165"/>
      <c r="G135" s="111">
        <f>+EcopeGj!F135</f>
        <v>0</v>
      </c>
      <c r="H135" s="151">
        <f>+Chevron!F131</f>
        <v>0</v>
      </c>
      <c r="I135" s="151">
        <f>+'E2'!F9</f>
        <v>88392703.301698625</v>
      </c>
      <c r="J135" s="151"/>
      <c r="K135" s="151"/>
      <c r="L135" s="66">
        <f t="shared" si="22"/>
        <v>88392703.301698625</v>
      </c>
      <c r="M135" s="115">
        <f>+PROMIGAS!AU124</f>
        <v>12599331.827491244</v>
      </c>
      <c r="N135" s="59"/>
      <c r="O135" s="956">
        <f t="shared" si="23"/>
        <v>12599331.827491244</v>
      </c>
      <c r="P135" s="405">
        <f t="shared" si="24"/>
        <v>100992035.12918986</v>
      </c>
      <c r="Q135" s="411">
        <f t="shared" si="25"/>
        <v>228913.38604438773</v>
      </c>
      <c r="R135" s="1060">
        <f t="shared" si="17"/>
        <v>0</v>
      </c>
      <c r="S135" s="1052"/>
      <c r="T135" s="1052"/>
      <c r="U135" s="1052"/>
      <c r="V135" s="1052"/>
      <c r="W135" s="1052"/>
      <c r="X135" s="1052"/>
      <c r="Y135" s="1052"/>
      <c r="Z135" s="971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</row>
    <row r="136" spans="1:37" s="774" customFormat="1">
      <c r="A136" s="774">
        <v>4</v>
      </c>
      <c r="B136" s="794" t="s">
        <v>574</v>
      </c>
      <c r="C136" s="797">
        <v>96</v>
      </c>
      <c r="D136" s="971">
        <f>+Chevron!C132+'E2'!C10</f>
        <v>3225.6956000000005</v>
      </c>
      <c r="E136" s="165"/>
      <c r="F136" s="165"/>
      <c r="G136" s="111"/>
      <c r="H136" s="151">
        <f>+Chevron!F132</f>
        <v>0</v>
      </c>
      <c r="I136" s="151">
        <f>+'E2'!F10</f>
        <v>35405261.598231092</v>
      </c>
      <c r="J136" s="151"/>
      <c r="K136" s="151"/>
      <c r="L136" s="66">
        <f t="shared" si="22"/>
        <v>35405261.598231092</v>
      </c>
      <c r="M136" s="115">
        <f>+PROMIGAS!AU125</f>
        <v>5046590.3584137363</v>
      </c>
      <c r="N136" s="59"/>
      <c r="O136" s="956">
        <f t="shared" ref="O136" si="35">SUM(M136:N136)</f>
        <v>5046590.3584137363</v>
      </c>
      <c r="P136" s="405">
        <f t="shared" ref="P136" si="36">+O136+L136</f>
        <v>40451851.956644826</v>
      </c>
      <c r="Q136" s="411">
        <f t="shared" ref="Q136" si="37">D136*1000000/$P$1/35.314667</f>
        <v>91689.948541777281</v>
      </c>
      <c r="R136" s="1060"/>
      <c r="S136" s="1052"/>
      <c r="T136" s="1052"/>
      <c r="U136" s="1052"/>
      <c r="V136" s="1052"/>
      <c r="W136" s="1052"/>
      <c r="X136" s="1052"/>
      <c r="Y136" s="1052"/>
      <c r="Z136" s="971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</row>
    <row r="137" spans="1:37" s="774" customFormat="1">
      <c r="A137" s="774">
        <v>4</v>
      </c>
      <c r="B137" s="788" t="s">
        <v>208</v>
      </c>
      <c r="C137" s="793">
        <v>96</v>
      </c>
      <c r="D137" s="971">
        <f>+Chevron!C133+'E2'!C12</f>
        <v>3009.4219155696692</v>
      </c>
      <c r="E137" s="165"/>
      <c r="F137" s="165"/>
      <c r="G137" s="111">
        <f>+EcopeGj!F136</f>
        <v>0</v>
      </c>
      <c r="H137" s="151">
        <f>+Chevron!F133</f>
        <v>5560686.3375890385</v>
      </c>
      <c r="I137" s="151">
        <f>+'E2'!F12</f>
        <v>27470753.510670006</v>
      </c>
      <c r="J137" s="151"/>
      <c r="K137" s="151"/>
      <c r="L137" s="66">
        <f t="shared" si="22"/>
        <v>33031439.848259047</v>
      </c>
      <c r="M137" s="115">
        <f>+PROMIGAS!AU126</f>
        <v>4708230.8769348515</v>
      </c>
      <c r="N137" s="59"/>
      <c r="O137" s="956">
        <f t="shared" si="23"/>
        <v>4708230.8769348515</v>
      </c>
      <c r="P137" s="405">
        <f t="shared" si="24"/>
        <v>37739670.725193895</v>
      </c>
      <c r="Q137" s="411">
        <f t="shared" si="25"/>
        <v>85542.399158519402</v>
      </c>
      <c r="R137" s="1060">
        <f t="shared" si="17"/>
        <v>0</v>
      </c>
      <c r="S137" s="1052"/>
      <c r="T137" s="1052"/>
      <c r="U137" s="1052"/>
      <c r="V137" s="1052"/>
      <c r="W137" s="1052"/>
      <c r="X137" s="1052"/>
      <c r="Y137" s="1052"/>
      <c r="Z137" s="971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</row>
    <row r="138" spans="1:37" s="774" customFormat="1">
      <c r="A138" s="774">
        <v>4</v>
      </c>
      <c r="B138" s="788" t="s">
        <v>337</v>
      </c>
      <c r="C138" s="793">
        <v>96</v>
      </c>
      <c r="D138" s="971">
        <f>+Chevron!C141</f>
        <v>2219.5336000000002</v>
      </c>
      <c r="E138" s="165"/>
      <c r="F138" s="165"/>
      <c r="G138" s="111">
        <f>+EcopeGj!F144</f>
        <v>0</v>
      </c>
      <c r="H138" s="151">
        <f>+Chevron!F141</f>
        <v>24361619.160240542</v>
      </c>
      <c r="I138" s="151"/>
      <c r="J138" s="151"/>
      <c r="K138" s="151"/>
      <c r="L138" s="66">
        <f t="shared" si="22"/>
        <v>24361619.160240542</v>
      </c>
      <c r="M138" s="115">
        <f>+PROMIGAS!AU127</f>
        <v>3472453.1558201998</v>
      </c>
      <c r="N138" s="59"/>
      <c r="O138" s="956">
        <f t="shared" ref="O138:O145" si="38">SUM(M138:N138)</f>
        <v>3472453.1558201998</v>
      </c>
      <c r="P138" s="405">
        <f t="shared" ref="P138:P145" si="39">+O138+L138</f>
        <v>27834072.316060741</v>
      </c>
      <c r="Q138" s="411">
        <f t="shared" si="25"/>
        <v>63089.933709413148</v>
      </c>
      <c r="R138" s="1060">
        <f t="shared" si="17"/>
        <v>0</v>
      </c>
      <c r="S138" s="1052"/>
      <c r="T138" s="1052"/>
      <c r="U138" s="1052"/>
      <c r="V138" s="1052"/>
      <c r="W138" s="1052"/>
      <c r="X138" s="1052"/>
      <c r="Y138" s="1052"/>
      <c r="Z138" s="971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</row>
    <row r="139" spans="1:37" s="774" customFormat="1">
      <c r="A139" s="774">
        <v>4</v>
      </c>
      <c r="B139" s="788" t="s">
        <v>416</v>
      </c>
      <c r="C139" s="793">
        <v>96</v>
      </c>
      <c r="D139" s="971">
        <f>+Chevron!C134+'E2'!C11</f>
        <v>5416.3394000000008</v>
      </c>
      <c r="E139" s="165"/>
      <c r="F139" s="165"/>
      <c r="G139" s="111">
        <f>+EcopeGj!F137</f>
        <v>0</v>
      </c>
      <c r="H139" s="151">
        <f>+Chevron!F134</f>
        <v>0</v>
      </c>
      <c r="I139" s="151">
        <f>+'E2'!F11</f>
        <v>59449786.074608549</v>
      </c>
      <c r="J139" s="151"/>
      <c r="K139" s="151"/>
      <c r="L139" s="66">
        <f t="shared" si="22"/>
        <v>59449786.074608549</v>
      </c>
      <c r="M139" s="115">
        <f>+PROMIGAS!AU128</f>
        <v>8473845.5153475869</v>
      </c>
      <c r="N139" s="59"/>
      <c r="O139" s="956">
        <f t="shared" si="38"/>
        <v>8473845.5153475869</v>
      </c>
      <c r="P139" s="405">
        <f t="shared" si="39"/>
        <v>67923631.589956135</v>
      </c>
      <c r="Q139" s="411">
        <f>D139*1000000/$P$1/35.314667</f>
        <v>153958.6937064988</v>
      </c>
      <c r="R139" s="1060">
        <f t="shared" si="17"/>
        <v>0</v>
      </c>
      <c r="S139" s="1052"/>
      <c r="T139" s="1052"/>
      <c r="U139" s="1052"/>
      <c r="V139" s="1052"/>
      <c r="W139" s="1052"/>
      <c r="X139" s="1052"/>
      <c r="Y139" s="1052"/>
      <c r="Z139" s="971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</row>
    <row r="140" spans="1:37" s="774" customFormat="1">
      <c r="A140" s="774">
        <v>4</v>
      </c>
      <c r="B140" s="788" t="s">
        <v>411</v>
      </c>
      <c r="C140" s="793">
        <v>96</v>
      </c>
      <c r="D140" s="971">
        <f>+Chevron!C156+'E2'!C13</f>
        <v>3853.3016000000002</v>
      </c>
      <c r="E140" s="165"/>
      <c r="F140" s="165"/>
      <c r="G140" s="111">
        <f>+EcopeGj!F159</f>
        <v>0</v>
      </c>
      <c r="H140" s="151">
        <f>+Chevron!F156</f>
        <v>3064519.0719932439</v>
      </c>
      <c r="I140" s="151">
        <f>+'E2'!F13</f>
        <v>39229351.175677501</v>
      </c>
      <c r="J140" s="151"/>
      <c r="K140" s="151"/>
      <c r="L140" s="66">
        <f t="shared" si="22"/>
        <v>42293870.247670747</v>
      </c>
      <c r="M140" s="115">
        <f>+PROMIGAS!AU129</f>
        <v>6028477.9204275273</v>
      </c>
      <c r="N140" s="59"/>
      <c r="O140" s="956">
        <f t="shared" si="38"/>
        <v>6028477.9204275273</v>
      </c>
      <c r="P140" s="405">
        <f t="shared" si="39"/>
        <v>48322348.168098271</v>
      </c>
      <c r="Q140" s="411">
        <f>D140*1000000/$P$1/35.314667</f>
        <v>109529.561754044</v>
      </c>
      <c r="R140" s="1060">
        <f t="shared" si="17"/>
        <v>0</v>
      </c>
      <c r="S140" s="1052"/>
      <c r="T140" s="1052"/>
      <c r="U140" s="1052"/>
      <c r="V140" s="1052"/>
      <c r="W140" s="1052"/>
      <c r="X140" s="1052"/>
      <c r="Y140" s="1052"/>
      <c r="Z140" s="971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</row>
    <row r="141" spans="1:37" s="774" customFormat="1">
      <c r="A141" s="774">
        <v>4</v>
      </c>
      <c r="B141" s="788" t="s">
        <v>410</v>
      </c>
      <c r="C141" s="793">
        <v>96</v>
      </c>
      <c r="D141" s="971">
        <f>+Chevron!C155</f>
        <v>3379.1104000000005</v>
      </c>
      <c r="E141" s="165"/>
      <c r="F141" s="165"/>
      <c r="G141" s="111">
        <f>+EcopeGj!F158</f>
        <v>0</v>
      </c>
      <c r="H141" s="151">
        <f>+Chevron!F155</f>
        <v>37089143.712538563</v>
      </c>
      <c r="I141" s="151"/>
      <c r="J141" s="151"/>
      <c r="K141" s="151"/>
      <c r="L141" s="66">
        <f t="shared" si="22"/>
        <v>37089143.712538563</v>
      </c>
      <c r="M141" s="115">
        <f>+PROMIGAS!AU130</f>
        <v>5286607.3180171074</v>
      </c>
      <c r="N141" s="59"/>
      <c r="O141" s="956">
        <f t="shared" si="38"/>
        <v>5286607.3180171074</v>
      </c>
      <c r="P141" s="405">
        <f t="shared" si="39"/>
        <v>42375751.030555673</v>
      </c>
      <c r="Q141" s="411">
        <f>D141*1000000/$P$1/35.314667</f>
        <v>96050.742882553604</v>
      </c>
      <c r="R141" s="1060">
        <f t="shared" si="17"/>
        <v>0</v>
      </c>
      <c r="S141" s="1052"/>
      <c r="T141" s="1052"/>
      <c r="U141" s="1052"/>
      <c r="V141" s="1052"/>
      <c r="W141" s="1052"/>
      <c r="X141" s="1052"/>
      <c r="Y141" s="1052"/>
      <c r="Z141" s="971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</row>
    <row r="142" spans="1:37" s="774" customFormat="1">
      <c r="A142" s="774">
        <v>4</v>
      </c>
      <c r="B142" s="788" t="s">
        <v>422</v>
      </c>
      <c r="C142" s="793">
        <v>96</v>
      </c>
      <c r="D142" s="971">
        <f>+Chevron!C158</f>
        <v>3820.2690242305653</v>
      </c>
      <c r="E142" s="165"/>
      <c r="F142" s="165"/>
      <c r="G142" s="111">
        <f>+EcopeGj!F161</f>
        <v>0</v>
      </c>
      <c r="H142" s="151">
        <f>+Chevron!F158</f>
        <v>41931304.422680862</v>
      </c>
      <c r="I142" s="151"/>
      <c r="J142" s="151"/>
      <c r="K142" s="151"/>
      <c r="L142" s="66">
        <f t="shared" si="22"/>
        <v>41931304.422680862</v>
      </c>
      <c r="M142" s="115">
        <f>+PROMIGAS!AU133</f>
        <v>7646473.8547324119</v>
      </c>
      <c r="N142" s="59"/>
      <c r="O142" s="956">
        <f>SUM(M142:N142)</f>
        <v>7646473.8547324119</v>
      </c>
      <c r="P142" s="405">
        <f>+O142+L142</f>
        <v>49577778.277413271</v>
      </c>
      <c r="Q142" s="411">
        <f>D142*1000000/$P$1/35.314667</f>
        <v>108590.61538461539</v>
      </c>
      <c r="R142" s="1060">
        <f t="shared" si="17"/>
        <v>0</v>
      </c>
      <c r="S142" s="1052"/>
      <c r="T142" s="1052"/>
      <c r="U142" s="1052"/>
      <c r="V142" s="1052"/>
      <c r="W142" s="1052"/>
      <c r="X142" s="1052"/>
      <c r="Y142" s="1052"/>
      <c r="Z142" s="971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</row>
    <row r="143" spans="1:37" s="774" customFormat="1">
      <c r="A143" s="774">
        <v>4</v>
      </c>
      <c r="B143" s="788" t="s">
        <v>433</v>
      </c>
      <c r="C143" s="793">
        <v>96</v>
      </c>
      <c r="D143" s="971">
        <f>+Chevron!C159</f>
        <v>3306.3878000000004</v>
      </c>
      <c r="E143" s="414"/>
      <c r="F143" s="165"/>
      <c r="G143" s="111">
        <f>+EcopeGj!F162</f>
        <v>0</v>
      </c>
      <c r="H143" s="151">
        <f>+Chevron!F159</f>
        <v>36290939.853159048</v>
      </c>
      <c r="I143" s="151"/>
      <c r="J143" s="151"/>
      <c r="K143" s="151"/>
      <c r="L143" s="66">
        <f t="shared" si="22"/>
        <v>36290939.853159048</v>
      </c>
      <c r="M143" s="115">
        <f>+PROMIGAS!AU134</f>
        <v>6617912.9548077499</v>
      </c>
      <c r="N143" s="59"/>
      <c r="O143" s="956">
        <f>SUM(M143:N143)</f>
        <v>6617912.9548077499</v>
      </c>
      <c r="P143" s="405">
        <f>+O143+L143</f>
        <v>42908852.807966799</v>
      </c>
      <c r="Q143" s="411">
        <f>D143*1000000/$P$1/35.314667</f>
        <v>93983.613097640147</v>
      </c>
      <c r="R143" s="1060">
        <f t="shared" si="17"/>
        <v>0</v>
      </c>
      <c r="S143" s="1052"/>
      <c r="T143" s="1052"/>
      <c r="U143" s="1052"/>
      <c r="V143" s="1052"/>
      <c r="W143" s="1052"/>
      <c r="X143" s="1052"/>
      <c r="Y143" s="1052"/>
      <c r="Z143" s="971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</row>
    <row r="144" spans="1:37" s="774" customFormat="1">
      <c r="B144" s="788" t="s">
        <v>371</v>
      </c>
      <c r="C144" s="776">
        <v>97</v>
      </c>
      <c r="D144" s="971">
        <f>+Chevron!C135+'E2'!C15</f>
        <v>6731.3234000000002</v>
      </c>
      <c r="E144" s="414"/>
      <c r="F144" s="111"/>
      <c r="G144" s="111">
        <f>+EcopeGj!F138</f>
        <v>0</v>
      </c>
      <c r="H144" s="151">
        <f>+Chevron!F135</f>
        <v>256.83859363541529</v>
      </c>
      <c r="I144" s="151">
        <f>+'E2'!F15</f>
        <v>73882804.501507506</v>
      </c>
      <c r="J144" s="151"/>
      <c r="K144" s="151"/>
      <c r="L144" s="66">
        <f t="shared" si="22"/>
        <v>73883061.340101138</v>
      </c>
      <c r="M144" s="115">
        <f>+PROMIGAS!AU131</f>
        <v>10531133.740519339</v>
      </c>
      <c r="N144" s="59"/>
      <c r="O144" s="956">
        <f t="shared" si="38"/>
        <v>10531133.740519339</v>
      </c>
      <c r="P144" s="405">
        <f t="shared" si="39"/>
        <v>84414195.080620483</v>
      </c>
      <c r="Q144" s="411">
        <f t="shared" si="25"/>
        <v>191336.93091315287</v>
      </c>
      <c r="R144" s="1060">
        <f t="shared" ref="R144:R185" si="40">SUM(S144:Z144)</f>
        <v>0</v>
      </c>
      <c r="S144" s="1052"/>
      <c r="T144" s="1052"/>
      <c r="U144" s="1052"/>
      <c r="V144" s="1052"/>
      <c r="W144" s="1052"/>
      <c r="X144" s="1052"/>
      <c r="Y144" s="1052"/>
      <c r="Z144" s="971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</row>
    <row r="145" spans="1:37" s="774" customFormat="1">
      <c r="B145" s="788" t="s">
        <v>412</v>
      </c>
      <c r="C145" s="59">
        <v>97</v>
      </c>
      <c r="D145" s="971">
        <f>+Chevron!C157</f>
        <v>3923.0356000000002</v>
      </c>
      <c r="E145" s="414"/>
      <c r="F145" s="111"/>
      <c r="G145" s="111">
        <f>+EcopeGj!F160</f>
        <v>0</v>
      </c>
      <c r="H145" s="151">
        <f>+Chevron!F157</f>
        <v>43059271.208719589</v>
      </c>
      <c r="I145" s="151"/>
      <c r="J145" s="151"/>
      <c r="K145" s="151"/>
      <c r="L145" s="66">
        <f t="shared" si="22"/>
        <v>43059271.208719589</v>
      </c>
      <c r="M145" s="115">
        <f>+PROMIGAS!AU132</f>
        <v>7852166.6815404994</v>
      </c>
      <c r="N145" s="59"/>
      <c r="O145" s="956">
        <f t="shared" si="38"/>
        <v>7852166.6815404994</v>
      </c>
      <c r="P145" s="405">
        <f t="shared" si="39"/>
        <v>50911437.890260085</v>
      </c>
      <c r="Q145" s="411">
        <f>D145*1000000/$P$1/35.314667</f>
        <v>111511.74099985142</v>
      </c>
      <c r="R145" s="1060">
        <f t="shared" si="40"/>
        <v>0</v>
      </c>
      <c r="S145" s="1052"/>
      <c r="T145" s="1052"/>
      <c r="U145" s="1052"/>
      <c r="V145" s="1052"/>
      <c r="W145" s="1052"/>
      <c r="X145" s="1052"/>
      <c r="Y145" s="1052"/>
      <c r="Z145" s="971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</row>
    <row r="146" spans="1:37" s="774" customFormat="1" ht="12.75" customHeight="1">
      <c r="B146" s="788" t="s">
        <v>216</v>
      </c>
      <c r="C146" s="59">
        <v>98</v>
      </c>
      <c r="D146" s="971">
        <f>+Chevron!C86</f>
        <v>323.36652000000004</v>
      </c>
      <c r="E146" s="414"/>
      <c r="F146" s="111"/>
      <c r="G146" s="111">
        <f>+EcopeGj!F95</f>
        <v>0</v>
      </c>
      <c r="H146" s="151">
        <f>+Chevron!F86</f>
        <v>3371809.9194090557</v>
      </c>
      <c r="I146" s="151"/>
      <c r="J146" s="151"/>
      <c r="K146" s="151"/>
      <c r="L146" s="66">
        <f t="shared" si="22"/>
        <v>3371809.9194090557</v>
      </c>
      <c r="M146" s="115">
        <f>+PROMIGAS!AU158</f>
        <v>453677.91864585009</v>
      </c>
      <c r="N146" s="59"/>
      <c r="O146" s="956">
        <f t="shared" si="23"/>
        <v>453677.91864585009</v>
      </c>
      <c r="P146" s="405">
        <f t="shared" si="24"/>
        <v>3825487.8380549056</v>
      </c>
      <c r="Q146" s="411">
        <f t="shared" si="25"/>
        <v>9191.6483312726705</v>
      </c>
      <c r="R146" s="1060">
        <f t="shared" si="40"/>
        <v>0</v>
      </c>
      <c r="S146" s="1052"/>
      <c r="T146" s="1052"/>
      <c r="U146" s="1052"/>
      <c r="V146" s="1052"/>
      <c r="W146" s="1052"/>
      <c r="X146" s="1052"/>
      <c r="Y146" s="1052"/>
      <c r="Z146" s="971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</row>
    <row r="147" spans="1:37" s="774" customFormat="1" ht="12.75" customHeight="1">
      <c r="A147" s="792">
        <v>11</v>
      </c>
      <c r="B147" s="788" t="s">
        <v>360</v>
      </c>
      <c r="C147" s="59">
        <v>99</v>
      </c>
      <c r="D147" s="971">
        <f>+Chevron!C108+Chevron!C177</f>
        <v>30784.172088715306</v>
      </c>
      <c r="E147" s="414"/>
      <c r="F147" s="111"/>
      <c r="G147" s="111">
        <f>+EcopeGj!F114</f>
        <v>0</v>
      </c>
      <c r="H147" s="1041">
        <f>+Chevron!F108+Chevron!F177</f>
        <v>296210417.43492454</v>
      </c>
      <c r="I147" s="151"/>
      <c r="J147" s="151"/>
      <c r="K147" s="151"/>
      <c r="L147" s="66">
        <f t="shared" si="22"/>
        <v>296210417.43492454</v>
      </c>
      <c r="M147" s="115">
        <f>+PROMIGAS!AU159</f>
        <v>43189688.037104242</v>
      </c>
      <c r="N147" s="59"/>
      <c r="O147" s="956">
        <f t="shared" ref="O147:O152" si="41">SUM(M147:N147)</f>
        <v>43189688.037104242</v>
      </c>
      <c r="P147" s="405">
        <f t="shared" ref="P147:P152" si="42">+O147+L147</f>
        <v>339400105.47202879</v>
      </c>
      <c r="Q147" s="411">
        <f t="shared" si="25"/>
        <v>875035.8076923074</v>
      </c>
      <c r="R147" s="1060">
        <f t="shared" si="40"/>
        <v>0</v>
      </c>
      <c r="S147" s="1052"/>
      <c r="T147" s="1052"/>
      <c r="U147" s="1052"/>
      <c r="V147" s="1052">
        <f>+'E2'!C7</f>
        <v>0</v>
      </c>
      <c r="W147" s="1052"/>
      <c r="X147" s="1052"/>
      <c r="Y147" s="1052"/>
      <c r="Z147" s="971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</row>
    <row r="148" spans="1:37" s="774" customFormat="1" ht="12.75" customHeight="1">
      <c r="A148" s="792">
        <v>11</v>
      </c>
      <c r="B148" s="788" t="s">
        <v>394</v>
      </c>
      <c r="C148" s="59">
        <v>99</v>
      </c>
      <c r="D148" s="971">
        <f>+Chevron!C175+Chevron!C109</f>
        <v>15977.378808967451</v>
      </c>
      <c r="E148" s="414"/>
      <c r="F148" s="111"/>
      <c r="G148" s="111">
        <f>+EcopeGj!F115</f>
        <v>0</v>
      </c>
      <c r="H148" s="1041">
        <f>+Chevron!F109+Chevron!F175</f>
        <v>157229890.3866142</v>
      </c>
      <c r="I148" s="151"/>
      <c r="J148" s="151"/>
      <c r="K148" s="151"/>
      <c r="L148" s="66">
        <f t="shared" si="22"/>
        <v>157229890.3866142</v>
      </c>
      <c r="M148" s="115">
        <f>+PROMIGAS!AU160</f>
        <v>22416000.158175502</v>
      </c>
      <c r="N148" s="59"/>
      <c r="O148" s="956">
        <f t="shared" si="41"/>
        <v>22416000.158175502</v>
      </c>
      <c r="P148" s="405">
        <f t="shared" si="42"/>
        <v>179645890.5447897</v>
      </c>
      <c r="Q148" s="411">
        <f>D148*1000000/$P$1/35.314667</f>
        <v>454154.76923076942</v>
      </c>
      <c r="R148" s="1060">
        <f t="shared" si="40"/>
        <v>0</v>
      </c>
      <c r="S148" s="1052"/>
      <c r="T148" s="1052"/>
      <c r="U148" s="1052"/>
      <c r="V148" s="1052"/>
      <c r="W148" s="1052"/>
      <c r="X148" s="1052"/>
      <c r="Y148" s="1052"/>
      <c r="Z148" s="971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</row>
    <row r="149" spans="1:37" s="774" customFormat="1" ht="12.75" customHeight="1">
      <c r="A149" s="792">
        <v>11</v>
      </c>
      <c r="B149" s="788" t="s">
        <v>428</v>
      </c>
      <c r="C149" s="59">
        <v>99</v>
      </c>
      <c r="D149" s="971">
        <f>+Chevron!C110+'E2'!C6</f>
        <v>30551.246247752249</v>
      </c>
      <c r="E149" s="414"/>
      <c r="F149" s="111"/>
      <c r="G149" s="111">
        <f>+EcopeGj!F116</f>
        <v>0</v>
      </c>
      <c r="H149" s="151">
        <f>+Chevron!F110</f>
        <v>318564195.04554683</v>
      </c>
      <c r="I149" s="151">
        <f>+'E2'!F6</f>
        <v>0</v>
      </c>
      <c r="J149" s="151"/>
      <c r="K149" s="151"/>
      <c r="L149" s="66">
        <f t="shared" si="22"/>
        <v>318564195.04554683</v>
      </c>
      <c r="M149" s="115">
        <f>+PROMIGAS!AU161</f>
        <v>42862896.906324983</v>
      </c>
      <c r="N149" s="59"/>
      <c r="O149" s="956">
        <f t="shared" si="41"/>
        <v>42862896.906324983</v>
      </c>
      <c r="P149" s="405">
        <f t="shared" si="42"/>
        <v>361427091.95187181</v>
      </c>
      <c r="Q149" s="411">
        <f>D149*1000000/$P$1/35.314667</f>
        <v>868414.92307692324</v>
      </c>
      <c r="R149" s="1060">
        <f t="shared" si="40"/>
        <v>0</v>
      </c>
      <c r="S149" s="1052"/>
      <c r="T149" s="1052"/>
      <c r="U149" s="1052"/>
      <c r="V149" s="1052">
        <f>+'E2'!C6</f>
        <v>0</v>
      </c>
      <c r="W149" s="1052"/>
      <c r="X149" s="1052"/>
      <c r="Y149" s="1052"/>
      <c r="Z149" s="971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</row>
    <row r="150" spans="1:37" s="774" customFormat="1" ht="12.75" customHeight="1">
      <c r="A150" s="792">
        <v>11</v>
      </c>
      <c r="B150" s="794" t="s">
        <v>480</v>
      </c>
      <c r="C150" s="59">
        <v>99</v>
      </c>
      <c r="D150" s="971">
        <f>+Chevron!C114</f>
        <v>2524.1392771103078</v>
      </c>
      <c r="E150" s="414"/>
      <c r="F150" s="111"/>
      <c r="G150" s="111">
        <f>+EcopeGj!F121</f>
        <v>0</v>
      </c>
      <c r="H150" s="151">
        <f>+Chevron!F114</f>
        <v>26319724.913174491</v>
      </c>
      <c r="I150" s="151"/>
      <c r="J150" s="151"/>
      <c r="K150" s="151"/>
      <c r="L150" s="66">
        <f t="shared" si="22"/>
        <v>26319724.913174491</v>
      </c>
      <c r="M150" s="115">
        <f>+PROMIGAS!AU190</f>
        <v>8079483.6264166906</v>
      </c>
      <c r="N150" s="59"/>
      <c r="O150" s="956">
        <f t="shared" si="41"/>
        <v>8079483.6264166906</v>
      </c>
      <c r="P150" s="405">
        <f t="shared" si="42"/>
        <v>34399208.539591178</v>
      </c>
      <c r="Q150" s="411">
        <f>D150*1000000/$P$1/35.314667</f>
        <v>71748.307692307673</v>
      </c>
      <c r="R150" s="1060">
        <f t="shared" si="40"/>
        <v>0</v>
      </c>
      <c r="S150" s="1052"/>
      <c r="T150" s="1052"/>
      <c r="U150" s="1052"/>
      <c r="V150" s="1052"/>
      <c r="W150" s="1052"/>
      <c r="X150" s="1052"/>
      <c r="Y150" s="1052"/>
      <c r="Z150" s="971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</row>
    <row r="151" spans="1:37" s="774" customFormat="1" ht="12.75" customHeight="1">
      <c r="A151" s="792">
        <v>11</v>
      </c>
      <c r="B151" s="794" t="s">
        <v>481</v>
      </c>
      <c r="C151" s="59">
        <v>99</v>
      </c>
      <c r="D151" s="971">
        <f>+Chevron!C115</f>
        <v>2433.3263029188734</v>
      </c>
      <c r="E151" s="414"/>
      <c r="F151" s="111"/>
      <c r="G151" s="111">
        <f>+EcopeGj!F122</f>
        <v>0</v>
      </c>
      <c r="H151" s="151">
        <f>+Chevron!F115</f>
        <v>25372799.154782072</v>
      </c>
      <c r="I151" s="151"/>
      <c r="J151" s="151"/>
      <c r="K151" s="151"/>
      <c r="L151" s="66">
        <f t="shared" si="22"/>
        <v>25372799.154782072</v>
      </c>
      <c r="M151" s="115">
        <f>+PROMIGAS!AU191</f>
        <v>13254918.70511185</v>
      </c>
      <c r="N151" s="59"/>
      <c r="O151" s="956">
        <f t="shared" si="41"/>
        <v>13254918.70511185</v>
      </c>
      <c r="P151" s="405">
        <f t="shared" si="42"/>
        <v>38627717.859893918</v>
      </c>
      <c r="Q151" s="411">
        <f>D151*1000000/$P$1/35.314667</f>
        <v>69166.961538461546</v>
      </c>
      <c r="R151" s="1060">
        <f t="shared" si="40"/>
        <v>0</v>
      </c>
      <c r="S151" s="1052"/>
      <c r="T151" s="1052"/>
      <c r="U151" s="1052"/>
      <c r="V151" s="1052"/>
      <c r="W151" s="1052"/>
      <c r="X151" s="1052"/>
      <c r="Y151" s="1052"/>
      <c r="Z151" s="971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</row>
    <row r="152" spans="1:37" s="774" customFormat="1" ht="12.75" customHeight="1">
      <c r="A152" s="792">
        <v>11</v>
      </c>
      <c r="B152" s="794" t="s">
        <v>509</v>
      </c>
      <c r="C152" s="59">
        <v>99</v>
      </c>
      <c r="D152" s="971">
        <f>+Chevron!C116</f>
        <v>8282.4788138309796</v>
      </c>
      <c r="E152" s="414"/>
      <c r="F152" s="111"/>
      <c r="G152" s="111"/>
      <c r="H152" s="151">
        <f>+Chevron!F116</f>
        <v>86363128.198214963</v>
      </c>
      <c r="I152" s="151"/>
      <c r="J152" s="151"/>
      <c r="K152" s="151"/>
      <c r="L152" s="66">
        <f t="shared" si="22"/>
        <v>86363128.198214963</v>
      </c>
      <c r="M152" s="115">
        <f>+PROMIGAS!AU162</f>
        <v>11620181.797074066</v>
      </c>
      <c r="N152" s="59"/>
      <c r="O152" s="956">
        <f t="shared" si="41"/>
        <v>11620181.797074066</v>
      </c>
      <c r="P152" s="405">
        <f t="shared" si="42"/>
        <v>97983309.995289028</v>
      </c>
      <c r="Q152" s="411">
        <f>D152*1000000/$P$1/35.314667</f>
        <v>235428.30769230766</v>
      </c>
      <c r="R152" s="1060">
        <f t="shared" si="40"/>
        <v>0</v>
      </c>
      <c r="S152" s="1052"/>
      <c r="T152" s="1052"/>
      <c r="U152" s="1052"/>
      <c r="V152" s="1052"/>
      <c r="W152" s="1052"/>
      <c r="X152" s="1052"/>
      <c r="Y152" s="1052"/>
      <c r="Z152" s="971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</row>
    <row r="153" spans="1:37" s="774" customFormat="1">
      <c r="A153" s="792"/>
      <c r="B153" s="783"/>
      <c r="C153" s="154"/>
      <c r="D153" s="970"/>
      <c r="E153" s="573"/>
      <c r="F153" s="113"/>
      <c r="G153" s="113"/>
      <c r="H153" s="153"/>
      <c r="I153" s="153"/>
      <c r="J153" s="153"/>
      <c r="K153" s="153"/>
      <c r="L153" s="68"/>
      <c r="M153" s="798"/>
      <c r="N153" s="799"/>
      <c r="O153" s="962"/>
      <c r="P153" s="305"/>
      <c r="Q153" s="412"/>
      <c r="R153" s="1060">
        <f t="shared" si="40"/>
        <v>0</v>
      </c>
      <c r="S153" s="1057"/>
      <c r="T153" s="1057"/>
      <c r="U153" s="1057"/>
      <c r="V153" s="1057"/>
      <c r="W153" s="1057"/>
      <c r="X153" s="1057"/>
      <c r="Y153" s="1057"/>
      <c r="Z153" s="970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</row>
    <row r="154" spans="1:37" s="774" customFormat="1">
      <c r="A154" s="800">
        <v>15</v>
      </c>
      <c r="B154" s="801" t="s">
        <v>80</v>
      </c>
      <c r="C154" s="776">
        <v>99</v>
      </c>
      <c r="D154" s="970"/>
      <c r="E154" s="414"/>
      <c r="F154" s="111"/>
      <c r="G154" s="415">
        <f>+EcopeGj!F182</f>
        <v>700913325</v>
      </c>
      <c r="H154" s="151"/>
      <c r="I154" s="151"/>
      <c r="J154" s="151"/>
      <c r="K154" s="151">
        <f>+PACIFIC!F8</f>
        <v>10976008.275</v>
      </c>
      <c r="L154" s="66">
        <f t="shared" ref="L154:L186" si="43">SUM(E154:K154)</f>
        <v>711889333.27499998</v>
      </c>
      <c r="M154" s="115">
        <f>+PROMIGAS!AU185+PROMIGAS!AU186+PROMIGAS!AU187</f>
        <v>41408344.726210922</v>
      </c>
      <c r="N154" s="169">
        <f>+Gascar!Q11</f>
        <v>181719062.54512948</v>
      </c>
      <c r="O154" s="956">
        <f t="shared" ref="O154:O178" si="44">SUM(M154:N154)</f>
        <v>223127407.2713404</v>
      </c>
      <c r="P154" s="405">
        <f t="shared" ref="P154:P184" si="45">+O154+L154</f>
        <v>935016740.54634035</v>
      </c>
      <c r="Q154" s="411">
        <f t="shared" ref="Q154:Q184" si="46">D154*1000000/$P$1/35.314667</f>
        <v>0</v>
      </c>
      <c r="R154" s="1060">
        <f t="shared" si="40"/>
        <v>0</v>
      </c>
      <c r="S154" s="1057"/>
      <c r="T154" s="1057"/>
      <c r="U154" s="1057"/>
      <c r="V154" s="1057"/>
      <c r="W154" s="1057"/>
      <c r="X154" s="1057"/>
      <c r="Y154" s="1057"/>
      <c r="Z154" s="970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</row>
    <row r="155" spans="1:37" s="774" customFormat="1">
      <c r="A155" s="800">
        <v>15</v>
      </c>
      <c r="B155" s="801" t="s">
        <v>189</v>
      </c>
      <c r="C155" s="776">
        <v>99</v>
      </c>
      <c r="D155" s="970"/>
      <c r="E155" s="414"/>
      <c r="F155" s="111"/>
      <c r="G155" s="415">
        <f>+EcopeGj!F183</f>
        <v>289010295.72869998</v>
      </c>
      <c r="H155" s="151"/>
      <c r="I155" s="151"/>
      <c r="J155" s="151"/>
      <c r="K155" s="151"/>
      <c r="L155" s="66">
        <f t="shared" si="43"/>
        <v>289010295.72869998</v>
      </c>
      <c r="M155" s="115">
        <f>+PROMIGAS!AU165</f>
        <v>0</v>
      </c>
      <c r="N155" s="169">
        <f>+Gascar!Q12</f>
        <v>116290121.46677785</v>
      </c>
      <c r="O155" s="956">
        <f t="shared" si="44"/>
        <v>116290121.46677785</v>
      </c>
      <c r="P155" s="405">
        <f t="shared" si="45"/>
        <v>405300417.19547784</v>
      </c>
      <c r="Q155" s="411">
        <f t="shared" si="46"/>
        <v>0</v>
      </c>
      <c r="R155" s="1060">
        <f t="shared" si="40"/>
        <v>0</v>
      </c>
      <c r="S155" s="1057"/>
      <c r="T155" s="1057"/>
      <c r="U155" s="1057"/>
      <c r="V155" s="1057"/>
      <c r="W155" s="1057"/>
      <c r="X155" s="1057"/>
      <c r="Y155" s="1057"/>
      <c r="Z155" s="970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</row>
    <row r="156" spans="1:37" s="774" customFormat="1">
      <c r="A156" s="792">
        <v>11</v>
      </c>
      <c r="B156" s="788" t="s">
        <v>417</v>
      </c>
      <c r="C156" s="776">
        <v>99</v>
      </c>
      <c r="D156" s="972">
        <f>+EcopeGj!C102+ECOP!C5+ECOP!I5+Chevron!C93</f>
        <v>37250.143562812773</v>
      </c>
      <c r="E156" s="414"/>
      <c r="F156" s="111"/>
      <c r="G156" s="111">
        <f>+EcopeGj!F102</f>
        <v>0</v>
      </c>
      <c r="H156" s="151">
        <f>+Chevron!F93</f>
        <v>295892100.31793749</v>
      </c>
      <c r="I156" s="151"/>
      <c r="J156" s="151"/>
      <c r="K156" s="151"/>
      <c r="L156" s="66">
        <f t="shared" si="43"/>
        <v>295892100.31793749</v>
      </c>
      <c r="M156" s="115">
        <f>+PROMIGAS!AU166</f>
        <v>36700156.550482012</v>
      </c>
      <c r="N156" s="59"/>
      <c r="O156" s="956">
        <f t="shared" si="44"/>
        <v>36700156.550482012</v>
      </c>
      <c r="P156" s="405">
        <f t="shared" si="45"/>
        <v>332592256.86841953</v>
      </c>
      <c r="Q156" s="411">
        <f t="shared" si="46"/>
        <v>1058830.1470380896</v>
      </c>
      <c r="R156" s="1060">
        <f t="shared" si="40"/>
        <v>0</v>
      </c>
      <c r="S156" s="1055"/>
      <c r="T156" s="1055"/>
      <c r="U156" s="1055"/>
      <c r="V156" s="1055"/>
      <c r="W156" s="1055"/>
      <c r="X156" s="1055"/>
      <c r="Y156" s="1055"/>
      <c r="Z156" s="972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</row>
    <row r="157" spans="1:37" s="774" customFormat="1">
      <c r="A157" s="792">
        <v>11</v>
      </c>
      <c r="B157" s="788"/>
      <c r="C157" s="776">
        <v>99</v>
      </c>
      <c r="D157" s="972"/>
      <c r="E157" s="414"/>
      <c r="F157" s="111"/>
      <c r="G157" s="111"/>
      <c r="H157" s="151"/>
      <c r="I157" s="151"/>
      <c r="J157" s="151"/>
      <c r="K157" s="151"/>
      <c r="L157" s="66">
        <f t="shared" si="43"/>
        <v>0</v>
      </c>
      <c r="M157" s="742">
        <f>+PROMIGAS!AU167</f>
        <v>0</v>
      </c>
      <c r="N157" s="59"/>
      <c r="O157" s="956">
        <f>SUM(M157:N157)</f>
        <v>0</v>
      </c>
      <c r="P157" s="405">
        <f>+O157+L157</f>
        <v>0</v>
      </c>
      <c r="Q157" s="411">
        <f>D157*1000000/$P$1/35.314667</f>
        <v>0</v>
      </c>
      <c r="R157" s="1060">
        <f t="shared" si="40"/>
        <v>0</v>
      </c>
      <c r="S157" s="1055"/>
      <c r="T157" s="1055"/>
      <c r="U157" s="1055"/>
      <c r="V157" s="1055"/>
      <c r="W157" s="1055"/>
      <c r="X157" s="1055"/>
      <c r="Y157" s="1055"/>
      <c r="Z157" s="972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</row>
    <row r="158" spans="1:37" s="774" customFormat="1">
      <c r="A158" s="800">
        <v>33</v>
      </c>
      <c r="B158" s="801" t="s">
        <v>82</v>
      </c>
      <c r="C158" s="776">
        <v>99</v>
      </c>
      <c r="D158" s="966"/>
      <c r="E158" s="802"/>
      <c r="F158" s="803"/>
      <c r="G158" s="111">
        <f>+EcopeGj!F184</f>
        <v>259954523.17499998</v>
      </c>
      <c r="H158" s="151"/>
      <c r="I158" s="151"/>
      <c r="J158" s="151"/>
      <c r="K158" s="151">
        <f>+PACIFIC!F6</f>
        <v>388416834.30000001</v>
      </c>
      <c r="L158" s="66">
        <f t="shared" si="43"/>
        <v>648371357.47500002</v>
      </c>
      <c r="M158" s="115">
        <f>+PROMIGAS!AU188+PROMIGAS!AU189</f>
        <v>20153842.629712842</v>
      </c>
      <c r="N158" s="949">
        <f>+Gascar!Q13</f>
        <v>133663598.72325842</v>
      </c>
      <c r="O158" s="956">
        <f t="shared" si="44"/>
        <v>153817441.35297126</v>
      </c>
      <c r="P158" s="405">
        <f t="shared" si="45"/>
        <v>802188798.82797122</v>
      </c>
      <c r="Q158" s="411">
        <f t="shared" si="46"/>
        <v>0</v>
      </c>
      <c r="R158" s="1060">
        <f t="shared" si="40"/>
        <v>0</v>
      </c>
      <c r="S158" s="1053"/>
      <c r="T158" s="1053"/>
      <c r="U158" s="1053"/>
      <c r="V158" s="1053"/>
      <c r="W158" s="1053"/>
      <c r="X158" s="1053"/>
      <c r="Y158" s="1053"/>
      <c r="Z158" s="966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</row>
    <row r="159" spans="1:37" s="774" customFormat="1">
      <c r="A159" s="792">
        <v>11</v>
      </c>
      <c r="B159" s="775" t="s">
        <v>83</v>
      </c>
      <c r="C159" s="776">
        <v>99</v>
      </c>
      <c r="D159" s="970"/>
      <c r="E159" s="414"/>
      <c r="F159" s="111"/>
      <c r="G159" s="111"/>
      <c r="H159" s="151"/>
      <c r="I159" s="151"/>
      <c r="J159" s="151"/>
      <c r="K159" s="151"/>
      <c r="L159" s="66">
        <f t="shared" si="43"/>
        <v>0</v>
      </c>
      <c r="M159" s="804">
        <f>+PROMIGAS!AU168</f>
        <v>0</v>
      </c>
      <c r="N159" s="142"/>
      <c r="O159" s="956">
        <f t="shared" si="44"/>
        <v>0</v>
      </c>
      <c r="P159" s="405">
        <f>+O159+L159</f>
        <v>0</v>
      </c>
      <c r="Q159" s="411">
        <f t="shared" si="46"/>
        <v>0</v>
      </c>
      <c r="R159" s="1060">
        <f t="shared" si="40"/>
        <v>0</v>
      </c>
      <c r="S159" s="1057"/>
      <c r="T159" s="1057"/>
      <c r="U159" s="1057"/>
      <c r="V159" s="1057"/>
      <c r="W159" s="1057"/>
      <c r="X159" s="1057"/>
      <c r="Y159" s="1057"/>
      <c r="Z159" s="970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</row>
    <row r="160" spans="1:37" s="774" customFormat="1">
      <c r="A160" s="792"/>
      <c r="B160" s="775" t="s">
        <v>84</v>
      </c>
      <c r="C160" s="776">
        <v>99</v>
      </c>
      <c r="D160" s="973"/>
      <c r="E160" s="414"/>
      <c r="F160" s="111"/>
      <c r="G160" s="111"/>
      <c r="H160" s="151"/>
      <c r="I160" s="151"/>
      <c r="J160" s="151"/>
      <c r="K160" s="151"/>
      <c r="L160" s="66">
        <f t="shared" si="43"/>
        <v>0</v>
      </c>
      <c r="M160" s="116"/>
      <c r="N160" s="59"/>
      <c r="O160" s="956">
        <f t="shared" si="44"/>
        <v>0</v>
      </c>
      <c r="P160" s="405">
        <f t="shared" si="45"/>
        <v>0</v>
      </c>
      <c r="Q160" s="411">
        <f t="shared" si="46"/>
        <v>0</v>
      </c>
      <c r="R160" s="1060">
        <f t="shared" si="40"/>
        <v>0</v>
      </c>
      <c r="S160" s="1058"/>
      <c r="T160" s="1058"/>
      <c r="U160" s="1058"/>
      <c r="V160" s="1058"/>
      <c r="W160" s="1058"/>
      <c r="X160" s="1058"/>
      <c r="Y160" s="1058"/>
      <c r="Z160" s="973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</row>
    <row r="161" spans="1:37" s="774" customFormat="1">
      <c r="A161" s="792">
        <v>11</v>
      </c>
      <c r="B161" s="775" t="s">
        <v>435</v>
      </c>
      <c r="C161" s="776">
        <v>99</v>
      </c>
      <c r="D161" s="971">
        <f>+Chevron!C95+ECOP!C6</f>
        <v>41104.208200000001</v>
      </c>
      <c r="E161" s="414"/>
      <c r="F161" s="111"/>
      <c r="G161" s="111">
        <f>+EcopeGj!F104+EcopeGj!F105</f>
        <v>0</v>
      </c>
      <c r="H161" s="151">
        <f>+Chevron!F95</f>
        <v>326506405.96042311</v>
      </c>
      <c r="I161" s="151"/>
      <c r="J161" s="151"/>
      <c r="K161" s="151"/>
      <c r="L161" s="66">
        <f t="shared" si="43"/>
        <v>326506405.96042311</v>
      </c>
      <c r="M161" s="804">
        <f>+PROMIGAS!AU169</f>
        <v>40497317.098385356</v>
      </c>
      <c r="N161" s="142"/>
      <c r="O161" s="956">
        <f t="shared" si="44"/>
        <v>40497317.098385356</v>
      </c>
      <c r="P161" s="405">
        <f t="shared" si="45"/>
        <v>367003723.05880845</v>
      </c>
      <c r="Q161" s="411">
        <f t="shared" si="46"/>
        <v>1168381.3980179962</v>
      </c>
      <c r="R161" s="1060">
        <f t="shared" si="40"/>
        <v>0</v>
      </c>
      <c r="S161" s="1052"/>
      <c r="T161" s="1052"/>
      <c r="U161" s="1052"/>
      <c r="V161" s="1052"/>
      <c r="W161" s="1052"/>
      <c r="X161" s="1052"/>
      <c r="Y161" s="1052"/>
      <c r="Z161" s="971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</row>
    <row r="162" spans="1:37" s="774" customFormat="1">
      <c r="A162" s="792">
        <v>11</v>
      </c>
      <c r="B162" s="788" t="s">
        <v>399</v>
      </c>
      <c r="C162" s="805">
        <v>99</v>
      </c>
      <c r="D162" s="971">
        <f>+Chevron!C98</f>
        <v>44474.783731865457</v>
      </c>
      <c r="E162" s="414"/>
      <c r="F162" s="111"/>
      <c r="G162" s="111">
        <f>+EcopeGj!F106</f>
        <v>0</v>
      </c>
      <c r="H162" s="151">
        <f>+Chevron!F98</f>
        <v>353280173.20033145</v>
      </c>
      <c r="I162" s="151"/>
      <c r="J162" s="151"/>
      <c r="K162" s="151"/>
      <c r="L162" s="66">
        <f t="shared" si="43"/>
        <v>353280173.20033145</v>
      </c>
      <c r="M162" s="804">
        <f>+PROMIGAS!AU170</f>
        <v>43818127.110193685</v>
      </c>
      <c r="N162" s="142"/>
      <c r="O162" s="956">
        <f>SUM(M162:N162)</f>
        <v>43818127.110193685</v>
      </c>
      <c r="P162" s="405">
        <f>+O162+L162</f>
        <v>397098300.31052512</v>
      </c>
      <c r="Q162" s="411">
        <f>D162*1000000/$P$1/35.314667</f>
        <v>1264189.5384615387</v>
      </c>
      <c r="R162" s="1060">
        <f t="shared" si="40"/>
        <v>0</v>
      </c>
      <c r="S162" s="1052"/>
      <c r="T162" s="1052"/>
      <c r="U162" s="1052"/>
      <c r="V162" s="1052"/>
      <c r="W162" s="1052"/>
      <c r="X162" s="1052"/>
      <c r="Y162" s="1052"/>
      <c r="Z162" s="971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</row>
    <row r="163" spans="1:37" s="774" customFormat="1">
      <c r="A163" s="792">
        <v>11</v>
      </c>
      <c r="B163" s="1079" t="s">
        <v>554</v>
      </c>
      <c r="C163" s="805">
        <v>99</v>
      </c>
      <c r="D163" s="971">
        <f>+EcopeGj!C107</f>
        <v>0</v>
      </c>
      <c r="E163" s="414"/>
      <c r="F163" s="111"/>
      <c r="G163" s="111">
        <f>+EcopeGj!F107</f>
        <v>0</v>
      </c>
      <c r="H163" s="151">
        <f>+Chevron!F99</f>
        <v>384455010.72118956</v>
      </c>
      <c r="I163" s="151"/>
      <c r="J163" s="151"/>
      <c r="K163" s="151"/>
      <c r="L163" s="66">
        <f t="shared" si="43"/>
        <v>384455010.72118956</v>
      </c>
      <c r="M163" s="804">
        <f>+PROMIGAS!AU171</f>
        <v>47684811.676026866</v>
      </c>
      <c r="N163" s="142"/>
      <c r="O163" s="956">
        <f>SUM(M163:N163)</f>
        <v>47684811.676026866</v>
      </c>
      <c r="P163" s="405">
        <f>+O163+L163</f>
        <v>432139822.39721644</v>
      </c>
      <c r="Q163" s="411">
        <f>D163*1000000/$P$1/35.314667</f>
        <v>0</v>
      </c>
      <c r="R163" s="1060"/>
      <c r="S163" s="1052"/>
      <c r="T163" s="1052"/>
      <c r="U163" s="1052"/>
      <c r="V163" s="1052"/>
      <c r="W163" s="1052"/>
      <c r="X163" s="1052"/>
      <c r="Y163" s="1052"/>
      <c r="Z163" s="971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</row>
    <row r="164" spans="1:37" s="774" customFormat="1">
      <c r="A164" s="792">
        <v>11</v>
      </c>
      <c r="B164" s="775" t="s">
        <v>146</v>
      </c>
      <c r="C164" s="776">
        <v>99</v>
      </c>
      <c r="D164" s="972">
        <f>+EcopeGj!C103+ECOP!I8+ECOP!C8+Chevron!C94+'E2'!C8</f>
        <v>37058.640000000007</v>
      </c>
      <c r="E164" s="414"/>
      <c r="F164" s="574"/>
      <c r="G164" s="111">
        <f>+EcopeGj!F103</f>
        <v>0</v>
      </c>
      <c r="H164" s="151">
        <f>+Chevron!F94</f>
        <v>294370914.46469402</v>
      </c>
      <c r="I164" s="151"/>
      <c r="J164" s="151"/>
      <c r="K164" s="151"/>
      <c r="L164" s="66">
        <f t="shared" si="43"/>
        <v>294370914.46469402</v>
      </c>
      <c r="M164" s="804">
        <f>+PROMIGAS!AU172</f>
        <v>36511480.479385734</v>
      </c>
      <c r="N164" s="142"/>
      <c r="O164" s="956">
        <f t="shared" si="44"/>
        <v>36511480.479385734</v>
      </c>
      <c r="P164" s="405">
        <f t="shared" si="45"/>
        <v>330882394.94407976</v>
      </c>
      <c r="Q164" s="411">
        <f t="shared" si="46"/>
        <v>1053386.6849147978</v>
      </c>
      <c r="R164" s="1060">
        <f t="shared" si="40"/>
        <v>0</v>
      </c>
      <c r="S164" s="1055"/>
      <c r="T164" s="1055"/>
      <c r="U164" s="1055"/>
      <c r="V164" s="1055"/>
      <c r="W164" s="1055"/>
      <c r="X164" s="1055"/>
      <c r="Y164" s="1055"/>
      <c r="Z164" s="972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</row>
    <row r="165" spans="1:37" s="774" customFormat="1">
      <c r="A165" s="792">
        <v>11</v>
      </c>
      <c r="B165" s="794" t="s">
        <v>534</v>
      </c>
      <c r="C165" s="776">
        <v>99</v>
      </c>
      <c r="D165" s="972">
        <f>+EcopeGj!C181</f>
        <v>44006.903383500015</v>
      </c>
      <c r="E165" s="414"/>
      <c r="F165" s="574"/>
      <c r="G165" s="111">
        <f>+EcopeGj!F181</f>
        <v>340374890.56815463</v>
      </c>
      <c r="H165" s="151"/>
      <c r="I165" s="151"/>
      <c r="J165" s="151"/>
      <c r="K165" s="151"/>
      <c r="L165" s="66">
        <f t="shared" si="43"/>
        <v>340374890.56815463</v>
      </c>
      <c r="M165" s="804">
        <f>+PROMIGAS!AU147</f>
        <v>61740962.95768436</v>
      </c>
      <c r="N165" s="142"/>
      <c r="O165" s="956">
        <f t="shared" si="44"/>
        <v>61740962.95768436</v>
      </c>
      <c r="P165" s="405">
        <f t="shared" ref="P165" si="47">+O165+L165</f>
        <v>402115853.52583897</v>
      </c>
      <c r="Q165" s="411">
        <f t="shared" ref="Q165" si="48">D165*1000000/$P$1/35.314667</f>
        <v>1250890.1046695418</v>
      </c>
      <c r="R165" s="1060">
        <f t="shared" si="40"/>
        <v>0</v>
      </c>
      <c r="S165" s="1055"/>
      <c r="T165" s="1055"/>
      <c r="U165" s="1055"/>
      <c r="V165" s="1055"/>
      <c r="W165" s="1055"/>
      <c r="X165" s="1055"/>
      <c r="Y165" s="1055"/>
      <c r="Z165" s="972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</row>
    <row r="166" spans="1:37" s="774" customFormat="1">
      <c r="A166" s="792">
        <v>11</v>
      </c>
      <c r="B166" s="775" t="s">
        <v>76</v>
      </c>
      <c r="C166" s="776">
        <v>99</v>
      </c>
      <c r="D166" s="971">
        <f>+Chevron!C102+GDO!C10+'E2'!C5</f>
        <v>20361.627203944823</v>
      </c>
      <c r="E166" s="414"/>
      <c r="F166" s="111"/>
      <c r="G166" s="111">
        <f>+EcopeGj!F108</f>
        <v>0</v>
      </c>
      <c r="H166" s="151">
        <f>+Chevron!F102</f>
        <v>212314919.2488153</v>
      </c>
      <c r="I166" s="151">
        <f>+'E2'!F5</f>
        <v>0</v>
      </c>
      <c r="J166" s="151">
        <f>+GDO!F10</f>
        <v>0</v>
      </c>
      <c r="K166" s="151"/>
      <c r="L166" s="66">
        <f t="shared" si="43"/>
        <v>212314919.2488153</v>
      </c>
      <c r="M166" s="115">
        <f>+PROMIGAS!AU149</f>
        <v>20060993.986432344</v>
      </c>
      <c r="N166" s="59"/>
      <c r="O166" s="956">
        <f t="shared" si="44"/>
        <v>20060993.986432344</v>
      </c>
      <c r="P166" s="405">
        <f t="shared" si="45"/>
        <v>232375913.23524764</v>
      </c>
      <c r="Q166" s="411">
        <f t="shared" si="46"/>
        <v>578776.41974541964</v>
      </c>
      <c r="R166" s="1060">
        <f t="shared" si="40"/>
        <v>0</v>
      </c>
      <c r="S166" s="1052"/>
      <c r="T166" s="1052"/>
      <c r="U166" s="1052">
        <f>+GDO!C10</f>
        <v>0</v>
      </c>
      <c r="V166" s="1052">
        <f>+'E2'!C5</f>
        <v>0</v>
      </c>
      <c r="W166" s="1052"/>
      <c r="X166" s="1052"/>
      <c r="Y166" s="1052"/>
      <c r="Z166" s="971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</row>
    <row r="167" spans="1:37" s="774" customFormat="1">
      <c r="A167" s="792">
        <v>11</v>
      </c>
      <c r="B167" s="775" t="s">
        <v>343</v>
      </c>
      <c r="C167" s="776">
        <v>99</v>
      </c>
      <c r="D167" s="971">
        <f>+Chevron!C103</f>
        <v>0</v>
      </c>
      <c r="E167" s="414"/>
      <c r="F167" s="111"/>
      <c r="G167" s="111">
        <f>+EcopeGj!F109</f>
        <v>0</v>
      </c>
      <c r="H167" s="414">
        <f>+Chevron!F103</f>
        <v>0</v>
      </c>
      <c r="I167" s="111"/>
      <c r="J167" s="151"/>
      <c r="K167" s="151"/>
      <c r="L167" s="66">
        <f t="shared" si="43"/>
        <v>0</v>
      </c>
      <c r="M167" s="115">
        <f>+PROMIGAS!AU150</f>
        <v>0</v>
      </c>
      <c r="N167" s="59"/>
      <c r="O167" s="956">
        <f t="shared" si="44"/>
        <v>0</v>
      </c>
      <c r="P167" s="405">
        <f t="shared" si="45"/>
        <v>0</v>
      </c>
      <c r="Q167" s="411">
        <f t="shared" si="46"/>
        <v>0</v>
      </c>
      <c r="R167" s="1060">
        <f t="shared" si="40"/>
        <v>0</v>
      </c>
      <c r="S167" s="1052"/>
      <c r="T167" s="1052"/>
      <c r="U167" s="1052"/>
      <c r="V167" s="1052"/>
      <c r="W167" s="1052"/>
      <c r="X167" s="1052"/>
      <c r="Y167" s="1052"/>
      <c r="Z167" s="971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</row>
    <row r="168" spans="1:37" s="774" customFormat="1">
      <c r="A168" s="792">
        <v>11</v>
      </c>
      <c r="B168" s="775" t="s">
        <v>389</v>
      </c>
      <c r="C168" s="776">
        <v>99</v>
      </c>
      <c r="D168" s="971">
        <f>+Chevron!C104</f>
        <v>111.07286635515982</v>
      </c>
      <c r="E168" s="414"/>
      <c r="F168" s="111"/>
      <c r="G168" s="111">
        <f>+EcopeGj!F110</f>
        <v>0</v>
      </c>
      <c r="H168" s="414">
        <f>+Chevron!F104</f>
        <v>1158179.865230093</v>
      </c>
      <c r="I168" s="111"/>
      <c r="J168" s="151"/>
      <c r="K168" s="151"/>
      <c r="L168" s="66">
        <f t="shared" si="43"/>
        <v>1158179.865230093</v>
      </c>
      <c r="M168" s="115">
        <f>+PROMIGAS!AU151</f>
        <v>155833.40794228658</v>
      </c>
      <c r="N168" s="59"/>
      <c r="O168" s="956">
        <f>SUM(M168:N168)</f>
        <v>155833.40794228658</v>
      </c>
      <c r="P168" s="405">
        <f>+O168+L168</f>
        <v>1314013.2731723795</v>
      </c>
      <c r="Q168" s="411">
        <f>D168*1000000/$P$1/35.314667</f>
        <v>3157.2307692307691</v>
      </c>
      <c r="R168" s="1060">
        <f t="shared" si="40"/>
        <v>0</v>
      </c>
      <c r="S168" s="1052"/>
      <c r="T168" s="1052"/>
      <c r="U168" s="1052"/>
      <c r="V168" s="1052"/>
      <c r="W168" s="1052"/>
      <c r="X168" s="1052"/>
      <c r="Y168" s="1052"/>
      <c r="Z168" s="971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</row>
    <row r="169" spans="1:37" s="774" customFormat="1">
      <c r="A169" s="792">
        <v>11</v>
      </c>
      <c r="B169" s="775" t="s">
        <v>413</v>
      </c>
      <c r="C169" s="776">
        <v>99</v>
      </c>
      <c r="D169" s="971">
        <f>+Chevron!C105</f>
        <v>1.6249859677488263</v>
      </c>
      <c r="E169" s="414"/>
      <c r="F169" s="111"/>
      <c r="G169" s="111">
        <f>+EcopeGj!F111</f>
        <v>0</v>
      </c>
      <c r="H169" s="414">
        <f>+Chevron!F105</f>
        <v>16944.066457331501</v>
      </c>
      <c r="I169" s="111"/>
      <c r="J169" s="151"/>
      <c r="K169" s="151"/>
      <c r="L169" s="66">
        <f t="shared" si="43"/>
        <v>16944.066457331501</v>
      </c>
      <c r="M169" s="115">
        <f>+PROMIGAS!AU152</f>
        <v>2279.828634321821</v>
      </c>
      <c r="N169" s="59"/>
      <c r="O169" s="956">
        <f>SUM(M169:N169)</f>
        <v>2279.828634321821</v>
      </c>
      <c r="P169" s="405">
        <f>+O169+L169</f>
        <v>19223.895091653321</v>
      </c>
      <c r="Q169" s="411">
        <f>D169*1000000/$P$1/35.314667</f>
        <v>46.190000000000012</v>
      </c>
      <c r="R169" s="1060">
        <f t="shared" si="40"/>
        <v>0</v>
      </c>
      <c r="S169" s="1052"/>
      <c r="T169" s="1052"/>
      <c r="U169" s="1052"/>
      <c r="V169" s="1052"/>
      <c r="W169" s="1052"/>
      <c r="X169" s="1052"/>
      <c r="Y169" s="1052"/>
      <c r="Z169" s="971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</row>
    <row r="170" spans="1:37" s="774" customFormat="1">
      <c r="A170" s="792">
        <v>11</v>
      </c>
      <c r="B170" s="775" t="s">
        <v>414</v>
      </c>
      <c r="C170" s="776">
        <v>99</v>
      </c>
      <c r="D170" s="971">
        <f>+Chevron!C106</f>
        <v>0</v>
      </c>
      <c r="E170" s="414"/>
      <c r="F170" s="111"/>
      <c r="G170" s="111">
        <f>+EcopeGj!F112</f>
        <v>0</v>
      </c>
      <c r="H170" s="414">
        <f>+Chevron!F106</f>
        <v>0</v>
      </c>
      <c r="I170" s="111"/>
      <c r="J170" s="151"/>
      <c r="K170" s="151"/>
      <c r="L170" s="66">
        <f t="shared" si="43"/>
        <v>0</v>
      </c>
      <c r="M170" s="115">
        <f>+PROMIGAS!AU153</f>
        <v>0</v>
      </c>
      <c r="N170" s="59"/>
      <c r="O170" s="956">
        <f>SUM(M170:N170)</f>
        <v>0</v>
      </c>
      <c r="P170" s="405">
        <f>+O170+L170</f>
        <v>0</v>
      </c>
      <c r="Q170" s="411">
        <f>D170*1000000/$P$1/35.314667</f>
        <v>0</v>
      </c>
      <c r="R170" s="1060">
        <f t="shared" si="40"/>
        <v>0</v>
      </c>
      <c r="S170" s="1052"/>
      <c r="T170" s="1052"/>
      <c r="U170" s="1052"/>
      <c r="V170" s="1052"/>
      <c r="W170" s="1052"/>
      <c r="X170" s="1052"/>
      <c r="Y170" s="1052"/>
      <c r="Z170" s="971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</row>
    <row r="171" spans="1:37" s="774" customFormat="1">
      <c r="A171" s="792">
        <v>44</v>
      </c>
      <c r="B171" s="775" t="s">
        <v>143</v>
      </c>
      <c r="C171" s="776">
        <v>99</v>
      </c>
      <c r="D171" s="972">
        <f>+Chevron!C113</f>
        <v>9852.4180000000015</v>
      </c>
      <c r="E171" s="422"/>
      <c r="F171" s="574"/>
      <c r="G171" s="803"/>
      <c r="H171" s="414">
        <f>+Chevron!F113</f>
        <v>102733210.42192101</v>
      </c>
      <c r="I171" s="111"/>
      <c r="J171" s="151"/>
      <c r="K171" s="151"/>
      <c r="L171" s="66">
        <f t="shared" si="43"/>
        <v>102733210.42192101</v>
      </c>
      <c r="M171" s="803">
        <f>+PROMIGAS!AU177</f>
        <v>19720144.3576525</v>
      </c>
      <c r="N171" s="142"/>
      <c r="O171" s="956">
        <f>SUM(M171:N171)</f>
        <v>19720144.3576525</v>
      </c>
      <c r="P171" s="405">
        <f t="shared" si="45"/>
        <v>122453354.77957352</v>
      </c>
      <c r="Q171" s="411">
        <f t="shared" si="46"/>
        <v>280053.61058621906</v>
      </c>
      <c r="R171" s="1060">
        <f t="shared" si="40"/>
        <v>0</v>
      </c>
      <c r="S171" s="1057"/>
      <c r="T171" s="1057"/>
      <c r="U171" s="1057"/>
      <c r="V171" s="1057"/>
      <c r="W171" s="1057"/>
      <c r="X171" s="1057"/>
      <c r="Y171" s="1057"/>
      <c r="Z171" s="970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</row>
    <row r="172" spans="1:37" s="774" customFormat="1">
      <c r="A172" s="792">
        <v>44</v>
      </c>
      <c r="B172" s="775" t="s">
        <v>144</v>
      </c>
      <c r="C172" s="776">
        <v>99</v>
      </c>
      <c r="D172" s="971">
        <f>+Chevron!C112</f>
        <v>14605.288200000001</v>
      </c>
      <c r="E172" s="422"/>
      <c r="F172" s="574"/>
      <c r="G172" s="803">
        <f>+EcopeGj!F118</f>
        <v>0</v>
      </c>
      <c r="H172" s="414">
        <f>+Chevron!F112</f>
        <v>152292375.93486184</v>
      </c>
      <c r="I172" s="111"/>
      <c r="J172" s="151"/>
      <c r="K172" s="151"/>
      <c r="L172" s="66">
        <f t="shared" si="43"/>
        <v>152292375.93486184</v>
      </c>
      <c r="M172" s="803">
        <f>+PROMIGAS!AU176</f>
        <v>29233269.60844725</v>
      </c>
      <c r="N172" s="142"/>
      <c r="O172" s="956">
        <f t="shared" si="44"/>
        <v>29233269.60844725</v>
      </c>
      <c r="P172" s="405">
        <f t="shared" si="45"/>
        <v>181525645.54330909</v>
      </c>
      <c r="Q172" s="411">
        <f t="shared" si="46"/>
        <v>415153.28461117868</v>
      </c>
      <c r="R172" s="1060">
        <f t="shared" si="40"/>
        <v>0</v>
      </c>
      <c r="S172" s="1052"/>
      <c r="T172" s="1052"/>
      <c r="U172" s="1052"/>
      <c r="V172" s="1052"/>
      <c r="W172" s="1052"/>
      <c r="X172" s="1052"/>
      <c r="Y172" s="1052"/>
      <c r="Z172" s="971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</row>
    <row r="173" spans="1:37" s="774" customFormat="1">
      <c r="A173" s="792"/>
      <c r="B173" s="1180" t="s">
        <v>588</v>
      </c>
      <c r="C173" s="59">
        <v>99</v>
      </c>
      <c r="D173" s="971">
        <f>+Chevron!C117</f>
        <v>2589.8266293430056</v>
      </c>
      <c r="E173" s="422"/>
      <c r="F173" s="574"/>
      <c r="G173" s="803"/>
      <c r="H173" s="414">
        <f>+Chevron!F117</f>
        <v>27004660.588759977</v>
      </c>
      <c r="I173" s="151"/>
      <c r="J173" s="151"/>
      <c r="K173" s="151"/>
      <c r="L173" s="66">
        <f t="shared" si="43"/>
        <v>27004660.588759977</v>
      </c>
      <c r="M173" s="803">
        <f>+PROMIGAS!AU175</f>
        <v>3533471.7903558635</v>
      </c>
      <c r="N173" s="142"/>
      <c r="O173" s="956">
        <f t="shared" ref="O173" si="49">SUM(M173:N173)</f>
        <v>3533471.7903558635</v>
      </c>
      <c r="P173" s="405">
        <f t="shared" ref="P173" si="50">+O173+L173</f>
        <v>30538132.379115842</v>
      </c>
      <c r="Q173" s="411">
        <f t="shared" ref="Q173" si="51">D173*1000000/$P$1/35.314667</f>
        <v>73615.461538461546</v>
      </c>
      <c r="R173" s="1060"/>
      <c r="S173" s="1052"/>
      <c r="T173" s="1052"/>
      <c r="U173" s="1052"/>
      <c r="V173" s="1052"/>
      <c r="W173" s="1052"/>
      <c r="X173" s="1052"/>
      <c r="Y173" s="1052"/>
      <c r="Z173" s="971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</row>
    <row r="174" spans="1:37" s="774" customFormat="1">
      <c r="A174" s="800">
        <v>33</v>
      </c>
      <c r="B174" s="801" t="s">
        <v>147</v>
      </c>
      <c r="C174" s="59">
        <v>99</v>
      </c>
      <c r="D174" s="971"/>
      <c r="E174" s="802"/>
      <c r="F174" s="803"/>
      <c r="G174" s="803">
        <f>+EcopeGj!F185</f>
        <v>158667162.8373</v>
      </c>
      <c r="H174" s="111"/>
      <c r="I174" s="151"/>
      <c r="J174" s="151"/>
      <c r="K174" s="151">
        <f>+PACIFIC!F5+PACIFIC!F7</f>
        <v>371749641.5</v>
      </c>
      <c r="L174" s="66">
        <f t="shared" si="43"/>
        <v>530416804.3373</v>
      </c>
      <c r="M174" s="803">
        <v>0</v>
      </c>
      <c r="N174" s="952">
        <f>+Gascar!Q14</f>
        <v>48999765.734288976</v>
      </c>
      <c r="O174" s="956">
        <f t="shared" si="44"/>
        <v>48999765.734288976</v>
      </c>
      <c r="P174" s="405">
        <f t="shared" si="45"/>
        <v>579416570.07158899</v>
      </c>
      <c r="Q174" s="411">
        <f t="shared" si="46"/>
        <v>0</v>
      </c>
      <c r="R174" s="1060">
        <f t="shared" si="40"/>
        <v>0</v>
      </c>
      <c r="S174" s="1052"/>
      <c r="T174" s="1052"/>
      <c r="U174" s="1052"/>
      <c r="V174" s="1052"/>
      <c r="W174" s="1052"/>
      <c r="X174" s="1052"/>
      <c r="Y174" s="1052"/>
      <c r="Z174" s="971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</row>
    <row r="175" spans="1:37" s="774" customFormat="1">
      <c r="A175" s="792">
        <v>11</v>
      </c>
      <c r="B175" s="785" t="s">
        <v>177</v>
      </c>
      <c r="C175" s="806">
        <v>99</v>
      </c>
      <c r="D175" s="971">
        <f>+Chevron!C100</f>
        <v>0</v>
      </c>
      <c r="E175" s="802"/>
      <c r="F175" s="803"/>
      <c r="G175" s="803">
        <f>+EcopeGj!F119</f>
        <v>0</v>
      </c>
      <c r="H175" s="111">
        <f>+Chevron!F100</f>
        <v>0</v>
      </c>
      <c r="I175" s="151"/>
      <c r="J175" s="151"/>
      <c r="K175" s="151"/>
      <c r="L175" s="66">
        <f t="shared" si="43"/>
        <v>0</v>
      </c>
      <c r="M175" s="803">
        <f>+PROMIGAS!AU178</f>
        <v>0</v>
      </c>
      <c r="N175" s="142"/>
      <c r="O175" s="956">
        <f t="shared" si="44"/>
        <v>0</v>
      </c>
      <c r="P175" s="405">
        <f t="shared" si="45"/>
        <v>0</v>
      </c>
      <c r="Q175" s="411">
        <f t="shared" si="46"/>
        <v>0</v>
      </c>
      <c r="R175" s="1060">
        <f t="shared" si="40"/>
        <v>0</v>
      </c>
      <c r="S175" s="1052"/>
      <c r="T175" s="1052"/>
      <c r="U175" s="1052"/>
      <c r="V175" s="1052"/>
      <c r="W175" s="1052"/>
      <c r="X175" s="1052"/>
      <c r="Y175" s="1052"/>
      <c r="Z175" s="971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</row>
    <row r="176" spans="1:37" s="774" customFormat="1" ht="12.75" customHeight="1">
      <c r="A176" s="792">
        <v>11</v>
      </c>
      <c r="B176" s="785" t="s">
        <v>207</v>
      </c>
      <c r="C176" s="806">
        <v>99</v>
      </c>
      <c r="D176" s="971">
        <f>+Chevron!C101</f>
        <v>3949.9330000000004</v>
      </c>
      <c r="E176" s="802"/>
      <c r="F176" s="803"/>
      <c r="G176" s="803">
        <f>+EcopeGj!F120</f>
        <v>0</v>
      </c>
      <c r="H176" s="111">
        <f>+Chevron!F101</f>
        <v>31375824.619691182</v>
      </c>
      <c r="I176" s="151"/>
      <c r="J176" s="151"/>
      <c r="K176" s="151"/>
      <c r="L176" s="66">
        <f t="shared" si="43"/>
        <v>31375824.619691182</v>
      </c>
      <c r="M176" s="803">
        <f>+PROMIGAS!AU179</f>
        <v>7906003.2738212505</v>
      </c>
      <c r="N176" s="142"/>
      <c r="O176" s="956">
        <f t="shared" si="44"/>
        <v>7906003.2738212505</v>
      </c>
      <c r="P176" s="405">
        <f t="shared" si="45"/>
        <v>39281827.893512435</v>
      </c>
      <c r="Q176" s="411">
        <f t="shared" si="46"/>
        <v>112276.29585180573</v>
      </c>
      <c r="R176" s="1060">
        <f t="shared" si="40"/>
        <v>0</v>
      </c>
      <c r="S176" s="1052"/>
      <c r="T176" s="1052"/>
      <c r="U176" s="1052"/>
      <c r="V176" s="1052"/>
      <c r="W176" s="1052"/>
      <c r="X176" s="1052"/>
      <c r="Y176" s="1052"/>
      <c r="Z176" s="971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</row>
    <row r="177" spans="1:37" s="774" customFormat="1" ht="12.75" customHeight="1">
      <c r="A177" s="792">
        <v>11</v>
      </c>
      <c r="B177" s="788" t="s">
        <v>423</v>
      </c>
      <c r="C177" s="59">
        <v>99</v>
      </c>
      <c r="D177" s="966">
        <f>+'E2'!C14+GDO!C13</f>
        <v>10248</v>
      </c>
      <c r="E177" s="422"/>
      <c r="F177" s="574"/>
      <c r="G177" s="807">
        <f>+EcopeGj!F172</f>
        <v>0</v>
      </c>
      <c r="H177" s="111">
        <f>+Chevron!F170</f>
        <v>0</v>
      </c>
      <c r="I177" s="151">
        <f>+'E2'!F14</f>
        <v>49523749.336800002</v>
      </c>
      <c r="J177" s="151">
        <f>+GDO!F13</f>
        <v>62958383.465400003</v>
      </c>
      <c r="K177" s="151"/>
      <c r="L177" s="66">
        <f t="shared" si="43"/>
        <v>112482132.8022</v>
      </c>
      <c r="M177" s="803">
        <f>+PROMIGAS!AU180</f>
        <v>0</v>
      </c>
      <c r="N177" s="142"/>
      <c r="O177" s="956">
        <f t="shared" si="44"/>
        <v>0</v>
      </c>
      <c r="P177" s="405">
        <f t="shared" si="45"/>
        <v>112482132.8022</v>
      </c>
      <c r="Q177" s="411">
        <f t="shared" si="46"/>
        <v>291297.97388697602</v>
      </c>
      <c r="R177" s="1060">
        <f t="shared" si="40"/>
        <v>0</v>
      </c>
      <c r="S177" s="1053"/>
      <c r="T177" s="1053"/>
      <c r="U177" s="1053"/>
      <c r="V177" s="1053"/>
      <c r="W177" s="1053"/>
      <c r="X177" s="1053"/>
      <c r="Y177" s="1053"/>
      <c r="Z177" s="966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</row>
    <row r="178" spans="1:37" s="774" customFormat="1" ht="12.75" customHeight="1">
      <c r="A178" s="792">
        <v>11</v>
      </c>
      <c r="B178" s="775" t="s">
        <v>151</v>
      </c>
      <c r="C178" s="808">
        <v>99</v>
      </c>
      <c r="D178" s="966">
        <f>+EcopeGj!C173+'E2'!C7</f>
        <v>0</v>
      </c>
      <c r="E178" s="562"/>
      <c r="F178" s="575"/>
      <c r="G178" s="807">
        <f>+EcopeGj!F173</f>
        <v>0</v>
      </c>
      <c r="H178" s="1011">
        <f>+Chevron!F171</f>
        <v>0</v>
      </c>
      <c r="I178" s="1013">
        <f>+'E2'!F7</f>
        <v>0</v>
      </c>
      <c r="J178" s="1013"/>
      <c r="K178" s="1013"/>
      <c r="L178" s="66">
        <f t="shared" si="43"/>
        <v>0</v>
      </c>
      <c r="M178" s="803">
        <f>+PROMIGAS!AU182</f>
        <v>0</v>
      </c>
      <c r="N178" s="142"/>
      <c r="O178" s="956">
        <f t="shared" si="44"/>
        <v>0</v>
      </c>
      <c r="P178" s="405">
        <f t="shared" si="45"/>
        <v>0</v>
      </c>
      <c r="Q178" s="411">
        <f t="shared" si="46"/>
        <v>0</v>
      </c>
      <c r="R178" s="1060">
        <f t="shared" si="40"/>
        <v>0</v>
      </c>
      <c r="S178" s="1053"/>
      <c r="T178" s="1053"/>
      <c r="U178" s="1053"/>
      <c r="V178" s="1053"/>
      <c r="W178" s="1053"/>
      <c r="X178" s="1053"/>
      <c r="Y178" s="1053"/>
      <c r="Z178" s="966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</row>
    <row r="179" spans="1:37" s="774" customFormat="1" ht="12.75" customHeight="1">
      <c r="A179" s="792">
        <v>11</v>
      </c>
      <c r="B179" s="785" t="s">
        <v>533</v>
      </c>
      <c r="C179" s="59">
        <v>99</v>
      </c>
      <c r="D179" s="966"/>
      <c r="E179" s="422"/>
      <c r="F179" s="574"/>
      <c r="G179" s="803"/>
      <c r="H179" s="111"/>
      <c r="I179" s="151"/>
      <c r="J179" s="151"/>
      <c r="K179" s="151"/>
      <c r="L179" s="66">
        <f t="shared" si="43"/>
        <v>0</v>
      </c>
      <c r="M179" s="803"/>
      <c r="N179" s="142"/>
      <c r="O179" s="956">
        <f t="shared" ref="O179:O184" si="52">SUM(M179:N179)</f>
        <v>0</v>
      </c>
      <c r="P179" s="405">
        <f t="shared" si="45"/>
        <v>0</v>
      </c>
      <c r="Q179" s="411">
        <f t="shared" si="46"/>
        <v>0</v>
      </c>
      <c r="R179" s="1060">
        <f t="shared" si="40"/>
        <v>0</v>
      </c>
      <c r="S179" s="1053"/>
      <c r="T179" s="1053"/>
      <c r="U179" s="1053"/>
      <c r="V179" s="1053"/>
      <c r="W179" s="1053"/>
      <c r="X179" s="1053"/>
      <c r="Y179" s="1053"/>
      <c r="Z179" s="966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</row>
    <row r="180" spans="1:37" s="774" customFormat="1" ht="12.75" customHeight="1">
      <c r="A180" s="792">
        <v>11</v>
      </c>
      <c r="B180" s="775" t="s">
        <v>149</v>
      </c>
      <c r="C180" s="59">
        <v>99</v>
      </c>
      <c r="D180" s="966">
        <f>+EcopeGj!C174</f>
        <v>0</v>
      </c>
      <c r="E180" s="422"/>
      <c r="F180" s="574"/>
      <c r="G180" s="803">
        <f>+EcopeGj!F174</f>
        <v>0</v>
      </c>
      <c r="H180" s="111">
        <f>+Chevron!F172</f>
        <v>0</v>
      </c>
      <c r="I180" s="151"/>
      <c r="J180" s="151"/>
      <c r="K180" s="151"/>
      <c r="L180" s="66">
        <f t="shared" si="43"/>
        <v>0</v>
      </c>
      <c r="M180" s="803">
        <f>+PROMIGAS!AU181</f>
        <v>0</v>
      </c>
      <c r="N180" s="142"/>
      <c r="O180" s="956">
        <f t="shared" si="52"/>
        <v>0</v>
      </c>
      <c r="P180" s="405">
        <f t="shared" si="45"/>
        <v>0</v>
      </c>
      <c r="Q180" s="411">
        <f t="shared" si="46"/>
        <v>0</v>
      </c>
      <c r="R180" s="1060">
        <f t="shared" si="40"/>
        <v>0</v>
      </c>
      <c r="S180" s="1053"/>
      <c r="T180" s="1053"/>
      <c r="U180" s="1053"/>
      <c r="V180" s="1053"/>
      <c r="W180" s="1053"/>
      <c r="X180" s="1053"/>
      <c r="Y180" s="1053"/>
      <c r="Z180" s="966"/>
      <c r="AA180" s="809"/>
      <c r="AB180" s="809"/>
      <c r="AC180" s="333"/>
      <c r="AE180" s="809"/>
      <c r="AF180" s="809"/>
      <c r="AG180" s="809"/>
      <c r="AH180" s="333"/>
    </row>
    <row r="181" spans="1:37" s="774" customFormat="1" ht="12.75" customHeight="1">
      <c r="A181" s="792">
        <v>11</v>
      </c>
      <c r="B181" s="775" t="s">
        <v>443</v>
      </c>
      <c r="C181" s="59">
        <v>99</v>
      </c>
      <c r="D181" s="966">
        <f>+EcopeGj!C179+Chevron!C174+GDO!C7</f>
        <v>45960</v>
      </c>
      <c r="E181" s="422"/>
      <c r="F181" s="574"/>
      <c r="G181" s="803">
        <f>+EcopeGj!F179</f>
        <v>0</v>
      </c>
      <c r="H181" s="1033">
        <f>+Chevron!F174</f>
        <v>179315047.18867502</v>
      </c>
      <c r="I181" s="151"/>
      <c r="J181" s="151">
        <f>+GDO!F7</f>
        <v>215239522.27275002</v>
      </c>
      <c r="K181" s="151"/>
      <c r="L181" s="66">
        <f t="shared" si="43"/>
        <v>394554569.46142507</v>
      </c>
      <c r="M181" s="803">
        <f>+PROMIGAS!AU183</f>
        <v>7183153.480385893</v>
      </c>
      <c r="N181" s="142"/>
      <c r="O181" s="956">
        <f t="shared" si="52"/>
        <v>7183153.480385893</v>
      </c>
      <c r="P181" s="405">
        <f>+O181+L181</f>
        <v>401737722.94181097</v>
      </c>
      <c r="Q181" s="411">
        <f>D181*1000000/$P$1/35.314667</f>
        <v>1306406.6042003725</v>
      </c>
      <c r="R181" s="1060">
        <f t="shared" si="40"/>
        <v>45960</v>
      </c>
      <c r="S181" s="1053"/>
      <c r="T181" s="1053">
        <f>+Chevron!C174</f>
        <v>26350</v>
      </c>
      <c r="U181" s="1053">
        <f>+GDO!C7</f>
        <v>19610</v>
      </c>
      <c r="V181" s="1053"/>
      <c r="W181" s="1053"/>
      <c r="X181" s="1053"/>
      <c r="Y181" s="1053"/>
      <c r="Z181" s="966"/>
    </row>
    <row r="182" spans="1:37" s="774" customFormat="1" ht="12.75" customHeight="1">
      <c r="A182" s="792">
        <v>11</v>
      </c>
      <c r="B182" s="785" t="s">
        <v>484</v>
      </c>
      <c r="C182" s="59">
        <v>99</v>
      </c>
      <c r="D182" s="1066">
        <f>+EcopeGj!C180+Chevron!C173+GDO!C8</f>
        <v>19499</v>
      </c>
      <c r="E182" s="422"/>
      <c r="F182" s="574"/>
      <c r="G182" s="1002">
        <f>+EcopeGj!F180</f>
        <v>0</v>
      </c>
      <c r="H182" s="1033">
        <f>+Chevron!F173</f>
        <v>48282362.800897501</v>
      </c>
      <c r="I182" s="151"/>
      <c r="J182" s="151">
        <f>+GDO!F8</f>
        <v>136146406.64309999</v>
      </c>
      <c r="K182" s="151"/>
      <c r="L182" s="66">
        <f t="shared" si="43"/>
        <v>184428769.4439975</v>
      </c>
      <c r="M182" s="803">
        <f>+PROMIGAS!AU184</f>
        <v>4252463.3230964709</v>
      </c>
      <c r="N182" s="142"/>
      <c r="O182" s="956">
        <f t="shared" si="52"/>
        <v>4252463.3230964709</v>
      </c>
      <c r="P182" s="405">
        <f>+O182+L182</f>
        <v>188681232.76709399</v>
      </c>
      <c r="Q182" s="411">
        <f>D182*1000000/$P$1/35.314667</f>
        <v>554256.3615166028</v>
      </c>
      <c r="R182" s="1060">
        <f t="shared" si="40"/>
        <v>19499</v>
      </c>
      <c r="S182" s="1053"/>
      <c r="T182" s="1053">
        <f>+Chevron!C173</f>
        <v>7095</v>
      </c>
      <c r="U182" s="1053">
        <f>+GDO!C8</f>
        <v>12404</v>
      </c>
      <c r="V182" s="1053"/>
      <c r="W182" s="1053"/>
      <c r="X182" s="1053"/>
      <c r="Y182" s="1053"/>
      <c r="Z182" s="1040"/>
    </row>
    <row r="183" spans="1:37" s="774" customFormat="1" ht="12.75" customHeight="1">
      <c r="A183" s="792">
        <v>11</v>
      </c>
      <c r="B183" s="775" t="s">
        <v>445</v>
      </c>
      <c r="C183" s="59">
        <v>99</v>
      </c>
      <c r="D183" s="971">
        <f>+Chevron!C107</f>
        <v>2798.6993750000001</v>
      </c>
      <c r="E183" s="422"/>
      <c r="F183" s="574"/>
      <c r="G183" s="803">
        <f>+EcopeGj!F113</f>
        <v>0</v>
      </c>
      <c r="H183" s="111">
        <f>+Chevron!F107</f>
        <v>29182620.124275461</v>
      </c>
      <c r="I183" s="151"/>
      <c r="J183" s="151"/>
      <c r="K183" s="151"/>
      <c r="L183" s="66">
        <f t="shared" si="43"/>
        <v>29182620.124275461</v>
      </c>
      <c r="M183" s="803">
        <f>+PROMIGAS!AU174</f>
        <v>3676045.3677478814</v>
      </c>
      <c r="N183" s="142"/>
      <c r="O183" s="956">
        <f t="shared" si="52"/>
        <v>3676045.3677478814</v>
      </c>
      <c r="P183" s="405">
        <f>+O183+L183</f>
        <v>32858665.492023341</v>
      </c>
      <c r="Q183" s="411">
        <f>D183*1000000/$P$1/35.314667</f>
        <v>79552.640267002949</v>
      </c>
      <c r="R183" s="1060">
        <f t="shared" si="40"/>
        <v>0</v>
      </c>
      <c r="S183" s="1052"/>
      <c r="T183" s="1052"/>
      <c r="U183" s="1052"/>
      <c r="V183" s="1052"/>
      <c r="W183" s="1052"/>
      <c r="X183" s="1052"/>
      <c r="Y183" s="1052"/>
      <c r="Z183" s="971"/>
    </row>
    <row r="184" spans="1:37" s="774" customFormat="1" ht="12.75" customHeight="1">
      <c r="A184" s="792">
        <v>11</v>
      </c>
      <c r="B184" s="785" t="s">
        <v>132</v>
      </c>
      <c r="C184" s="59">
        <v>99</v>
      </c>
      <c r="D184" s="966">
        <f>+EcopeGj!C178+GDO!C11+'E2'!C8</f>
        <v>18000</v>
      </c>
      <c r="E184" s="422"/>
      <c r="F184" s="574"/>
      <c r="G184" s="803">
        <f>+EcopeGj!F178</f>
        <v>0</v>
      </c>
      <c r="H184" s="111"/>
      <c r="I184" s="151">
        <f>+'E2'!F8</f>
        <v>0</v>
      </c>
      <c r="J184" s="151">
        <f>+GDO!F11</f>
        <v>197568148.95000002</v>
      </c>
      <c r="K184" s="151"/>
      <c r="L184" s="66">
        <f t="shared" si="43"/>
        <v>197568148.95000002</v>
      </c>
      <c r="M184" s="803">
        <v>0</v>
      </c>
      <c r="N184" s="142"/>
      <c r="O184" s="956">
        <f t="shared" si="52"/>
        <v>0</v>
      </c>
      <c r="P184" s="405">
        <f t="shared" si="45"/>
        <v>197568148.95000002</v>
      </c>
      <c r="Q184" s="411">
        <f t="shared" si="46"/>
        <v>511647.49511763942</v>
      </c>
      <c r="R184" s="1060">
        <f t="shared" si="40"/>
        <v>0</v>
      </c>
      <c r="S184" s="1053"/>
      <c r="T184" s="1053"/>
      <c r="U184" s="1053"/>
      <c r="V184" s="1053"/>
      <c r="W184" s="1053"/>
      <c r="X184" s="1053"/>
      <c r="Y184" s="1053"/>
      <c r="Z184" s="966"/>
    </row>
    <row r="185" spans="1:37" s="774" customFormat="1" ht="12.75" customHeight="1">
      <c r="A185" s="792">
        <v>11</v>
      </c>
      <c r="B185" s="785" t="s">
        <v>543</v>
      </c>
      <c r="C185" s="59">
        <v>99</v>
      </c>
      <c r="D185" s="966">
        <f>+GDO!C5+GDO!C6</f>
        <v>153500</v>
      </c>
      <c r="E185" s="422"/>
      <c r="F185" s="574"/>
      <c r="G185" s="803"/>
      <c r="H185" s="111"/>
      <c r="I185" s="151"/>
      <c r="J185" s="151">
        <f>+GDO!F5+GDO!F6</f>
        <v>1621869862.7553749</v>
      </c>
      <c r="K185" s="151"/>
      <c r="L185" s="66">
        <f t="shared" si="43"/>
        <v>1621869862.7553749</v>
      </c>
      <c r="M185" s="803">
        <v>0</v>
      </c>
      <c r="N185" s="142"/>
      <c r="O185" s="956">
        <f t="shared" ref="O185" si="53">SUM(M185:N185)</f>
        <v>0</v>
      </c>
      <c r="P185" s="405">
        <f t="shared" ref="P185" si="54">+O185+L185</f>
        <v>1621869862.7553749</v>
      </c>
      <c r="Q185" s="411">
        <f t="shared" ref="Q185" si="55">D185*1000000/$P$1/35.314667</f>
        <v>4363216.1389198694</v>
      </c>
      <c r="R185" s="1060">
        <f t="shared" si="40"/>
        <v>38800</v>
      </c>
      <c r="S185" s="1053"/>
      <c r="T185" s="1053"/>
      <c r="U185" s="1053">
        <f>+GDO!C5</f>
        <v>38800</v>
      </c>
      <c r="V185" s="1053"/>
      <c r="W185" s="1053"/>
      <c r="X185" s="1053"/>
      <c r="Y185" s="1053"/>
      <c r="Z185" s="966"/>
    </row>
    <row r="186" spans="1:37" s="774" customFormat="1" ht="12.75" customHeight="1">
      <c r="A186" s="792"/>
      <c r="B186" s="775"/>
      <c r="C186" s="59"/>
      <c r="D186" s="966"/>
      <c r="E186" s="422"/>
      <c r="F186" s="422"/>
      <c r="G186" s="802"/>
      <c r="H186" s="414"/>
      <c r="I186" s="414"/>
      <c r="J186" s="414"/>
      <c r="K186" s="414"/>
      <c r="L186" s="66">
        <f t="shared" si="43"/>
        <v>0</v>
      </c>
      <c r="M186" s="803"/>
      <c r="N186" s="142"/>
      <c r="O186" s="956"/>
      <c r="P186" s="405"/>
      <c r="Q186" s="933"/>
      <c r="R186" s="1060">
        <f>SUM(S186:Z186)</f>
        <v>0</v>
      </c>
      <c r="S186" s="966"/>
      <c r="T186" s="966"/>
      <c r="U186" s="966"/>
      <c r="V186" s="966"/>
      <c r="W186" s="966"/>
      <c r="X186" s="966"/>
      <c r="Y186" s="966"/>
      <c r="Z186" s="966"/>
    </row>
    <row r="187" spans="1:37" s="774" customFormat="1" ht="12.75" customHeight="1" thickBot="1">
      <c r="A187" s="792"/>
      <c r="B187" s="810" t="s">
        <v>91</v>
      </c>
      <c r="C187" s="154"/>
      <c r="D187" s="974">
        <f>SUM(D5:D185)</f>
        <v>1241107.8083847084</v>
      </c>
      <c r="E187" s="423">
        <f t="shared" ref="E187:L187" si="56">SUM(E5:E186)</f>
        <v>0</v>
      </c>
      <c r="F187" s="423">
        <f t="shared" si="56"/>
        <v>0</v>
      </c>
      <c r="G187" s="423">
        <f t="shared" si="56"/>
        <v>4359848113.0019646</v>
      </c>
      <c r="H187" s="423">
        <f t="shared" si="56"/>
        <v>7288964149.7730484</v>
      </c>
      <c r="I187" s="423">
        <f t="shared" si="56"/>
        <v>446558896.68930578</v>
      </c>
      <c r="J187" s="423">
        <f t="shared" si="56"/>
        <v>2233782324.0866251</v>
      </c>
      <c r="K187" s="423">
        <f t="shared" si="56"/>
        <v>771142484.07500005</v>
      </c>
      <c r="L187" s="60">
        <f t="shared" si="56"/>
        <v>15100295967.625938</v>
      </c>
      <c r="M187" s="117">
        <f>SUM(M5:M185)</f>
        <v>2428100948.9448295</v>
      </c>
      <c r="N187" s="953">
        <f>SUM(N5:N185)</f>
        <v>541150467.18845475</v>
      </c>
      <c r="O187" s="963">
        <f>SUM(O5:O184)</f>
        <v>2969251416.1332846</v>
      </c>
      <c r="P187" s="408">
        <f>SUM(P5:P186)</f>
        <v>18069547383.759224</v>
      </c>
      <c r="Q187" s="413">
        <f>SUM(Q5:Q186)</f>
        <v>35278316.740609959</v>
      </c>
      <c r="S187" s="974">
        <f t="shared" ref="S187:Y187" si="57">SUM(S5:S186)</f>
        <v>0</v>
      </c>
      <c r="T187" s="974">
        <f t="shared" si="57"/>
        <v>33445</v>
      </c>
      <c r="U187" s="974">
        <f t="shared" si="57"/>
        <v>70814</v>
      </c>
      <c r="V187" s="974">
        <f t="shared" si="57"/>
        <v>0</v>
      </c>
      <c r="W187" s="974">
        <f t="shared" si="57"/>
        <v>0</v>
      </c>
      <c r="X187" s="974">
        <f t="shared" si="57"/>
        <v>0</v>
      </c>
      <c r="Y187" s="974">
        <f t="shared" si="57"/>
        <v>62680</v>
      </c>
      <c r="Z187" s="974"/>
    </row>
    <row r="188" spans="1:37" s="774" customFormat="1" ht="12.75" customHeight="1">
      <c r="A188" s="792"/>
      <c r="B188" s="811" t="s">
        <v>91</v>
      </c>
      <c r="C188" s="133"/>
      <c r="D188" s="133"/>
      <c r="E188" s="812">
        <f>+ECOP!F25</f>
        <v>0</v>
      </c>
      <c r="F188" s="812">
        <f>+ECOP!K25</f>
        <v>0</v>
      </c>
      <c r="G188" s="813">
        <f>+EcopeGj!F188</f>
        <v>4359848113.0019636</v>
      </c>
      <c r="H188" s="930">
        <f>+Chevron!F185</f>
        <v>7288964149.7730408</v>
      </c>
      <c r="I188" s="930">
        <f>+'E2'!F23</f>
        <v>446558896.66837502</v>
      </c>
      <c r="J188" s="930">
        <f>+GDO!F26</f>
        <v>2233782324.0866251</v>
      </c>
      <c r="K188" s="930">
        <f>+PACIFIC!F23</f>
        <v>771142484.07499993</v>
      </c>
      <c r="L188" s="1069">
        <f>SUM(E187:K187)</f>
        <v>15100295967.625946</v>
      </c>
      <c r="M188" s="312">
        <f>+PROMIGAS!AU195</f>
        <v>2428100949</v>
      </c>
      <c r="N188" s="312">
        <f>+Gascar!Q18</f>
        <v>541150467</v>
      </c>
      <c r="O188" s="311"/>
      <c r="P188" s="313"/>
      <c r="Q188" s="401"/>
      <c r="R188" s="409"/>
      <c r="S188" s="46"/>
      <c r="T188" s="46"/>
      <c r="U188" s="46"/>
      <c r="V188" s="46"/>
      <c r="W188" s="46"/>
      <c r="X188" s="46"/>
      <c r="Y188" s="46"/>
      <c r="Z188" s="46"/>
    </row>
    <row r="189" spans="1:37" s="774" customFormat="1" ht="12.75" customHeight="1">
      <c r="A189" s="792"/>
      <c r="B189" s="811" t="s">
        <v>113</v>
      </c>
      <c r="C189" s="44"/>
      <c r="D189" s="44"/>
      <c r="E189" s="815">
        <f t="shared" ref="E189:M189" si="58">+E187-E188</f>
        <v>0</v>
      </c>
      <c r="F189" s="815">
        <f t="shared" si="58"/>
        <v>0</v>
      </c>
      <c r="G189" s="815">
        <f t="shared" si="58"/>
        <v>0</v>
      </c>
      <c r="H189" s="815">
        <f t="shared" si="58"/>
        <v>7.62939453125E-6</v>
      </c>
      <c r="I189" s="815">
        <f t="shared" si="58"/>
        <v>2.0930767059326172E-2</v>
      </c>
      <c r="J189" s="815">
        <f t="shared" si="58"/>
        <v>0</v>
      </c>
      <c r="K189" s="815">
        <f t="shared" si="58"/>
        <v>0</v>
      </c>
      <c r="L189" s="975">
        <f t="shared" si="58"/>
        <v>0</v>
      </c>
      <c r="M189" s="975">
        <f t="shared" si="58"/>
        <v>-5.5170536041259766E-2</v>
      </c>
      <c r="N189" s="815">
        <f>+N187-N188</f>
        <v>0.18845474720001221</v>
      </c>
      <c r="O189" s="63"/>
      <c r="P189" s="63"/>
      <c r="Q189" s="402"/>
      <c r="R189" s="48"/>
      <c r="S189" s="46"/>
      <c r="T189" s="46"/>
      <c r="U189" s="46"/>
      <c r="V189" s="46"/>
      <c r="W189" s="46"/>
      <c r="X189" s="46"/>
      <c r="Y189" s="46"/>
      <c r="Z189" s="46"/>
    </row>
    <row r="190" spans="1:37" s="774" customFormat="1" ht="12.75" customHeight="1">
      <c r="A190" s="792"/>
      <c r="B190" s="816" t="s">
        <v>3</v>
      </c>
      <c r="C190" s="51"/>
      <c r="D190" s="817"/>
      <c r="E190" s="70">
        <f>+ECOP!F25</f>
        <v>0</v>
      </c>
      <c r="F190" s="70"/>
      <c r="G190" s="70"/>
      <c r="H190" s="70"/>
      <c r="I190" s="70"/>
      <c r="J190" s="311"/>
      <c r="K190" s="311"/>
      <c r="L190" s="311">
        <f>SUM(E190:I190)</f>
        <v>0</v>
      </c>
      <c r="M190" s="71"/>
      <c r="N190" s="71"/>
      <c r="O190" s="70">
        <f t="shared" ref="O190:O198" si="59">SUM(M190:N190)</f>
        <v>0</v>
      </c>
      <c r="P190" s="594">
        <f t="shared" ref="P190:P198" si="60">+L190+O190</f>
        <v>0</v>
      </c>
      <c r="Q190" s="49"/>
      <c r="R190" s="1060">
        <f t="shared" ref="R190" si="61">SUM(S190:Z190)</f>
        <v>1629571.7383597181</v>
      </c>
      <c r="S190" s="1064">
        <f>+EcopeGj!C188</f>
        <v>529486.97894455213</v>
      </c>
      <c r="T190" s="786">
        <f>+Chevron!C185</f>
        <v>749869.75941516599</v>
      </c>
      <c r="U190" s="786">
        <f>+GDO!C20</f>
        <v>209250</v>
      </c>
      <c r="V190" s="786">
        <f>+'E2'!C23</f>
        <v>40685</v>
      </c>
      <c r="Y190" s="786">
        <f>+PACIFIC!C23</f>
        <v>100280</v>
      </c>
    </row>
    <row r="191" spans="1:37" s="774" customFormat="1" ht="12.75" customHeight="1">
      <c r="A191" s="792"/>
      <c r="B191" s="818" t="s">
        <v>380</v>
      </c>
      <c r="C191" s="576"/>
      <c r="D191" s="819"/>
      <c r="E191" s="577"/>
      <c r="F191" s="577">
        <f>+ECOP!K25</f>
        <v>0</v>
      </c>
      <c r="G191" s="577"/>
      <c r="H191" s="577"/>
      <c r="I191" s="577"/>
      <c r="J191" s="72"/>
      <c r="K191" s="72"/>
      <c r="L191" s="72">
        <f>SUM(E191:K191)</f>
        <v>0</v>
      </c>
      <c r="M191" s="578"/>
      <c r="N191" s="578"/>
      <c r="O191" s="577"/>
      <c r="P191" s="579">
        <f t="shared" si="60"/>
        <v>0</v>
      </c>
      <c r="Q191" s="49"/>
      <c r="R191" s="45"/>
      <c r="S191" s="46"/>
    </row>
    <row r="192" spans="1:37" s="774" customFormat="1" ht="12.75" customHeight="1">
      <c r="A192" s="792"/>
      <c r="B192" s="947" t="s">
        <v>493</v>
      </c>
      <c r="C192" s="50"/>
      <c r="D192" s="820"/>
      <c r="E192" s="72"/>
      <c r="F192" s="72"/>
      <c r="G192" s="72">
        <f>+EcopeGj!F189</f>
        <v>4359848113.022625</v>
      </c>
      <c r="H192" s="72"/>
      <c r="I192" s="72"/>
      <c r="J192" s="72"/>
      <c r="K192" s="72"/>
      <c r="L192" s="72">
        <f t="shared" ref="L192:L198" si="62">SUM(E192:K192)</f>
        <v>4359848113.022625</v>
      </c>
      <c r="M192" s="73"/>
      <c r="N192" s="73"/>
      <c r="O192" s="72">
        <f t="shared" si="59"/>
        <v>0</v>
      </c>
      <c r="P192" s="74">
        <f t="shared" si="60"/>
        <v>4359848113.022625</v>
      </c>
      <c r="Q192" s="43"/>
      <c r="R192" s="45"/>
      <c r="S192" s="46"/>
    </row>
    <row r="193" spans="1:48" s="774" customFormat="1" ht="12.75" customHeight="1">
      <c r="A193" s="792"/>
      <c r="B193" s="947" t="s">
        <v>114</v>
      </c>
      <c r="C193" s="50"/>
      <c r="D193" s="820"/>
      <c r="E193" s="72"/>
      <c r="F193" s="72"/>
      <c r="G193" s="72"/>
      <c r="H193" s="72">
        <f>+Chevron!F186</f>
        <v>7657627856.8772926</v>
      </c>
      <c r="I193" s="72"/>
      <c r="J193" s="72"/>
      <c r="K193" s="72"/>
      <c r="L193" s="72">
        <f t="shared" si="62"/>
        <v>7657627856.8772926</v>
      </c>
      <c r="M193" s="73"/>
      <c r="N193" s="73"/>
      <c r="O193" s="72">
        <f t="shared" si="59"/>
        <v>0</v>
      </c>
      <c r="P193" s="74">
        <f>+L193+O193</f>
        <v>7657627856.8772926</v>
      </c>
      <c r="Q193" s="43"/>
      <c r="R193" s="45"/>
      <c r="S193" s="46"/>
    </row>
    <row r="194" spans="1:48" s="774" customFormat="1" ht="12.75" customHeight="1">
      <c r="A194" s="792"/>
      <c r="B194" s="947" t="s">
        <v>494</v>
      </c>
      <c r="C194" s="50"/>
      <c r="D194" s="820"/>
      <c r="E194" s="72"/>
      <c r="F194" s="72"/>
      <c r="G194" s="72"/>
      <c r="H194" s="72"/>
      <c r="I194" s="72">
        <f>+'E2'!F23</f>
        <v>446558896.66837502</v>
      </c>
      <c r="J194" s="72"/>
      <c r="K194" s="72"/>
      <c r="L194" s="72">
        <f t="shared" si="62"/>
        <v>446558896.66837502</v>
      </c>
      <c r="M194" s="73"/>
      <c r="N194" s="73"/>
      <c r="O194" s="72"/>
      <c r="P194" s="74">
        <f t="shared" si="60"/>
        <v>446558896.66837502</v>
      </c>
      <c r="Q194" s="1297" t="s">
        <v>615</v>
      </c>
      <c r="R194" s="1298"/>
      <c r="S194" s="46"/>
    </row>
    <row r="195" spans="1:48" s="1281" customFormat="1" ht="12.75" customHeight="1">
      <c r="A195" s="1274"/>
      <c r="B195" s="1275" t="s">
        <v>148</v>
      </c>
      <c r="C195" s="1276"/>
      <c r="D195" s="1277"/>
      <c r="E195" s="1278"/>
      <c r="F195" s="1278"/>
      <c r="G195" s="1278"/>
      <c r="H195" s="1278"/>
      <c r="I195" s="1278"/>
      <c r="J195" s="1278"/>
      <c r="K195" s="1278"/>
      <c r="L195" s="1278">
        <f t="shared" si="62"/>
        <v>0</v>
      </c>
      <c r="M195" s="1279"/>
      <c r="N195" s="1279">
        <f>+Gascar!Q18</f>
        <v>541150467</v>
      </c>
      <c r="O195" s="1278">
        <f t="shared" si="59"/>
        <v>541150467</v>
      </c>
      <c r="P195" s="1280">
        <f>+L195+O195</f>
        <v>541150467</v>
      </c>
      <c r="Q195" s="1295" t="s">
        <v>613</v>
      </c>
      <c r="R195" s="1296"/>
    </row>
    <row r="196" spans="1:48">
      <c r="B196" s="947" t="s">
        <v>541</v>
      </c>
      <c r="C196" s="50"/>
      <c r="D196" s="820"/>
      <c r="E196" s="72"/>
      <c r="F196" s="72"/>
      <c r="G196" s="72"/>
      <c r="H196" s="72"/>
      <c r="I196" s="72"/>
      <c r="J196" s="72">
        <f>+GDO!F26</f>
        <v>2233782324.0866251</v>
      </c>
      <c r="K196" s="72"/>
      <c r="L196" s="72">
        <f t="shared" si="62"/>
        <v>2233782324.0866251</v>
      </c>
      <c r="M196" s="73"/>
      <c r="N196" s="73"/>
      <c r="O196" s="72">
        <f t="shared" si="59"/>
        <v>0</v>
      </c>
      <c r="P196" s="74">
        <f t="shared" si="60"/>
        <v>2233782324.0866251</v>
      </c>
      <c r="Q196" s="1297" t="s">
        <v>614</v>
      </c>
      <c r="R196" s="1298"/>
      <c r="S196" s="774"/>
      <c r="T196" s="774"/>
      <c r="U196" s="774"/>
      <c r="V196" s="774"/>
      <c r="W196" s="774"/>
      <c r="X196" s="774"/>
      <c r="Y196" s="774"/>
      <c r="Z196" s="774"/>
      <c r="AA196" s="774"/>
      <c r="AB196" s="774"/>
      <c r="AC196" s="774"/>
      <c r="AD196" s="774"/>
      <c r="AE196" s="774"/>
      <c r="AF196" s="774"/>
      <c r="AG196" s="774"/>
      <c r="AH196" s="774"/>
      <c r="AI196" s="774"/>
      <c r="AJ196" s="774"/>
      <c r="AK196" s="774"/>
      <c r="AL196" s="774"/>
      <c r="AM196" s="774"/>
      <c r="AN196" s="774"/>
      <c r="AO196" s="774"/>
      <c r="AP196" s="774"/>
    </row>
    <row r="197" spans="1:48">
      <c r="B197" s="110" t="s">
        <v>168</v>
      </c>
      <c r="C197" s="50"/>
      <c r="D197" s="820"/>
      <c r="E197" s="72"/>
      <c r="F197" s="72"/>
      <c r="G197" s="72"/>
      <c r="H197" s="72"/>
      <c r="I197" s="72"/>
      <c r="J197" s="72"/>
      <c r="K197" s="72">
        <f>+K187</f>
        <v>771142484.07500005</v>
      </c>
      <c r="L197" s="72">
        <f t="shared" si="62"/>
        <v>771142484.07500005</v>
      </c>
      <c r="M197" s="73">
        <f>+PROMIGAS!AU195</f>
        <v>2428100949</v>
      </c>
      <c r="N197" s="73"/>
      <c r="O197" s="72">
        <f t="shared" si="59"/>
        <v>2428100949</v>
      </c>
      <c r="P197" s="74">
        <f t="shared" si="60"/>
        <v>3199243433.0749998</v>
      </c>
      <c r="Q197" s="1297" t="s">
        <v>616</v>
      </c>
      <c r="R197" s="1298"/>
      <c r="S197" s="823">
        <f>P197-Q208</f>
        <v>694259449.07499981</v>
      </c>
      <c r="T197" s="774"/>
      <c r="U197" s="774"/>
      <c r="V197" s="774"/>
      <c r="W197" s="774"/>
      <c r="X197" s="774"/>
      <c r="Y197" s="774"/>
      <c r="Z197" s="774"/>
      <c r="AA197" s="774"/>
      <c r="AB197" s="774"/>
      <c r="AC197" s="774"/>
      <c r="AD197" s="774"/>
      <c r="AE197" s="774"/>
    </row>
    <row r="198" spans="1:48" ht="13.5" thickBot="1">
      <c r="B198" s="1282" t="s">
        <v>124</v>
      </c>
      <c r="C198" s="78"/>
      <c r="D198" s="821"/>
      <c r="E198" s="79"/>
      <c r="F198" s="79"/>
      <c r="G198" s="79"/>
      <c r="H198" s="79"/>
      <c r="I198" s="79"/>
      <c r="J198" s="1065"/>
      <c r="K198" s="1065"/>
      <c r="L198" s="72">
        <f t="shared" si="62"/>
        <v>0</v>
      </c>
      <c r="M198" s="80"/>
      <c r="N198" s="80"/>
      <c r="O198" s="72">
        <f t="shared" si="59"/>
        <v>0</v>
      </c>
      <c r="P198" s="74">
        <f t="shared" si="60"/>
        <v>0</v>
      </c>
      <c r="Q198" s="45"/>
      <c r="R198" s="46"/>
      <c r="S198" s="44"/>
      <c r="T198" s="12"/>
      <c r="U198" s="822"/>
      <c r="V198" s="823"/>
      <c r="W198" s="774"/>
      <c r="X198" s="774"/>
      <c r="Y198" s="12"/>
      <c r="Z198" s="12"/>
      <c r="AA198" s="791"/>
      <c r="AB198" s="791"/>
      <c r="AC198" s="791"/>
      <c r="AD198" s="774"/>
      <c r="AE198" s="774"/>
      <c r="AF198" s="774"/>
      <c r="AG198" s="774"/>
      <c r="AH198" s="774"/>
      <c r="AI198" s="774"/>
    </row>
    <row r="199" spans="1:48">
      <c r="B199" s="134" t="s">
        <v>91</v>
      </c>
      <c r="C199" s="135"/>
      <c r="D199" s="824"/>
      <c r="E199" s="136"/>
      <c r="F199" s="136"/>
      <c r="G199" s="136"/>
      <c r="H199" s="136"/>
      <c r="I199" s="136"/>
      <c r="J199" s="136"/>
      <c r="K199" s="136"/>
      <c r="L199" s="137">
        <f>SUM(L190:L198)</f>
        <v>15468959674.729919</v>
      </c>
      <c r="M199" s="137"/>
      <c r="N199" s="137"/>
      <c r="O199" s="137">
        <f>SUM(O190:O198)</f>
        <v>2969251416</v>
      </c>
      <c r="P199" s="137">
        <f>SUM(P190:P198)</f>
        <v>18438211090.729919</v>
      </c>
      <c r="Q199" s="44"/>
      <c r="R199" s="46"/>
      <c r="S199" s="825"/>
      <c r="U199" s="15"/>
      <c r="V199" s="826"/>
      <c r="W199" s="12"/>
      <c r="X199" s="827"/>
      <c r="Z199" s="16"/>
    </row>
    <row r="200" spans="1:48">
      <c r="B200" s="62" t="s">
        <v>4</v>
      </c>
      <c r="C200" s="53"/>
      <c r="D200" s="131"/>
      <c r="E200" s="131">
        <f>+E187-E190</f>
        <v>0</v>
      </c>
      <c r="F200" s="131">
        <f>+F187-F191</f>
        <v>0</v>
      </c>
      <c r="G200" s="131">
        <f>+G192-G187</f>
        <v>2.0660400390625E-2</v>
      </c>
      <c r="H200" s="77">
        <f>+H193-H187</f>
        <v>368663707.10424423</v>
      </c>
      <c r="I200" s="77">
        <f>+I194-I187</f>
        <v>-2.0930767059326172E-2</v>
      </c>
      <c r="J200" s="77"/>
      <c r="K200" s="77"/>
      <c r="L200" s="77">
        <f>+L199-L187</f>
        <v>368663707.10398102</v>
      </c>
      <c r="M200" s="131">
        <f>+M197-M187</f>
        <v>5.5170536041259766E-2</v>
      </c>
      <c r="N200" s="77">
        <f>+N195-N187</f>
        <v>-0.18845474720001221</v>
      </c>
      <c r="O200" s="131">
        <f>+O199-O187</f>
        <v>-0.13328456878662109</v>
      </c>
      <c r="P200" s="81">
        <f>+P187-P199</f>
        <v>-368663706.9706955</v>
      </c>
      <c r="Q200" s="45"/>
      <c r="R200" s="46"/>
      <c r="S200" s="15"/>
      <c r="U200" s="15"/>
      <c r="X200" s="13"/>
      <c r="Z200" s="16"/>
    </row>
    <row r="201" spans="1:48">
      <c r="B201" s="61"/>
      <c r="C201" s="44"/>
      <c r="D201" s="44"/>
      <c r="E201" s="814"/>
      <c r="F201" s="814"/>
      <c r="G201" s="43">
        <f>+EcopeGj!F190</f>
        <v>2.0661354064941406E-2</v>
      </c>
      <c r="H201" s="48"/>
      <c r="I201" s="48"/>
      <c r="J201" s="48"/>
      <c r="K201" s="48"/>
      <c r="L201" s="48"/>
      <c r="M201" s="49">
        <f>+PROMIGAS!AU196</f>
        <v>-5.5170536041259766E-2</v>
      </c>
      <c r="N201" s="49"/>
      <c r="O201" s="49"/>
      <c r="P201" s="139"/>
      <c r="Q201" s="127"/>
      <c r="R201" s="774"/>
      <c r="S201" s="15"/>
      <c r="U201" s="15"/>
      <c r="X201" s="13"/>
      <c r="Z201" s="16"/>
    </row>
    <row r="202" spans="1:48" s="18" customFormat="1">
      <c r="B202" s="11"/>
      <c r="C202" s="11"/>
      <c r="D202" s="11"/>
      <c r="E202" s="825"/>
      <c r="F202" s="825"/>
      <c r="G202" s="828">
        <f>+G200-G201</f>
        <v>-9.5367431640625E-7</v>
      </c>
      <c r="H202" s="47"/>
      <c r="I202" s="47"/>
      <c r="J202" s="47"/>
      <c r="K202" s="47"/>
      <c r="L202" s="47"/>
      <c r="M202" s="148">
        <f>+M200+M201</f>
        <v>0</v>
      </c>
      <c r="N202" s="15"/>
      <c r="O202" s="15"/>
      <c r="P202" s="597"/>
      <c r="Q202" s="138"/>
      <c r="R202" s="11"/>
      <c r="S202" s="13"/>
      <c r="T202" s="15"/>
      <c r="U202" s="15"/>
      <c r="V202" s="15"/>
      <c r="W202" s="15"/>
      <c r="X202" s="13"/>
      <c r="Y202" s="15"/>
      <c r="Z202" s="16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</row>
    <row r="203" spans="1:48" s="18" customFormat="1">
      <c r="B203" s="11"/>
      <c r="C203" s="11"/>
      <c r="D203" s="11"/>
      <c r="E203" s="897" t="e">
        <f>+#REF!</f>
        <v>#REF!</v>
      </c>
      <c r="F203" s="897" t="e">
        <f>+#REF!</f>
        <v>#REF!</v>
      </c>
      <c r="G203" s="898" t="e">
        <f>+#REF!</f>
        <v>#REF!</v>
      </c>
      <c r="H203" s="898" t="e">
        <f>+#REF!</f>
        <v>#REF!</v>
      </c>
      <c r="I203" s="898" t="e">
        <f>+#REF!</f>
        <v>#REF!</v>
      </c>
      <c r="J203" s="898" t="e">
        <f>+#REF!</f>
        <v>#REF!</v>
      </c>
      <c r="K203" s="898"/>
      <c r="L203" s="899"/>
      <c r="M203" s="900" t="e">
        <f>+#REF!</f>
        <v>#REF!</v>
      </c>
      <c r="N203" s="903" t="e">
        <f>+#REF!</f>
        <v>#REF!</v>
      </c>
      <c r="O203" s="901"/>
      <c r="P203" s="902"/>
      <c r="Q203" s="138"/>
      <c r="R203" s="11"/>
      <c r="S203" s="13"/>
      <c r="T203" s="15"/>
      <c r="U203" s="15"/>
      <c r="V203" s="15"/>
      <c r="W203" s="15"/>
      <c r="X203" s="13"/>
      <c r="Y203" s="15"/>
      <c r="Z203" s="16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</row>
    <row r="204" spans="1:48" s="18" customFormat="1" ht="13.5" thickBot="1">
      <c r="B204" s="11"/>
      <c r="C204" s="11"/>
      <c r="D204" s="11"/>
      <c r="E204" s="825"/>
      <c r="F204" s="825"/>
      <c r="G204" s="828"/>
      <c r="H204" s="47"/>
      <c r="I204" s="47"/>
      <c r="J204" s="148"/>
      <c r="K204" s="15"/>
      <c r="L204" s="15"/>
      <c r="M204" s="597"/>
      <c r="N204" s="138"/>
      <c r="O204" s="11"/>
      <c r="P204" s="15"/>
      <c r="Q204" s="1290">
        <v>541150467</v>
      </c>
      <c r="R204" s="15"/>
      <c r="S204" s="15"/>
      <c r="T204" s="15"/>
      <c r="U204" s="13"/>
      <c r="V204" s="15"/>
      <c r="W204" s="16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</row>
    <row r="205" spans="1:48">
      <c r="B205" s="829" t="s">
        <v>86</v>
      </c>
      <c r="C205" s="21"/>
      <c r="D205" s="21"/>
      <c r="E205" s="830"/>
      <c r="F205" s="830"/>
      <c r="G205" s="831"/>
      <c r="H205" s="168">
        <f>+'INPUT II'!F5</f>
        <v>1817.25</v>
      </c>
      <c r="I205" s="15"/>
      <c r="J205" s="57"/>
      <c r="K205" s="57"/>
      <c r="L205" s="13"/>
      <c r="M205" s="597"/>
      <c r="N205" s="140"/>
      <c r="O205" s="13"/>
      <c r="Q205" s="1289">
        <v>2233782324</v>
      </c>
      <c r="S205" s="15"/>
      <c r="U205" s="13"/>
      <c r="W205" s="16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</row>
    <row r="206" spans="1:48">
      <c r="B206" s="22" t="s">
        <v>87</v>
      </c>
      <c r="C206" s="23"/>
      <c r="D206" s="23"/>
      <c r="E206" s="23"/>
      <c r="F206" s="23"/>
      <c r="G206" s="23"/>
      <c r="H206" s="24">
        <f>+'INPUT II'!F6</f>
        <v>1802.95</v>
      </c>
      <c r="I206" s="15"/>
      <c r="K206" s="13"/>
      <c r="N206" s="138"/>
      <c r="O206" s="13"/>
      <c r="Q206" s="1289">
        <v>446558897</v>
      </c>
      <c r="S206" s="15"/>
      <c r="U206" s="13"/>
      <c r="W206" s="16"/>
      <c r="AG206" s="18"/>
      <c r="AH206" s="18"/>
    </row>
    <row r="207" spans="1:48">
      <c r="B207" s="118" t="s">
        <v>128</v>
      </c>
      <c r="C207" s="119"/>
      <c r="D207" s="119"/>
      <c r="E207" s="119"/>
      <c r="F207" s="119"/>
      <c r="G207" s="119"/>
      <c r="H207" s="120">
        <f>+'INPUT II'!F7</f>
        <v>1817.25</v>
      </c>
      <c r="I207" s="15"/>
      <c r="J207" s="15"/>
      <c r="L207" s="57"/>
      <c r="M207" s="597"/>
      <c r="N207" s="58"/>
      <c r="O207" s="13"/>
      <c r="Q207" s="1291">
        <v>541150467</v>
      </c>
      <c r="R207" s="16">
        <f>Q207+Q208</f>
        <v>3046134451</v>
      </c>
      <c r="S207" s="15"/>
      <c r="U207" s="13"/>
      <c r="W207" s="16"/>
    </row>
    <row r="208" spans="1:48" ht="13.5" thickBot="1">
      <c r="B208" s="121">
        <f>+'INPUT II'!B8</f>
        <v>0</v>
      </c>
      <c r="C208" s="122"/>
      <c r="D208" s="122"/>
      <c r="E208" s="122"/>
      <c r="F208" s="122"/>
      <c r="G208" s="122"/>
      <c r="H208" s="42">
        <f>+'INPUT II'!F8</f>
        <v>0</v>
      </c>
      <c r="I208" s="15"/>
      <c r="J208" s="15"/>
      <c r="M208" s="15"/>
      <c r="O208" s="13"/>
      <c r="Q208" s="15">
        <v>2504983984</v>
      </c>
      <c r="S208" s="15"/>
      <c r="U208" s="13"/>
      <c r="W208" s="16"/>
    </row>
    <row r="209" spans="2:22">
      <c r="G209" s="15"/>
      <c r="H209" s="15"/>
      <c r="I209" s="15"/>
      <c r="J209" s="15"/>
      <c r="L209" s="17"/>
      <c r="M209" s="15"/>
      <c r="O209" s="13"/>
      <c r="Q209" s="1292">
        <v>541150467</v>
      </c>
      <c r="S209" s="15"/>
      <c r="U209" s="15"/>
    </row>
    <row r="210" spans="2:22">
      <c r="G210" s="15"/>
      <c r="H210" s="15"/>
      <c r="I210" s="15"/>
      <c r="J210" s="15"/>
      <c r="L210" s="17"/>
      <c r="M210" s="15"/>
      <c r="O210" s="13"/>
      <c r="Q210" s="16"/>
      <c r="S210" s="15"/>
      <c r="U210" s="15"/>
    </row>
    <row r="211" spans="2:22">
      <c r="B211" s="36" t="s">
        <v>145</v>
      </c>
      <c r="G211" s="15"/>
      <c r="H211" s="15"/>
      <c r="I211" s="15"/>
      <c r="J211" s="15"/>
      <c r="M211" s="15"/>
      <c r="Q211" s="16"/>
      <c r="S211" s="15"/>
      <c r="U211" s="15"/>
    </row>
    <row r="212" spans="2:22" ht="13.5" thickBot="1">
      <c r="B212" s="159"/>
      <c r="C212" s="160"/>
      <c r="D212" s="832" t="s">
        <v>112</v>
      </c>
      <c r="E212" s="34" t="s">
        <v>7</v>
      </c>
      <c r="F212" s="32"/>
      <c r="G212" s="32" t="s">
        <v>3</v>
      </c>
      <c r="H212" s="130" t="s">
        <v>114</v>
      </c>
      <c r="I212" s="163" t="s">
        <v>11</v>
      </c>
      <c r="J212" s="114" t="s">
        <v>119</v>
      </c>
      <c r="K212" s="33" t="s">
        <v>141</v>
      </c>
      <c r="L212" s="33" t="s">
        <v>11</v>
      </c>
      <c r="M212" s="161" t="s">
        <v>115</v>
      </c>
      <c r="O212" s="13"/>
      <c r="Q212" s="16"/>
      <c r="S212" s="15"/>
      <c r="U212" s="15"/>
    </row>
    <row r="213" spans="2:22">
      <c r="B213" s="775" t="s">
        <v>14</v>
      </c>
      <c r="C213" s="833"/>
      <c r="D213" s="162"/>
      <c r="E213" s="777">
        <f>+PROMIGAS!D44</f>
        <v>9573.482</v>
      </c>
      <c r="F213" s="802"/>
      <c r="G213" s="165"/>
      <c r="H213" s="111">
        <f>+EcopeGj!F28</f>
        <v>105078815.22071251</v>
      </c>
      <c r="I213" s="164">
        <f>SUM(G213:H213)</f>
        <v>105078815.22071251</v>
      </c>
      <c r="J213" s="115">
        <f>+PROMIGAS!AU44</f>
        <v>40506407.87845929</v>
      </c>
      <c r="K213" s="59"/>
      <c r="L213" s="59">
        <f>SUM(J213:K213)</f>
        <v>40506407.87845929</v>
      </c>
      <c r="M213" s="162">
        <f>+L213+I213</f>
        <v>145585223.09917182</v>
      </c>
      <c r="Q213" s="16"/>
      <c r="S213" s="15"/>
      <c r="U213" s="15"/>
    </row>
    <row r="214" spans="2:22">
      <c r="B214" s="775" t="s">
        <v>19</v>
      </c>
      <c r="C214" s="833"/>
      <c r="D214" s="834"/>
      <c r="E214" s="777">
        <f>+'INPUT VOL'!C80+'INPUT VOL'!C81</f>
        <v>19682</v>
      </c>
      <c r="F214" s="802"/>
      <c r="G214" s="165"/>
      <c r="H214" s="111">
        <f>+EcopeGj!F33</f>
        <v>54901117.50608968</v>
      </c>
      <c r="I214" s="164">
        <f>SUM(G214:H214)</f>
        <v>54901117.50608968</v>
      </c>
      <c r="J214" s="115">
        <f>+PROMIGAS!AU49</f>
        <v>21163649.735457249</v>
      </c>
      <c r="K214" s="59"/>
      <c r="L214" s="59">
        <f>SUM(J214:K214)</f>
        <v>21163649.735457249</v>
      </c>
      <c r="M214" s="162">
        <f>+L214+I214</f>
        <v>76064767.241546929</v>
      </c>
      <c r="Q214" s="16"/>
      <c r="S214" s="15"/>
      <c r="U214" s="15"/>
    </row>
    <row r="215" spans="2:22">
      <c r="M215" s="15"/>
      <c r="S215" s="15"/>
      <c r="U215" s="15"/>
      <c r="V215" s="16"/>
    </row>
    <row r="216" spans="2:22">
      <c r="G216" s="15"/>
      <c r="H216" s="15"/>
      <c r="I216" s="15"/>
      <c r="J216" s="15"/>
      <c r="K216" s="13"/>
      <c r="M216" s="15"/>
      <c r="S216" s="16"/>
      <c r="U216" s="15"/>
    </row>
    <row r="217" spans="2:22">
      <c r="B217" s="835" t="s">
        <v>176</v>
      </c>
      <c r="C217" s="836"/>
      <c r="D217" s="837"/>
      <c r="E217" s="838">
        <f>+'INPUT VOL'!C47</f>
        <v>4000.5738461538463</v>
      </c>
      <c r="F217" s="839"/>
      <c r="G217" s="298"/>
      <c r="H217" s="298">
        <f>+EcopeGj!F61</f>
        <v>4779378.3962051105</v>
      </c>
      <c r="I217" s="299">
        <f>+H217+G217</f>
        <v>4779378.3962051105</v>
      </c>
      <c r="J217" s="300">
        <f>+PROMIGAS!AU38</f>
        <v>1733085.8318333791</v>
      </c>
      <c r="K217" s="301"/>
      <c r="L217" s="302">
        <f>+J217</f>
        <v>1733085.8318333791</v>
      </c>
      <c r="M217" s="303">
        <f>+L217+I217</f>
        <v>6512464.2280384898</v>
      </c>
      <c r="S217" s="16"/>
      <c r="U217" s="15"/>
    </row>
    <row r="218" spans="2:22">
      <c r="B218" s="840"/>
      <c r="C218" s="790"/>
      <c r="D218" s="790"/>
      <c r="E218" s="840"/>
      <c r="F218" s="840"/>
      <c r="G218" s="840"/>
      <c r="H218" s="840"/>
      <c r="I218" s="840"/>
      <c r="J218" s="304"/>
      <c r="K218" s="840"/>
      <c r="L218" s="840"/>
      <c r="M218" s="840"/>
      <c r="S218" s="16"/>
      <c r="U218" s="15"/>
    </row>
    <row r="219" spans="2:22">
      <c r="B219" s="835" t="s">
        <v>177</v>
      </c>
      <c r="C219" s="836"/>
      <c r="D219" s="841">
        <f>$B$222/28.316846</f>
        <v>0</v>
      </c>
      <c r="E219" s="842">
        <f>+$D$219*$I$228</f>
        <v>0</v>
      </c>
      <c r="F219" s="843"/>
      <c r="G219" s="298"/>
      <c r="H219" s="298">
        <f>+H217*D221</f>
        <v>0</v>
      </c>
      <c r="I219" s="299">
        <f>+H219+G219</f>
        <v>0</v>
      </c>
      <c r="J219" s="300">
        <f>+J217*D221</f>
        <v>0</v>
      </c>
      <c r="K219" s="301"/>
      <c r="L219" s="302">
        <f>+J219</f>
        <v>0</v>
      </c>
      <c r="M219" s="303">
        <f>+L219+I219</f>
        <v>0</v>
      </c>
      <c r="S219" s="15"/>
      <c r="U219" s="15"/>
      <c r="V219" s="16"/>
    </row>
    <row r="220" spans="2:22">
      <c r="B220" s="835" t="s">
        <v>204</v>
      </c>
      <c r="C220" s="836"/>
      <c r="D220" s="841">
        <f>($B$223/28.316846)</f>
        <v>3964.9991598640609</v>
      </c>
      <c r="E220" s="842">
        <f>+$D$220*$I$228</f>
        <v>3949.9321630565778</v>
      </c>
      <c r="F220" s="843"/>
      <c r="G220" s="298"/>
      <c r="H220" s="298">
        <f>+H217*G223</f>
        <v>4736878.2715620827</v>
      </c>
      <c r="I220" s="299">
        <f>+H220+G220</f>
        <v>4736878.2715620827</v>
      </c>
      <c r="J220" s="300">
        <f>+J217*G223</f>
        <v>1717674.5465648873</v>
      </c>
      <c r="K220" s="301"/>
      <c r="L220" s="302">
        <f>+J220</f>
        <v>1717674.5465648873</v>
      </c>
      <c r="M220" s="303">
        <f>+L220+I220</f>
        <v>6454552.81812697</v>
      </c>
      <c r="S220" s="15"/>
      <c r="U220" s="15"/>
      <c r="V220" s="16"/>
    </row>
    <row r="221" spans="2:22">
      <c r="B221" s="835" t="s">
        <v>150</v>
      </c>
      <c r="C221" s="836"/>
      <c r="D221" s="844">
        <f>+D219/E217</f>
        <v>0</v>
      </c>
      <c r="E221" s="838">
        <f>+E217-E219-E220</f>
        <v>50.641683097268469</v>
      </c>
      <c r="F221" s="839"/>
      <c r="G221" s="298"/>
      <c r="H221" s="298">
        <f>+H217-H219-H220</f>
        <v>42500.124643027782</v>
      </c>
      <c r="I221" s="299">
        <f>+H221+G221</f>
        <v>42500.124643027782</v>
      </c>
      <c r="J221" s="298">
        <f>+J217-J219-J220</f>
        <v>15411.285268491833</v>
      </c>
      <c r="K221" s="301"/>
      <c r="L221" s="302">
        <f>+J221</f>
        <v>15411.285268491833</v>
      </c>
      <c r="M221" s="303">
        <f>+L221+I221</f>
        <v>57911.409911519615</v>
      </c>
      <c r="P221" s="18"/>
      <c r="S221" s="15"/>
      <c r="U221" s="15"/>
      <c r="V221" s="16"/>
    </row>
    <row r="222" spans="2:22">
      <c r="B222" s="845">
        <f>+'INPUT II'!F37</f>
        <v>0</v>
      </c>
      <c r="C222" s="790" t="s">
        <v>205</v>
      </c>
      <c r="D222" s="790"/>
      <c r="G222" s="844">
        <f>+D219/E217</f>
        <v>0</v>
      </c>
      <c r="H222" s="15"/>
      <c r="I222" s="15"/>
      <c r="J222" s="15"/>
      <c r="M222" s="15"/>
      <c r="N222" s="13"/>
      <c r="S222" s="15"/>
      <c r="U222" s="15"/>
      <c r="V222" s="16"/>
    </row>
    <row r="223" spans="2:22">
      <c r="B223" s="845">
        <f>+'INPUT II'!F38</f>
        <v>112276.2706</v>
      </c>
      <c r="C223" s="790" t="s">
        <v>206</v>
      </c>
      <c r="D223" s="790"/>
      <c r="G223" s="844">
        <f>+D220/E217</f>
        <v>0.99110760414434373</v>
      </c>
      <c r="H223" s="15"/>
      <c r="I223" s="15"/>
      <c r="J223" s="15"/>
      <c r="M223" s="15"/>
      <c r="N223" s="13"/>
      <c r="S223" s="15"/>
      <c r="U223" s="15"/>
      <c r="V223" s="16"/>
    </row>
    <row r="224" spans="2:22" ht="15.75">
      <c r="D224" s="615"/>
      <c r="G224" s="345">
        <f>+G222+G223</f>
        <v>0.99110760414434373</v>
      </c>
      <c r="H224" s="4"/>
      <c r="K224" s="13"/>
      <c r="M224" s="15"/>
      <c r="N224" s="13"/>
      <c r="O224" s="13"/>
      <c r="S224" s="15"/>
      <c r="U224" s="15"/>
      <c r="V224" s="16"/>
    </row>
    <row r="225" spans="2:24">
      <c r="B225" s="36"/>
      <c r="G225" s="166"/>
      <c r="H225" s="167"/>
      <c r="K225" s="13"/>
      <c r="M225" s="57"/>
      <c r="N225" s="13"/>
    </row>
    <row r="226" spans="2:24">
      <c r="B226" s="36"/>
      <c r="F226" s="166"/>
      <c r="G226" s="167"/>
      <c r="L226" s="57"/>
      <c r="R226" s="13"/>
      <c r="S226" s="15"/>
      <c r="T226" s="16"/>
      <c r="U226" s="15"/>
    </row>
    <row r="227" spans="2:24" ht="13.5" thickBot="1">
      <c r="B227" s="36"/>
      <c r="F227" s="166"/>
      <c r="G227" s="167"/>
      <c r="L227" s="57"/>
      <c r="R227" s="13"/>
      <c r="S227" s="15"/>
      <c r="T227" s="16"/>
      <c r="U227" s="15"/>
    </row>
    <row r="228" spans="2:24">
      <c r="B228" s="37"/>
      <c r="C228" s="144"/>
      <c r="D228" s="38"/>
      <c r="E228" s="39"/>
      <c r="F228" s="146"/>
      <c r="G228" s="147"/>
      <c r="H228" s="40"/>
      <c r="I228" s="846">
        <f>+'INPUT II'!F49/1000</f>
        <v>0.99620000000000009</v>
      </c>
      <c r="J228" s="15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</row>
    <row r="229" spans="2:24" ht="13.5" thickBot="1">
      <c r="B229" s="143" t="s">
        <v>2</v>
      </c>
      <c r="C229" s="145"/>
      <c r="D229" s="20" t="s">
        <v>7</v>
      </c>
      <c r="E229" s="9" t="s">
        <v>9</v>
      </c>
      <c r="F229" s="9" t="s">
        <v>10</v>
      </c>
      <c r="G229" s="10" t="s">
        <v>11</v>
      </c>
      <c r="H229" s="10" t="s">
        <v>94</v>
      </c>
      <c r="I229" s="15"/>
      <c r="J229" s="15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</row>
    <row r="230" spans="2:24">
      <c r="B230" s="334" t="s">
        <v>134</v>
      </c>
      <c r="C230" s="335">
        <v>33</v>
      </c>
      <c r="D230" s="847">
        <f>SUMIF($C$5:$C$153,$C230,$D$5:$D$164)</f>
        <v>1636.7566000000002</v>
      </c>
      <c r="E230" s="847">
        <f>G230-F230</f>
        <v>17965053.985760868</v>
      </c>
      <c r="F230" s="848">
        <f>SUMIF($C$5:$C$153,$C230,O$5:O$153)</f>
        <v>6514441.4084403785</v>
      </c>
      <c r="G230" s="849">
        <f>SUMIF($C$5:$C$153,$C230,P$5:P$153)</f>
        <v>24479495.394201245</v>
      </c>
      <c r="H230" s="847">
        <f>SUMIF($C$5:$C$153,$C230,Q$5:Q$153)</f>
        <v>46524.578583736897</v>
      </c>
      <c r="I230" s="15"/>
      <c r="J230" s="15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</row>
    <row r="231" spans="2:24">
      <c r="B231" s="41" t="s">
        <v>133</v>
      </c>
      <c r="C231" s="142"/>
      <c r="D231" s="850">
        <f>+I228*(TOTAL!H231/28.316846)</f>
        <v>1115.9245630675111</v>
      </c>
      <c r="E231" s="850">
        <f>+E230*I231</f>
        <v>12248397.079034084</v>
      </c>
      <c r="F231" s="851">
        <f>+F230*I231</f>
        <v>4441482.067458448</v>
      </c>
      <c r="G231" s="852">
        <f>+E231+F231</f>
        <v>16689879.146492533</v>
      </c>
      <c r="H231" s="853">
        <f>+'INPUT II'!F17</f>
        <v>31720</v>
      </c>
      <c r="I231" s="854">
        <f>+H231/H230</f>
        <v>0.6817901626536822</v>
      </c>
      <c r="J231" s="15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</row>
    <row r="232" spans="2:24">
      <c r="B232" s="41" t="s">
        <v>49</v>
      </c>
      <c r="C232" s="142"/>
      <c r="D232" s="850">
        <f>+D230-D231</f>
        <v>520.83203693248902</v>
      </c>
      <c r="E232" s="850">
        <f>+E230*I232</f>
        <v>5716656.9067267831</v>
      </c>
      <c r="F232" s="851">
        <f>+F230*I232</f>
        <v>2072959.34098193</v>
      </c>
      <c r="G232" s="852">
        <f>+E232+F232</f>
        <v>7789616.2477087136</v>
      </c>
      <c r="H232" s="850">
        <f>+H230-H231</f>
        <v>14804.578583736897</v>
      </c>
      <c r="I232" s="854">
        <f>+H232/H230</f>
        <v>0.31820983734631775</v>
      </c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</row>
    <row r="233" spans="2:24">
      <c r="B233" s="41"/>
      <c r="C233" s="142"/>
      <c r="D233" s="850"/>
      <c r="E233" s="850"/>
      <c r="F233" s="851"/>
      <c r="G233" s="852"/>
      <c r="H233" s="850"/>
      <c r="I233" s="15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</row>
    <row r="234" spans="2:24">
      <c r="B234" s="336" t="s">
        <v>135</v>
      </c>
      <c r="C234" s="337">
        <v>12</v>
      </c>
      <c r="D234" s="855">
        <f>SUMIF($C$5:$C$153,$C234,$D$5:$D$164)</f>
        <v>8484.6353999999992</v>
      </c>
      <c r="E234" s="855">
        <f>G234-F234</f>
        <v>93127428.360757947</v>
      </c>
      <c r="F234" s="856">
        <f>SUMIF($C$5:$C$153,$C234,O$5:O$153)</f>
        <v>33769627.191531762</v>
      </c>
      <c r="G234" s="857">
        <f>SUMIF($C$5:$C$153,$C234,P$5:P$153)</f>
        <v>126897055.55228971</v>
      </c>
      <c r="H234" s="855">
        <f>SUMIF($C$5:$C$153,$C234,Q$5:Q$153)</f>
        <v>241174.58052202503</v>
      </c>
      <c r="I234" s="15"/>
      <c r="J234" s="15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</row>
    <row r="235" spans="2:24">
      <c r="B235" s="41" t="s">
        <v>136</v>
      </c>
      <c r="C235" s="142"/>
      <c r="D235" s="850">
        <f>+I228*(TOTAL!H235/28.316846)</f>
        <v>1296.2244806501401</v>
      </c>
      <c r="E235" s="850">
        <f>+E234*I235</f>
        <v>14227370.440637164</v>
      </c>
      <c r="F235" s="851">
        <f>+F234*I235</f>
        <v>5159092.2690891074</v>
      </c>
      <c r="G235" s="852">
        <f>+E235+F235</f>
        <v>19386462.70972627</v>
      </c>
      <c r="H235" s="853">
        <f>+'INPUT II'!F19</f>
        <v>36845</v>
      </c>
      <c r="I235" s="854">
        <f>+H235/H234</f>
        <v>0.15277314848127274</v>
      </c>
      <c r="J235" s="1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</row>
    <row r="236" spans="2:24">
      <c r="B236" s="41" t="s">
        <v>137</v>
      </c>
      <c r="C236" s="142"/>
      <c r="D236" s="850">
        <f>+I228*(TOTAL!H236/28.316846)</f>
        <v>1283.6650522448722</v>
      </c>
      <c r="E236" s="850">
        <f>+E234*I236</f>
        <v>14089518.052326471</v>
      </c>
      <c r="F236" s="851">
        <f>+F234*I236</f>
        <v>5109104.5926047862</v>
      </c>
      <c r="G236" s="852">
        <f>+E236+F236</f>
        <v>19198622.644931257</v>
      </c>
      <c r="H236" s="853">
        <f>+'INPUT II'!F20</f>
        <v>36488</v>
      </c>
      <c r="I236" s="854">
        <f>+H236/H234</f>
        <v>0.15129289297827872</v>
      </c>
      <c r="J236" s="15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</row>
    <row r="237" spans="2:24">
      <c r="B237" s="41" t="s">
        <v>138</v>
      </c>
      <c r="C237" s="142"/>
      <c r="D237" s="850">
        <f>+I228*(TOTAL!H237/28.316846)</f>
        <v>1465.5832715267795</v>
      </c>
      <c r="E237" s="850">
        <f>+E234*I237</f>
        <v>16086253.906541012</v>
      </c>
      <c r="F237" s="851">
        <f>+F234*I237</f>
        <v>5833155.7833622778</v>
      </c>
      <c r="G237" s="852">
        <f>+E237+F237</f>
        <v>21919409.689903289</v>
      </c>
      <c r="H237" s="853">
        <f>+'INPUT II'!F21</f>
        <v>41659</v>
      </c>
      <c r="I237" s="854">
        <f>+H237/H234</f>
        <v>0.17273379271492309</v>
      </c>
      <c r="J237" s="15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</row>
    <row r="238" spans="2:24">
      <c r="B238" s="41" t="s">
        <v>34</v>
      </c>
      <c r="C238" s="142"/>
      <c r="D238" s="850">
        <f>+D234-D235-D236-D237</f>
        <v>4439.1625955782065</v>
      </c>
      <c r="E238" s="850">
        <f>+E234*I238</f>
        <v>48724285.9612533</v>
      </c>
      <c r="F238" s="851">
        <f>+F234*I238</f>
        <v>17668274.546475589</v>
      </c>
      <c r="G238" s="852">
        <f>+E238+F238</f>
        <v>66392560.50772889</v>
      </c>
      <c r="H238" s="850">
        <f>+H234-H235-H236-H237</f>
        <v>126182.58052202503</v>
      </c>
      <c r="I238" s="854">
        <f>+H238/H234</f>
        <v>0.52320016582552542</v>
      </c>
      <c r="J238" s="15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</row>
    <row r="239" spans="2:24">
      <c r="B239" s="41"/>
      <c r="C239" s="142"/>
      <c r="D239" s="850"/>
      <c r="E239" s="850"/>
      <c r="F239" s="851"/>
      <c r="G239" s="852"/>
      <c r="H239" s="850"/>
      <c r="I239" s="854"/>
      <c r="J239" s="15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</row>
    <row r="240" spans="2:24">
      <c r="B240" s="336" t="s">
        <v>191</v>
      </c>
      <c r="C240" s="337">
        <v>42</v>
      </c>
      <c r="D240" s="855">
        <f>SUMIF($C$5:$C$184,$C240,$D$5:$D$184)</f>
        <v>6754.2360000000008</v>
      </c>
      <c r="E240" s="855">
        <f>G240-F240</f>
        <v>74134550.227302909</v>
      </c>
      <c r="F240" s="856">
        <f>SUMIF($C$5:$C$184,$C240,O$5:O$184)</f>
        <v>28577881.937144011</v>
      </c>
      <c r="G240" s="857">
        <f>SUMIF($C$5:$C$184,$C240,P$5:P$184)</f>
        <v>102712432.16444692</v>
      </c>
      <c r="H240" s="855">
        <f>SUMIF($C$5:$C$184,$C240,Q$5:Q$184)</f>
        <v>191988.21837963248</v>
      </c>
      <c r="I240" s="854"/>
      <c r="J240" s="15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</row>
    <row r="241" spans="2:24">
      <c r="B241" s="41" t="s">
        <v>192</v>
      </c>
      <c r="C241" s="142"/>
      <c r="D241" s="850">
        <f>+I228*(TOTAL!H241/28.316846)</f>
        <v>1485.9879451263746</v>
      </c>
      <c r="E241" s="850">
        <f>+E240*I241</f>
        <v>16310215.769902922</v>
      </c>
      <c r="F241" s="851">
        <f>+F240*I241</f>
        <v>6287370.9925060906</v>
      </c>
      <c r="G241" s="852">
        <f>+E241+F241</f>
        <v>22597586.762409013</v>
      </c>
      <c r="H241" s="858">
        <f>+'INPUT II'!F23</f>
        <v>42239</v>
      </c>
      <c r="I241" s="854">
        <f>+H241/H240</f>
        <v>0.22000829194882005</v>
      </c>
      <c r="J241" s="15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</row>
    <row r="242" spans="2:24">
      <c r="B242" s="41" t="s">
        <v>20</v>
      </c>
      <c r="C242" s="142"/>
      <c r="D242" s="850">
        <f>+D240-D241</f>
        <v>5268.2480548736257</v>
      </c>
      <c r="E242" s="850">
        <f>+E240-E241</f>
        <v>57824334.457399987</v>
      </c>
      <c r="F242" s="851">
        <f>+F240-F241</f>
        <v>22290510.944637921</v>
      </c>
      <c r="G242" s="859">
        <f>+G240-G241</f>
        <v>80114845.402037904</v>
      </c>
      <c r="H242" s="860">
        <f>+H240-H241</f>
        <v>149749.21837963248</v>
      </c>
      <c r="I242" s="854">
        <f>+H242/H240</f>
        <v>0.77999170805118001</v>
      </c>
      <c r="J242" s="15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</row>
    <row r="243" spans="2:24">
      <c r="B243" s="41"/>
      <c r="C243" s="142"/>
      <c r="D243" s="850"/>
      <c r="E243" s="850"/>
      <c r="F243" s="851"/>
      <c r="G243" s="852"/>
      <c r="H243" s="860"/>
      <c r="I243" s="854"/>
      <c r="J243" s="15"/>
      <c r="L243" s="13"/>
      <c r="M243" s="15"/>
      <c r="R243" s="13"/>
      <c r="S243" s="15"/>
      <c r="T243" s="16"/>
      <c r="U243" s="15"/>
    </row>
    <row r="244" spans="2:24">
      <c r="B244" s="336" t="s">
        <v>193</v>
      </c>
      <c r="C244" s="337">
        <v>5</v>
      </c>
      <c r="D244" s="855">
        <f>SUMIF($C$5:$C$184,$C244,$D$5:$D$184)</f>
        <v>13733.6132</v>
      </c>
      <c r="E244" s="855">
        <f>G244-F244</f>
        <v>150740449.72884926</v>
      </c>
      <c r="F244" s="856">
        <f>SUMIF($C$5:$C$184,$C244,O$5:O$184)</f>
        <v>58108359.938859493</v>
      </c>
      <c r="G244" s="857">
        <f>SUMIF($C$5:$C$184,$C244,P$5:P$184)</f>
        <v>208848809.66770875</v>
      </c>
      <c r="H244" s="861">
        <f>SUMIF($C$5:$C$153,$C244,Q$5:Q$153)</f>
        <v>390376.04403858603</v>
      </c>
      <c r="I244" s="854"/>
      <c r="J244" s="15"/>
      <c r="L244" s="13"/>
      <c r="M244" s="15"/>
      <c r="R244" s="13"/>
      <c r="S244" s="15"/>
      <c r="T244" s="16"/>
      <c r="U244" s="15"/>
    </row>
    <row r="245" spans="2:24">
      <c r="B245" s="41" t="s">
        <v>194</v>
      </c>
      <c r="C245" s="142"/>
      <c r="D245" s="850">
        <f>+I228*(TOTAL!H245/28.316846)</f>
        <v>1109.9438828745263</v>
      </c>
      <c r="E245" s="850">
        <f>+E244*I245</f>
        <v>12182769.054535298</v>
      </c>
      <c r="F245" s="851">
        <f>+F244*I245</f>
        <v>4696289.0886045406</v>
      </c>
      <c r="G245" s="852">
        <f>+E245+F245</f>
        <v>16879058.143139839</v>
      </c>
      <c r="H245" s="858">
        <f>+'INPUT II'!F25</f>
        <v>31550</v>
      </c>
      <c r="I245" s="854">
        <f>+H245/H244</f>
        <v>8.0819508475990134E-2</v>
      </c>
      <c r="J245" s="15"/>
      <c r="L245" s="13"/>
      <c r="M245" s="15"/>
    </row>
    <row r="246" spans="2:24">
      <c r="B246" s="41" t="s">
        <v>324</v>
      </c>
      <c r="C246" s="142"/>
      <c r="D246" s="850">
        <f>+I228*(TOTAL!H246/28.316846)</f>
        <v>452.38568589171268</v>
      </c>
      <c r="E246" s="850">
        <f>+E244*I246</f>
        <v>4965395.4761416605</v>
      </c>
      <c r="F246" s="851">
        <f>+F244*I246</f>
        <v>1914091.3277453496</v>
      </c>
      <c r="G246" s="852">
        <f>+E246+F246</f>
        <v>6879486.8038870096</v>
      </c>
      <c r="H246" s="858">
        <f>+'INPUT II'!F24</f>
        <v>12859</v>
      </c>
      <c r="I246" s="854">
        <f>+H246/H244</f>
        <v>3.2940033581386911E-2</v>
      </c>
      <c r="J246" s="15"/>
      <c r="L246" s="13"/>
      <c r="M246" s="15"/>
    </row>
    <row r="247" spans="2:24">
      <c r="B247" s="41" t="s">
        <v>499</v>
      </c>
      <c r="C247" s="142"/>
      <c r="D247" s="850">
        <f>+I228*(TOTAL!H247/28.316846)</f>
        <v>756.87266865808431</v>
      </c>
      <c r="E247" s="850">
        <f>+E244*I247</f>
        <v>8307451.4560783636</v>
      </c>
      <c r="F247" s="851">
        <f>+F244*I247</f>
        <v>3202407.716394234</v>
      </c>
      <c r="G247" s="852">
        <f>+E247+F247</f>
        <v>11509859.172472598</v>
      </c>
      <c r="H247" s="858">
        <f>+'INPUT II'!F30</f>
        <v>21514</v>
      </c>
      <c r="I247" s="854">
        <f>+H247/H244</f>
        <v>5.5110963719570576E-2</v>
      </c>
      <c r="J247" s="15"/>
      <c r="L247" s="13"/>
      <c r="M247" s="15"/>
    </row>
    <row r="248" spans="2:24">
      <c r="B248" s="41" t="s">
        <v>14</v>
      </c>
      <c r="C248" s="142"/>
      <c r="D248" s="850">
        <f>+D244-D245-D246-D247</f>
        <v>11414.410962575676</v>
      </c>
      <c r="E248" s="850">
        <f>+E244-E245-E246-E247</f>
        <v>125284833.74209394</v>
      </c>
      <c r="F248" s="851">
        <f>+F244-F245-F246-F247</f>
        <v>48295571.806115374</v>
      </c>
      <c r="G248" s="859">
        <f>+G244-G245-G246-G247</f>
        <v>173580405.54820931</v>
      </c>
      <c r="H248" s="860">
        <f>+H244-H245-H246-H247</f>
        <v>324453.04403858603</v>
      </c>
      <c r="I248" s="854"/>
      <c r="J248" s="15"/>
      <c r="L248" s="13"/>
      <c r="M248" s="15"/>
    </row>
    <row r="249" spans="2:24">
      <c r="B249" s="41"/>
      <c r="C249" s="333"/>
      <c r="D249" s="333"/>
      <c r="E249" s="862"/>
      <c r="F249" s="862"/>
      <c r="G249" s="863"/>
      <c r="H249" s="809"/>
      <c r="I249" s="862"/>
      <c r="J249" s="854"/>
    </row>
    <row r="250" spans="2:24">
      <c r="B250" s="336" t="s">
        <v>327</v>
      </c>
      <c r="C250" s="337">
        <f>+C330</f>
        <v>23</v>
      </c>
      <c r="D250" s="855">
        <f>SUMIF($C$5:$C$184,$C250,$D$5:$D$184)</f>
        <v>3795.5220000000004</v>
      </c>
      <c r="E250" s="855">
        <f>G250-F250</f>
        <v>41659680.879944555</v>
      </c>
      <c r="F250" s="856">
        <f>SUMIF($C$5:$C$184,$C250,O$5:O$184)</f>
        <v>15106525.724989554</v>
      </c>
      <c r="G250" s="857">
        <f>SUMIF($C$5:$C$184,$C250,P$5:P$184)</f>
        <v>56766206.604934111</v>
      </c>
      <c r="H250" s="855">
        <f>SUMIF($C$5:$C$184,$C250,Q$5:Q$184)</f>
        <v>107887.18466466073</v>
      </c>
      <c r="I250" s="854"/>
      <c r="J250" s="854"/>
    </row>
    <row r="251" spans="2:24">
      <c r="B251" s="41" t="s">
        <v>325</v>
      </c>
      <c r="C251" s="142"/>
      <c r="D251" s="850">
        <f>+I228*(TOTAL!H251/28.316846)</f>
        <v>2088.0313577296006</v>
      </c>
      <c r="E251" s="850">
        <f>+E250*I251</f>
        <v>22918249.162510432</v>
      </c>
      <c r="F251" s="851">
        <f>+F250*I251</f>
        <v>8310556.2316454537</v>
      </c>
      <c r="G251" s="852">
        <f>+E251+F251</f>
        <v>31228805.394155886</v>
      </c>
      <c r="H251" s="858">
        <f>+'INPUT II'!F27</f>
        <v>59352</v>
      </c>
      <c r="I251" s="854">
        <f>+H251/H250</f>
        <v>0.5501302141165354</v>
      </c>
      <c r="J251" s="854"/>
    </row>
    <row r="252" spans="2:24">
      <c r="B252" s="41" t="s">
        <v>326</v>
      </c>
      <c r="C252" s="142"/>
      <c r="D252" s="850">
        <f>+I228*(TOTAL!H252/28.316846)</f>
        <v>323.2381741949651</v>
      </c>
      <c r="E252" s="850">
        <f>+E251*I252</f>
        <v>1951787.6377964341</v>
      </c>
      <c r="F252" s="851">
        <f>+F251*I252</f>
        <v>707752.1847816821</v>
      </c>
      <c r="G252" s="852">
        <f>+E252+F252</f>
        <v>2659539.8225781163</v>
      </c>
      <c r="H252" s="858">
        <f>+'INPUT II'!F28</f>
        <v>9188</v>
      </c>
      <c r="I252" s="854">
        <f>+H252/H250</f>
        <v>8.5163034224671905E-2</v>
      </c>
      <c r="J252" s="854"/>
      <c r="S252" s="15"/>
      <c r="U252" s="15"/>
    </row>
    <row r="253" spans="2:24">
      <c r="B253" s="41" t="s">
        <v>328</v>
      </c>
      <c r="C253" s="142"/>
      <c r="D253" s="850">
        <f>+D250-D251-D252</f>
        <v>1384.2524680754348</v>
      </c>
      <c r="E253" s="850">
        <f>+E250-E251-E252</f>
        <v>16789644.079637688</v>
      </c>
      <c r="F253" s="851">
        <f>+F250-F251-F252</f>
        <v>6088217.3085624184</v>
      </c>
      <c r="G253" s="859">
        <f>+G250-G251-G252</f>
        <v>22877861.388200108</v>
      </c>
      <c r="H253" s="860">
        <f>+H250-H251-H252</f>
        <v>39347.18466466073</v>
      </c>
      <c r="I253" s="854"/>
      <c r="J253" s="854"/>
      <c r="S253" s="15"/>
      <c r="U253" s="15"/>
    </row>
    <row r="254" spans="2:24">
      <c r="B254" s="333"/>
      <c r="C254" s="333"/>
      <c r="D254" s="333"/>
      <c r="E254" s="862"/>
      <c r="F254" s="862"/>
      <c r="G254" s="863"/>
      <c r="H254" s="809"/>
      <c r="I254" s="862"/>
      <c r="J254" s="854"/>
      <c r="S254" s="15"/>
      <c r="U254" s="15"/>
    </row>
    <row r="255" spans="2:24">
      <c r="B255" s="993" t="s">
        <v>511</v>
      </c>
      <c r="C255" s="994">
        <v>7</v>
      </c>
      <c r="D255" s="995">
        <f>SUMIF($C$5:$C$184,$C255,$D$5:$D$184)</f>
        <v>9228.7131192000052</v>
      </c>
      <c r="E255" s="995">
        <f>G255-F255</f>
        <v>101294431.5639403</v>
      </c>
      <c r="F255" s="996">
        <f>SUMIF($C$5:$C$184,$C255,O$5:O$184)</f>
        <v>33701816.616970405</v>
      </c>
      <c r="G255" s="997">
        <f>SUMIF($C$5:$C$184,$C255,P$5:P$184)</f>
        <v>134996248.18091071</v>
      </c>
      <c r="H255" s="995">
        <f>SUMIF($C$5:$C$184,$C255,Q$5:Q$184)</f>
        <v>262324.88614433212</v>
      </c>
      <c r="I255" s="854"/>
      <c r="J255" s="854"/>
      <c r="S255" s="15"/>
      <c r="U255" s="15"/>
    </row>
    <row r="256" spans="2:24">
      <c r="B256" s="41" t="s">
        <v>512</v>
      </c>
      <c r="C256" s="142"/>
      <c r="D256" s="850">
        <f>+I228*(TOTAL!H256/28.316846)</f>
        <v>1294.7117203660323</v>
      </c>
      <c r="E256" s="850">
        <f>+E255*I256</f>
        <v>14210766.371456884</v>
      </c>
      <c r="F256" s="851">
        <f>+F255*I256</f>
        <v>4728084.6029046988</v>
      </c>
      <c r="G256" s="852">
        <f>+E256+F256</f>
        <v>18938850.974361584</v>
      </c>
      <c r="H256" s="858">
        <f>+'INPUT II'!F33</f>
        <v>36802</v>
      </c>
      <c r="I256" s="854">
        <f>+H256/H255</f>
        <v>0.14029168387688312</v>
      </c>
      <c r="J256" s="854"/>
      <c r="S256" s="15"/>
      <c r="U256" s="15"/>
    </row>
    <row r="257" spans="2:21">
      <c r="B257" s="41" t="s">
        <v>37</v>
      </c>
      <c r="C257" s="142"/>
      <c r="D257" s="850">
        <f>+D255-D256</f>
        <v>7934.0013988339724</v>
      </c>
      <c r="E257" s="850">
        <f>+E255-E256</f>
        <v>87083665.192483425</v>
      </c>
      <c r="F257" s="851">
        <f>+F255-F256</f>
        <v>28973732.014065705</v>
      </c>
      <c r="G257" s="859">
        <f>+G255-G256</f>
        <v>116057397.20654912</v>
      </c>
      <c r="H257" s="860">
        <f>+H255-H256</f>
        <v>225522.88614433212</v>
      </c>
      <c r="I257" s="854">
        <f>+H257/H255</f>
        <v>0.85970831612311682</v>
      </c>
      <c r="J257" s="854"/>
      <c r="S257" s="15"/>
      <c r="U257" s="15"/>
    </row>
    <row r="258" spans="2:21">
      <c r="B258" s="333"/>
      <c r="C258" s="333"/>
      <c r="D258" s="333"/>
      <c r="E258" s="862"/>
      <c r="F258" s="862"/>
      <c r="G258" s="863"/>
      <c r="H258" s="809"/>
      <c r="I258" s="862"/>
      <c r="J258" s="854"/>
      <c r="S258" s="15"/>
      <c r="U258" s="15"/>
    </row>
    <row r="259" spans="2:21">
      <c r="B259" s="993" t="s">
        <v>514</v>
      </c>
      <c r="C259" s="994">
        <v>8</v>
      </c>
      <c r="D259" s="995">
        <f>SUMIF($C$5:$C$184,$C259,$D$5:$D$184)</f>
        <v>2943.7710000000002</v>
      </c>
      <c r="E259" s="995">
        <f>G259-F259</f>
        <v>32310854.85570503</v>
      </c>
      <c r="F259" s="996">
        <f>SUMIF($C$5:$C$184,$C259,O$5:O$184)</f>
        <v>11716478.613476152</v>
      </c>
      <c r="G259" s="997">
        <f>SUMIF($C$5:$C$184,$C259,P$5:P$184)</f>
        <v>44027333.46918118</v>
      </c>
      <c r="H259" s="995">
        <f>SUMIF($C$5:$C$184,$C259,Q$5:Q$184)</f>
        <v>83676.28101944158</v>
      </c>
      <c r="I259" s="854"/>
      <c r="J259" s="854"/>
      <c r="S259" s="15"/>
      <c r="U259" s="15"/>
    </row>
    <row r="260" spans="2:21">
      <c r="B260" s="41" t="s">
        <v>513</v>
      </c>
      <c r="C260" s="142"/>
      <c r="D260" s="850">
        <f>+I228*(TOTAL!H260/28.316846)</f>
        <v>404.57542481955795</v>
      </c>
      <c r="E260" s="850">
        <f>+E259*I260</f>
        <v>4440623.1528654471</v>
      </c>
      <c r="F260" s="851">
        <f>+F259*I260</f>
        <v>1610247.2817078233</v>
      </c>
      <c r="G260" s="852">
        <f>+E260+F260</f>
        <v>6050870.4345732704</v>
      </c>
      <c r="H260" s="858">
        <f>+'INPUT II'!F34</f>
        <v>11500</v>
      </c>
      <c r="I260" s="854">
        <f>+H260/H259</f>
        <v>0.13743440626057529</v>
      </c>
      <c r="J260" s="854"/>
      <c r="S260" s="15"/>
      <c r="U260" s="15"/>
    </row>
    <row r="261" spans="2:21">
      <c r="B261" s="41" t="s">
        <v>27</v>
      </c>
      <c r="C261" s="142"/>
      <c r="D261" s="850">
        <f>+D259-D260</f>
        <v>2539.1955751804421</v>
      </c>
      <c r="E261" s="850">
        <f>+E259-E260</f>
        <v>27870231.702839583</v>
      </c>
      <c r="F261" s="851">
        <f>+F259-F260</f>
        <v>10106231.331768328</v>
      </c>
      <c r="G261" s="859">
        <f>+G259-G260</f>
        <v>37976463.03460791</v>
      </c>
      <c r="H261" s="860">
        <f>+H259-H260</f>
        <v>72176.28101944158</v>
      </c>
      <c r="I261" s="854">
        <f>+H261/H259</f>
        <v>0.86256559373942465</v>
      </c>
      <c r="J261" s="854"/>
      <c r="S261" s="15"/>
      <c r="U261" s="15"/>
    </row>
    <row r="262" spans="2:21">
      <c r="B262" s="333"/>
      <c r="C262" s="333"/>
      <c r="D262" s="333"/>
      <c r="E262" s="862"/>
      <c r="F262" s="862"/>
      <c r="G262" s="863"/>
      <c r="H262" s="809"/>
      <c r="I262" s="862"/>
      <c r="J262" s="854"/>
      <c r="S262" s="15"/>
      <c r="U262" s="15"/>
    </row>
    <row r="263" spans="2:21">
      <c r="B263" s="993" t="s">
        <v>515</v>
      </c>
      <c r="C263" s="994">
        <v>13</v>
      </c>
      <c r="D263" s="995">
        <f>SUMIF($C$5:$C$184,$C263,$D$5:$D$184)</f>
        <v>6097.7402000000002</v>
      </c>
      <c r="E263" s="995">
        <f>G263-F263</f>
        <v>66928846.894000173</v>
      </c>
      <c r="F263" s="996">
        <f>SUMIF($C$5:$C$184,$C263,O$5:O$184)</f>
        <v>25800179.253282968</v>
      </c>
      <c r="G263" s="997">
        <f>SUMIF($C$5:$C$184,$C263,P$5:P$184)</f>
        <v>92729026.147283137</v>
      </c>
      <c r="H263" s="995">
        <f>SUMIF($C$5:$C$184,$C263,Q$5:Q$184)</f>
        <v>173327.41662267409</v>
      </c>
      <c r="I263" s="854"/>
      <c r="J263" s="854"/>
      <c r="S263" s="15"/>
      <c r="U263" s="15"/>
    </row>
    <row r="264" spans="2:21">
      <c r="B264" s="41" t="s">
        <v>501</v>
      </c>
      <c r="C264" s="142"/>
      <c r="D264" s="850">
        <f>+I228*(TOTAL!H264/28.316846)</f>
        <v>567.03884323840305</v>
      </c>
      <c r="E264" s="850">
        <f>+E263*I264</f>
        <v>6223822.9545987202</v>
      </c>
      <c r="F264" s="851">
        <f>+F263*I264</f>
        <v>2399200.872587258</v>
      </c>
      <c r="G264" s="852">
        <f>+E264+F264</f>
        <v>8623023.8271859773</v>
      </c>
      <c r="H264" s="858">
        <f>+'INPUT II'!F31</f>
        <v>16118</v>
      </c>
      <c r="I264" s="854">
        <f>+H264/H263</f>
        <v>9.2991635795784996E-2</v>
      </c>
      <c r="J264" s="854"/>
      <c r="S264" s="15"/>
      <c r="U264" s="15"/>
    </row>
    <row r="265" spans="2:21">
      <c r="B265" s="41" t="s">
        <v>18</v>
      </c>
      <c r="C265" s="142"/>
      <c r="D265" s="850">
        <f>+D263-D264</f>
        <v>5530.7013567615968</v>
      </c>
      <c r="E265" s="850">
        <f>+E263-E264</f>
        <v>60705023.939401455</v>
      </c>
      <c r="F265" s="851">
        <f>+F263-F264</f>
        <v>23400978.380695708</v>
      </c>
      <c r="G265" s="859">
        <f>+G263-G264</f>
        <v>84106002.320097163</v>
      </c>
      <c r="H265" s="860">
        <f>+H263-H264</f>
        <v>157209.41662267409</v>
      </c>
      <c r="I265" s="854">
        <f>+H265/H263</f>
        <v>0.90700836420421505</v>
      </c>
      <c r="J265" s="854"/>
      <c r="S265" s="15"/>
      <c r="U265" s="15"/>
    </row>
    <row r="266" spans="2:21">
      <c r="B266" s="333"/>
      <c r="C266" s="333"/>
      <c r="D266" s="333"/>
      <c r="E266" s="862"/>
      <c r="F266" s="862"/>
      <c r="G266" s="863"/>
      <c r="H266" s="809"/>
      <c r="I266" s="862"/>
      <c r="J266" s="854"/>
      <c r="S266" s="15"/>
      <c r="U266" s="15"/>
    </row>
    <row r="267" spans="2:21">
      <c r="G267" s="15"/>
      <c r="H267" s="15"/>
      <c r="I267" s="15"/>
      <c r="J267" s="15"/>
      <c r="M267" s="15"/>
      <c r="S267" s="15"/>
      <c r="U267" s="15"/>
    </row>
    <row r="268" spans="2:21" ht="19.5">
      <c r="B268" s="864" t="s">
        <v>92</v>
      </c>
      <c r="I268" s="17"/>
      <c r="J268" s="17"/>
      <c r="M268" s="15"/>
      <c r="S268" s="15"/>
      <c r="U268" s="15"/>
    </row>
    <row r="269" spans="2:21" ht="13.5" thickBot="1">
      <c r="B269" s="424" t="s">
        <v>93</v>
      </c>
      <c r="C269" s="424"/>
      <c r="D269" s="424"/>
      <c r="E269" s="424"/>
      <c r="F269" s="424"/>
      <c r="G269" s="425" t="str">
        <f>+F2</f>
        <v>OCTUBRE 2012</v>
      </c>
      <c r="H269" s="426"/>
      <c r="I269" s="17"/>
      <c r="J269" s="17"/>
      <c r="M269" s="15"/>
      <c r="S269" s="15"/>
      <c r="U269" s="15"/>
    </row>
    <row r="270" spans="2:21">
      <c r="B270" s="427" t="s">
        <v>2</v>
      </c>
      <c r="C270" s="428"/>
      <c r="D270" s="429" t="s">
        <v>5</v>
      </c>
      <c r="E270" s="430"/>
      <c r="F270" s="431"/>
      <c r="G270" s="432"/>
      <c r="H270" s="433"/>
      <c r="I270" s="15"/>
      <c r="J270" s="15"/>
      <c r="M270" s="15"/>
      <c r="S270" s="15"/>
      <c r="U270" s="15"/>
    </row>
    <row r="271" spans="2:21" ht="13.5" thickBot="1">
      <c r="B271" s="865"/>
      <c r="C271" s="434"/>
      <c r="D271" s="106" t="s">
        <v>7</v>
      </c>
      <c r="E271" s="106" t="s">
        <v>9</v>
      </c>
      <c r="F271" s="106" t="s">
        <v>10</v>
      </c>
      <c r="G271" s="435" t="s">
        <v>11</v>
      </c>
      <c r="H271" s="436" t="s">
        <v>94</v>
      </c>
      <c r="I271" s="15"/>
      <c r="J271" s="15"/>
      <c r="M271" s="15"/>
      <c r="S271" s="15"/>
      <c r="U271" s="15"/>
    </row>
    <row r="272" spans="2:21">
      <c r="B272" s="437" t="s">
        <v>95</v>
      </c>
      <c r="C272" s="438">
        <v>1</v>
      </c>
      <c r="D272" s="866">
        <f>SUMIF($C$5:$C$186,$C272,$D$5:$D$186)</f>
        <v>149078.51475369325</v>
      </c>
      <c r="E272" s="866">
        <f>G272-F272</f>
        <v>1555095620.2612472</v>
      </c>
      <c r="F272" s="867">
        <f>SUMIF($C$5:$C$186,$C272,O$5:O$186)</f>
        <v>557014221.07982552</v>
      </c>
      <c r="G272" s="868">
        <f>SUMIF($C$5:$C$186,$C272,P$5:P$186)</f>
        <v>2112109841.3410728</v>
      </c>
      <c r="H272" s="866">
        <f>SUMIF($C$5:$C$186,$C272,Q$5:Q$186)</f>
        <v>4237536.0360880671</v>
      </c>
      <c r="I272" s="15"/>
      <c r="J272" s="15"/>
      <c r="M272" s="15"/>
      <c r="S272" s="15"/>
      <c r="U272" s="15"/>
    </row>
    <row r="273" spans="2:21">
      <c r="B273" s="437" t="s">
        <v>37</v>
      </c>
      <c r="C273" s="438">
        <v>7</v>
      </c>
      <c r="D273" s="866">
        <f>SUMIF($C$5:$C$186,$C273,$D$5:$D$186)-D274</f>
        <v>7934.0013988339724</v>
      </c>
      <c r="E273" s="866">
        <f>G273-F273</f>
        <v>87083665.192483425</v>
      </c>
      <c r="F273" s="867">
        <f>SUMIF($C$5:$C$186,$C273,O$5:O$186)-F274</f>
        <v>28973732.014065705</v>
      </c>
      <c r="G273" s="868">
        <f>SUMIF($C$5:$C$186,$C273,P$5:P$186)-G274</f>
        <v>116057397.20654912</v>
      </c>
      <c r="H273" s="866">
        <f>SUMIF($C$5:$C$186,$C273,Q$5:Q$186)-H274</f>
        <v>225522.88614433212</v>
      </c>
      <c r="I273" s="4"/>
      <c r="J273" s="4"/>
      <c r="M273" s="15"/>
      <c r="S273" s="15"/>
      <c r="U273" s="15"/>
    </row>
    <row r="274" spans="2:21">
      <c r="B274" s="1124" t="s">
        <v>512</v>
      </c>
      <c r="C274" s="438">
        <v>57</v>
      </c>
      <c r="D274" s="866">
        <f>+D256</f>
        <v>1294.7117203660323</v>
      </c>
      <c r="E274" s="866">
        <f>G274-F274</f>
        <v>14210766.371456884</v>
      </c>
      <c r="F274" s="867">
        <f>+F256</f>
        <v>4728084.6029046988</v>
      </c>
      <c r="G274" s="868">
        <f>+G256</f>
        <v>18938850.974361584</v>
      </c>
      <c r="H274" s="866">
        <f>+H256</f>
        <v>36802</v>
      </c>
      <c r="I274" s="4"/>
      <c r="J274" s="4"/>
      <c r="M274" s="15"/>
      <c r="S274" s="15"/>
      <c r="U274" s="15"/>
    </row>
    <row r="275" spans="2:21">
      <c r="B275" s="437" t="s">
        <v>38</v>
      </c>
      <c r="C275" s="438">
        <v>10</v>
      </c>
      <c r="D275" s="866">
        <f t="shared" ref="D275:D295" si="63">SUMIF($C$5:$C$186,$C275,$D$5:$D$186)</f>
        <v>6439.426483538462</v>
      </c>
      <c r="E275" s="866">
        <f t="shared" ref="E275:E295" si="64">G275-F275</f>
        <v>70679198.369572312</v>
      </c>
      <c r="F275" s="867">
        <f t="shared" ref="F275:F295" si="65">SUMIF($C$5:$C$186,$C275,O$5:O$186)</f>
        <v>23658710.108937431</v>
      </c>
      <c r="G275" s="868">
        <f t="shared" ref="G275:G295" si="66">SUMIF($C$5:$C$186,$C275,P$5:P$186)</f>
        <v>94337908.478509739</v>
      </c>
      <c r="H275" s="866">
        <f t="shared" ref="H275:H295" si="67">SUMIF($C$5:$C$186,$C275,Q$5:Q$186)</f>
        <v>183039.80168314686</v>
      </c>
      <c r="I275" s="57"/>
      <c r="J275" s="57"/>
      <c r="K275" s="57"/>
      <c r="M275" s="15"/>
      <c r="S275" s="15"/>
      <c r="U275" s="15"/>
    </row>
    <row r="276" spans="2:21">
      <c r="B276" s="437" t="s">
        <v>39</v>
      </c>
      <c r="C276" s="438">
        <v>28</v>
      </c>
      <c r="D276" s="866">
        <f t="shared" si="63"/>
        <v>3098.2517340000004</v>
      </c>
      <c r="E276" s="866">
        <f t="shared" si="64"/>
        <v>34006436.670417108</v>
      </c>
      <c r="F276" s="867">
        <f t="shared" si="65"/>
        <v>12331326.105385369</v>
      </c>
      <c r="G276" s="868">
        <f t="shared" si="66"/>
        <v>46337762.775802478</v>
      </c>
      <c r="H276" s="866">
        <f t="shared" si="67"/>
        <v>88067.374385832387</v>
      </c>
      <c r="I276" s="15"/>
      <c r="J276" s="15"/>
      <c r="M276" s="15"/>
      <c r="S276" s="15"/>
      <c r="U276" s="15"/>
    </row>
    <row r="277" spans="2:21">
      <c r="B277" s="437" t="s">
        <v>40</v>
      </c>
      <c r="C277" s="438">
        <v>29</v>
      </c>
      <c r="D277" s="866">
        <f t="shared" si="63"/>
        <v>1850.3219560000002</v>
      </c>
      <c r="E277" s="866">
        <f t="shared" si="64"/>
        <v>20309149.100470189</v>
      </c>
      <c r="F277" s="867">
        <f t="shared" si="65"/>
        <v>7364451.1157693183</v>
      </c>
      <c r="G277" s="868">
        <f t="shared" si="66"/>
        <v>27673600.216239508</v>
      </c>
      <c r="H277" s="866">
        <f t="shared" si="67"/>
        <v>52595.144108253953</v>
      </c>
      <c r="I277" s="15"/>
      <c r="J277" s="15"/>
      <c r="M277" s="15"/>
      <c r="S277" s="15"/>
      <c r="U277" s="15"/>
    </row>
    <row r="278" spans="2:21">
      <c r="B278" s="437" t="s">
        <v>41</v>
      </c>
      <c r="C278" s="438">
        <v>26</v>
      </c>
      <c r="D278" s="866">
        <f t="shared" si="63"/>
        <v>5597.1434299883522</v>
      </c>
      <c r="E278" s="866">
        <f t="shared" si="64"/>
        <v>61434292.603914045</v>
      </c>
      <c r="F278" s="867">
        <f t="shared" si="65"/>
        <v>22277144.279910721</v>
      </c>
      <c r="G278" s="868">
        <f t="shared" si="66"/>
        <v>83711436.883824766</v>
      </c>
      <c r="H278" s="866">
        <f t="shared" si="67"/>
        <v>159098.02309820516</v>
      </c>
      <c r="I278" s="15"/>
      <c r="J278" s="15"/>
      <c r="M278" s="15"/>
      <c r="S278" s="15"/>
      <c r="U278" s="15"/>
    </row>
    <row r="279" spans="2:21">
      <c r="B279" s="437" t="s">
        <v>42</v>
      </c>
      <c r="C279" s="438">
        <v>37</v>
      </c>
      <c r="D279" s="866">
        <f t="shared" si="63"/>
        <v>1178.4647520000001</v>
      </c>
      <c r="E279" s="866">
        <f t="shared" si="64"/>
        <v>12934838.869747825</v>
      </c>
      <c r="F279" s="867">
        <f t="shared" si="65"/>
        <v>4690397.8140770728</v>
      </c>
      <c r="G279" s="868">
        <f t="shared" si="66"/>
        <v>17625236.683824897</v>
      </c>
      <c r="H279" s="866">
        <f t="shared" si="67"/>
        <v>33497.696580290562</v>
      </c>
      <c r="I279" s="15"/>
      <c r="J279" s="15"/>
      <c r="M279" s="15"/>
      <c r="S279" s="15"/>
      <c r="U279" s="15"/>
    </row>
    <row r="280" spans="2:21">
      <c r="B280" s="437" t="s">
        <v>43</v>
      </c>
      <c r="C280" s="438">
        <v>15</v>
      </c>
      <c r="D280" s="866">
        <f t="shared" si="63"/>
        <v>1736.8149280000002</v>
      </c>
      <c r="E280" s="866">
        <f t="shared" si="64"/>
        <v>19063295.021871533</v>
      </c>
      <c r="F280" s="867">
        <f t="shared" si="65"/>
        <v>6912682.7322771112</v>
      </c>
      <c r="G280" s="868">
        <f t="shared" si="66"/>
        <v>25975977.754148643</v>
      </c>
      <c r="H280" s="866">
        <f t="shared" si="67"/>
        <v>49368.722633006852</v>
      </c>
      <c r="I280" s="15"/>
      <c r="J280" s="15"/>
      <c r="M280" s="15"/>
      <c r="S280" s="15"/>
      <c r="U280" s="15"/>
    </row>
    <row r="281" spans="2:21">
      <c r="B281" s="437" t="s">
        <v>96</v>
      </c>
      <c r="C281" s="438">
        <v>17</v>
      </c>
      <c r="D281" s="866">
        <f t="shared" si="63"/>
        <v>1455.4904388800001</v>
      </c>
      <c r="E281" s="866">
        <f t="shared" si="64"/>
        <v>15975475.101330265</v>
      </c>
      <c r="F281" s="867">
        <f t="shared" si="65"/>
        <v>5792985.4595539318</v>
      </c>
      <c r="G281" s="868">
        <f t="shared" si="66"/>
        <v>21768460.560884196</v>
      </c>
      <c r="H281" s="866">
        <f t="shared" si="67"/>
        <v>41372.113178923646</v>
      </c>
      <c r="I281" s="15"/>
      <c r="J281" s="15"/>
      <c r="M281" s="15"/>
      <c r="S281" s="15"/>
      <c r="U281" s="15"/>
    </row>
    <row r="282" spans="2:21">
      <c r="B282" s="437" t="s">
        <v>97</v>
      </c>
      <c r="C282" s="438">
        <v>16</v>
      </c>
      <c r="D282" s="866">
        <f t="shared" si="63"/>
        <v>10347.051224000001</v>
      </c>
      <c r="E282" s="866">
        <f t="shared" si="64"/>
        <v>113569319.85647291</v>
      </c>
      <c r="F282" s="867">
        <f t="shared" si="65"/>
        <v>41182213.011317194</v>
      </c>
      <c r="G282" s="868">
        <f t="shared" si="66"/>
        <v>154751532.8677901</v>
      </c>
      <c r="H282" s="866">
        <f t="shared" si="67"/>
        <v>294113.49114519474</v>
      </c>
      <c r="I282" s="15"/>
      <c r="J282" s="15"/>
      <c r="M282" s="15"/>
      <c r="S282" s="15"/>
      <c r="U282" s="15"/>
    </row>
    <row r="283" spans="2:21">
      <c r="B283" s="437" t="s">
        <v>48</v>
      </c>
      <c r="C283" s="438">
        <v>31</v>
      </c>
      <c r="D283" s="866">
        <f t="shared" si="63"/>
        <v>549.70316000000003</v>
      </c>
      <c r="E283" s="866">
        <f t="shared" si="64"/>
        <v>6033546.4329536483</v>
      </c>
      <c r="F283" s="867">
        <f t="shared" si="65"/>
        <v>2187869.0013252585</v>
      </c>
      <c r="G283" s="868">
        <f t="shared" si="66"/>
        <v>8221415.4342789073</v>
      </c>
      <c r="H283" s="866">
        <f t="shared" si="67"/>
        <v>15625.235826236165</v>
      </c>
      <c r="I283" s="15"/>
      <c r="J283" s="15"/>
      <c r="M283" s="15"/>
      <c r="S283" s="15"/>
      <c r="U283" s="15"/>
    </row>
    <row r="284" spans="2:21">
      <c r="B284" s="439" t="s">
        <v>49</v>
      </c>
      <c r="C284" s="438">
        <v>33</v>
      </c>
      <c r="D284" s="866">
        <f t="shared" si="63"/>
        <v>1636.7566000000002</v>
      </c>
      <c r="E284" s="866">
        <f t="shared" si="64"/>
        <v>17965053.985760868</v>
      </c>
      <c r="F284" s="867">
        <f t="shared" si="65"/>
        <v>6514441.4084403785</v>
      </c>
      <c r="G284" s="868">
        <f t="shared" si="66"/>
        <v>24479495.394201245</v>
      </c>
      <c r="H284" s="866">
        <f t="shared" si="67"/>
        <v>46524.578583736897</v>
      </c>
      <c r="I284" s="15"/>
      <c r="J284" s="15"/>
      <c r="M284" s="15"/>
      <c r="S284" s="15"/>
      <c r="U284" s="15"/>
    </row>
    <row r="285" spans="2:21">
      <c r="B285" s="439" t="s">
        <v>133</v>
      </c>
      <c r="C285" s="438">
        <v>49</v>
      </c>
      <c r="D285" s="866">
        <f t="shared" si="63"/>
        <v>0</v>
      </c>
      <c r="E285" s="866">
        <f t="shared" si="64"/>
        <v>0</v>
      </c>
      <c r="F285" s="867">
        <f t="shared" si="65"/>
        <v>0</v>
      </c>
      <c r="G285" s="868">
        <f t="shared" si="66"/>
        <v>0</v>
      </c>
      <c r="H285" s="866">
        <f t="shared" si="67"/>
        <v>0</v>
      </c>
      <c r="I285" s="15"/>
      <c r="J285" s="15"/>
      <c r="M285" s="15"/>
      <c r="S285" s="15"/>
      <c r="U285" s="15"/>
    </row>
    <row r="286" spans="2:21">
      <c r="B286" s="437" t="s">
        <v>50</v>
      </c>
      <c r="C286" s="438">
        <v>32</v>
      </c>
      <c r="D286" s="866">
        <f t="shared" si="63"/>
        <v>2789.2803040000003</v>
      </c>
      <c r="E286" s="866">
        <f t="shared" si="64"/>
        <v>30615163.697998524</v>
      </c>
      <c r="F286" s="867">
        <f t="shared" si="65"/>
        <v>11101591.471893111</v>
      </c>
      <c r="G286" s="868">
        <f t="shared" si="66"/>
        <v>41716755.169891633</v>
      </c>
      <c r="H286" s="866">
        <f t="shared" si="67"/>
        <v>79284.90448458711</v>
      </c>
      <c r="I286" s="15"/>
      <c r="J286" s="15"/>
      <c r="M286" s="15"/>
      <c r="S286" s="15"/>
      <c r="U286" s="15"/>
    </row>
    <row r="287" spans="2:21">
      <c r="B287" s="437" t="s">
        <v>51</v>
      </c>
      <c r="C287" s="438">
        <v>43</v>
      </c>
      <c r="D287" s="866">
        <f t="shared" si="63"/>
        <v>701.06729210963249</v>
      </c>
      <c r="E287" s="866">
        <f t="shared" si="64"/>
        <v>7694920.3995271679</v>
      </c>
      <c r="F287" s="867">
        <f t="shared" si="65"/>
        <v>2560188.0792761054</v>
      </c>
      <c r="G287" s="868">
        <f t="shared" si="66"/>
        <v>10255108.478803273</v>
      </c>
      <c r="H287" s="866">
        <f t="shared" si="67"/>
        <v>19927.740217599992</v>
      </c>
      <c r="I287" s="15"/>
      <c r="J287" s="15"/>
      <c r="M287" s="15"/>
      <c r="S287" s="15"/>
      <c r="U287" s="15"/>
    </row>
    <row r="288" spans="2:21">
      <c r="B288" s="437" t="s">
        <v>52</v>
      </c>
      <c r="C288" s="438">
        <v>35</v>
      </c>
      <c r="D288" s="866">
        <f t="shared" si="63"/>
        <v>2161.7539999999999</v>
      </c>
      <c r="E288" s="866">
        <f t="shared" si="64"/>
        <v>23727429.792514354</v>
      </c>
      <c r="F288" s="867">
        <f t="shared" si="65"/>
        <v>8603979.2186948378</v>
      </c>
      <c r="G288" s="868">
        <f t="shared" si="66"/>
        <v>32331409.01120919</v>
      </c>
      <c r="H288" s="866">
        <f t="shared" si="67"/>
        <v>61447.556620029856</v>
      </c>
      <c r="I288" s="15"/>
      <c r="J288" s="15"/>
      <c r="M288" s="15"/>
      <c r="S288" s="15"/>
      <c r="U288" s="15"/>
    </row>
    <row r="289" spans="2:21">
      <c r="B289" s="437" t="s">
        <v>53</v>
      </c>
      <c r="C289" s="438">
        <v>47</v>
      </c>
      <c r="D289" s="866">
        <f t="shared" si="63"/>
        <v>0</v>
      </c>
      <c r="E289" s="866">
        <f t="shared" si="64"/>
        <v>0</v>
      </c>
      <c r="F289" s="867">
        <f t="shared" si="65"/>
        <v>0</v>
      </c>
      <c r="G289" s="868">
        <f t="shared" si="66"/>
        <v>0</v>
      </c>
      <c r="H289" s="866">
        <f t="shared" si="67"/>
        <v>0</v>
      </c>
      <c r="I289" s="15"/>
      <c r="J289" s="15"/>
      <c r="M289" s="15"/>
      <c r="S289" s="15"/>
      <c r="U289" s="15"/>
    </row>
    <row r="290" spans="2:21">
      <c r="B290" s="437" t="s">
        <v>54</v>
      </c>
      <c r="C290" s="438">
        <v>45</v>
      </c>
      <c r="D290" s="866">
        <f t="shared" si="63"/>
        <v>1256.3731308720005</v>
      </c>
      <c r="E290" s="866">
        <f t="shared" si="64"/>
        <v>13789961.880938737</v>
      </c>
      <c r="F290" s="867">
        <f t="shared" si="65"/>
        <v>5000480.3085592818</v>
      </c>
      <c r="G290" s="868">
        <f t="shared" si="66"/>
        <v>18790442.189498018</v>
      </c>
      <c r="H290" s="866">
        <f t="shared" si="67"/>
        <v>35712.231407986954</v>
      </c>
      <c r="I290" s="15"/>
      <c r="J290" s="15"/>
      <c r="M290" s="15"/>
      <c r="S290" s="15"/>
      <c r="U290" s="15"/>
    </row>
    <row r="291" spans="2:21">
      <c r="B291" s="437" t="s">
        <v>55</v>
      </c>
      <c r="C291" s="438">
        <v>44</v>
      </c>
      <c r="D291" s="866">
        <f t="shared" si="63"/>
        <v>844.93699200000003</v>
      </c>
      <c r="E291" s="866">
        <f t="shared" si="64"/>
        <v>4637017.7080228049</v>
      </c>
      <c r="F291" s="867">
        <f t="shared" si="65"/>
        <v>1542788.8585048488</v>
      </c>
      <c r="G291" s="868">
        <f t="shared" si="66"/>
        <v>6179806.5665276535</v>
      </c>
      <c r="H291" s="866">
        <f t="shared" si="67"/>
        <v>24017.216416057385</v>
      </c>
      <c r="I291" s="15"/>
      <c r="J291" s="15"/>
      <c r="M291" s="15"/>
      <c r="S291" s="15"/>
      <c r="U291" s="15"/>
    </row>
    <row r="292" spans="2:21">
      <c r="B292" s="437" t="s">
        <v>56</v>
      </c>
      <c r="C292" s="438">
        <v>46</v>
      </c>
      <c r="D292" s="866">
        <f t="shared" si="63"/>
        <v>2515.740020781398</v>
      </c>
      <c r="E292" s="866">
        <f t="shared" si="64"/>
        <v>27612783.285845302</v>
      </c>
      <c r="F292" s="867">
        <f t="shared" si="65"/>
        <v>9187089.0059368983</v>
      </c>
      <c r="G292" s="868">
        <f t="shared" si="66"/>
        <v>36799872.2917822</v>
      </c>
      <c r="H292" s="866">
        <f t="shared" si="67"/>
        <v>71509.560000000012</v>
      </c>
      <c r="I292" s="15"/>
      <c r="J292" s="15"/>
      <c r="M292" s="15"/>
      <c r="S292" s="15"/>
      <c r="U292" s="15"/>
    </row>
    <row r="293" spans="2:21">
      <c r="B293" s="437" t="s">
        <v>503</v>
      </c>
      <c r="C293" s="438">
        <v>80</v>
      </c>
      <c r="D293" s="866">
        <f t="shared" si="63"/>
        <v>0</v>
      </c>
      <c r="E293" s="866">
        <f t="shared" si="64"/>
        <v>0</v>
      </c>
      <c r="F293" s="867">
        <f t="shared" si="65"/>
        <v>0</v>
      </c>
      <c r="G293" s="868">
        <f t="shared" si="66"/>
        <v>0</v>
      </c>
      <c r="H293" s="866">
        <f t="shared" si="67"/>
        <v>0</v>
      </c>
      <c r="I293" s="15"/>
      <c r="J293" s="15"/>
      <c r="M293" s="15"/>
      <c r="S293" s="15"/>
      <c r="U293" s="15"/>
    </row>
    <row r="294" spans="2:21">
      <c r="B294" s="437" t="s">
        <v>506</v>
      </c>
      <c r="C294" s="438">
        <v>76</v>
      </c>
      <c r="D294" s="866">
        <f t="shared" si="63"/>
        <v>0</v>
      </c>
      <c r="E294" s="866">
        <f t="shared" si="64"/>
        <v>0</v>
      </c>
      <c r="F294" s="867">
        <f t="shared" si="65"/>
        <v>0</v>
      </c>
      <c r="G294" s="868">
        <f t="shared" si="66"/>
        <v>0</v>
      </c>
      <c r="H294" s="866">
        <f t="shared" si="67"/>
        <v>0</v>
      </c>
      <c r="I294" s="15"/>
      <c r="J294" s="15"/>
      <c r="M294" s="15"/>
      <c r="S294" s="15"/>
      <c r="U294" s="15"/>
    </row>
    <row r="295" spans="2:21">
      <c r="B295" s="437" t="s">
        <v>507</v>
      </c>
      <c r="C295" s="438">
        <v>78</v>
      </c>
      <c r="D295" s="866">
        <f t="shared" si="63"/>
        <v>2589.8266293430056</v>
      </c>
      <c r="E295" s="866">
        <f t="shared" si="64"/>
        <v>28425958.514484189</v>
      </c>
      <c r="F295" s="867">
        <f t="shared" si="65"/>
        <v>10307747.550780393</v>
      </c>
      <c r="G295" s="868">
        <f t="shared" si="66"/>
        <v>38733706.065264583</v>
      </c>
      <c r="H295" s="866">
        <f t="shared" si="67"/>
        <v>73615.461538461546</v>
      </c>
      <c r="I295" s="15"/>
      <c r="J295" s="15"/>
      <c r="M295" s="15"/>
      <c r="S295" s="15"/>
      <c r="U295" s="15"/>
    </row>
    <row r="296" spans="2:21">
      <c r="B296" s="440" t="s">
        <v>98</v>
      </c>
      <c r="C296" s="441"/>
      <c r="D296" s="869">
        <f>SUM(D272:D295)</f>
        <v>205055.63094840609</v>
      </c>
      <c r="E296" s="870">
        <f>SUM(E272:E295)</f>
        <v>2164863893.1170297</v>
      </c>
      <c r="F296" s="871">
        <f>SUM(F272:F295)</f>
        <v>771932123.22743499</v>
      </c>
      <c r="G296" s="872">
        <f>SUM(G272:G295)</f>
        <v>2936796016.3444648</v>
      </c>
      <c r="H296" s="873">
        <f>SUM(H272:H295)</f>
        <v>5828677.7741399482</v>
      </c>
      <c r="I296" s="15"/>
      <c r="J296" s="15"/>
      <c r="M296" s="15"/>
      <c r="S296" s="15"/>
      <c r="U296" s="15"/>
    </row>
    <row r="297" spans="2:21">
      <c r="B297" s="437" t="s">
        <v>13</v>
      </c>
      <c r="C297" s="438">
        <v>4</v>
      </c>
      <c r="D297" s="866">
        <f>SUMIF($C$5:$C$186,$C297,$D$5:$D$186)</f>
        <v>56978.655200000001</v>
      </c>
      <c r="E297" s="866">
        <f>G297-F297</f>
        <v>625398682.67357183</v>
      </c>
      <c r="F297" s="867">
        <f>SUMIF($C$5:$C$186,$C297,O$5:O$186)</f>
        <v>300164073.7452668</v>
      </c>
      <c r="G297" s="868">
        <f>SUMIF($C$5:$C$186,$C297,P$5:P$186)</f>
        <v>925562756.41883862</v>
      </c>
      <c r="H297" s="866">
        <f>SUMIF($C$5:$C$186,$C297,Q$5:Q$186)</f>
        <v>1619610.34490287</v>
      </c>
      <c r="I297" s="15"/>
      <c r="J297" s="15"/>
      <c r="M297" s="15"/>
      <c r="S297" s="15"/>
      <c r="U297" s="15"/>
    </row>
    <row r="298" spans="2:21">
      <c r="B298" s="437" t="s">
        <v>14</v>
      </c>
      <c r="C298" s="438">
        <v>5</v>
      </c>
      <c r="D298" s="866">
        <f>+D248</f>
        <v>11414.410962575676</v>
      </c>
      <c r="E298" s="866">
        <f>+E248</f>
        <v>125284833.74209394</v>
      </c>
      <c r="F298" s="867">
        <f>+F248</f>
        <v>48295571.806115374</v>
      </c>
      <c r="G298" s="866">
        <f>+G248</f>
        <v>173580405.54820931</v>
      </c>
      <c r="H298" s="866">
        <f>+H248</f>
        <v>324453.04403858603</v>
      </c>
      <c r="I298" s="15"/>
      <c r="J298" s="15"/>
      <c r="M298" s="15"/>
      <c r="S298" s="15"/>
      <c r="U298" s="15"/>
    </row>
    <row r="299" spans="2:21">
      <c r="B299" s="439" t="s">
        <v>194</v>
      </c>
      <c r="C299" s="438"/>
      <c r="D299" s="866">
        <f t="shared" ref="D299:H300" si="68">+D245</f>
        <v>1109.9438828745263</v>
      </c>
      <c r="E299" s="866">
        <f t="shared" si="68"/>
        <v>12182769.054535298</v>
      </c>
      <c r="F299" s="867">
        <f t="shared" si="68"/>
        <v>4696289.0886045406</v>
      </c>
      <c r="G299" s="868">
        <f t="shared" si="68"/>
        <v>16879058.143139839</v>
      </c>
      <c r="H299" s="866">
        <f t="shared" si="68"/>
        <v>31550</v>
      </c>
      <c r="I299" s="15"/>
      <c r="J299" s="15"/>
      <c r="M299" s="15"/>
      <c r="S299" s="15"/>
      <c r="U299" s="15"/>
    </row>
    <row r="300" spans="2:21">
      <c r="B300" s="439" t="s">
        <v>324</v>
      </c>
      <c r="C300" s="438"/>
      <c r="D300" s="866">
        <f t="shared" si="68"/>
        <v>452.38568589171268</v>
      </c>
      <c r="E300" s="866">
        <f t="shared" si="68"/>
        <v>4965395.4761416605</v>
      </c>
      <c r="F300" s="866">
        <f t="shared" si="68"/>
        <v>1914091.3277453496</v>
      </c>
      <c r="G300" s="866">
        <f t="shared" si="68"/>
        <v>6879486.8038870096</v>
      </c>
      <c r="H300" s="866">
        <f t="shared" si="68"/>
        <v>12859</v>
      </c>
      <c r="I300" s="15"/>
      <c r="J300" s="15"/>
      <c r="M300" s="15"/>
      <c r="S300" s="15"/>
      <c r="U300" s="15"/>
    </row>
    <row r="301" spans="2:21">
      <c r="B301" s="999" t="s">
        <v>499</v>
      </c>
      <c r="C301" s="438"/>
      <c r="D301" s="866">
        <f>+D247</f>
        <v>756.87266865808431</v>
      </c>
      <c r="E301" s="866">
        <f>+E247</f>
        <v>8307451.4560783636</v>
      </c>
      <c r="F301" s="866">
        <f>+F247</f>
        <v>3202407.716394234</v>
      </c>
      <c r="G301" s="866">
        <f>+G247</f>
        <v>11509859.172472598</v>
      </c>
      <c r="H301" s="866">
        <f>+H247</f>
        <v>21514</v>
      </c>
      <c r="I301" s="15"/>
      <c r="J301" s="15"/>
      <c r="M301" s="15"/>
      <c r="S301" s="15"/>
      <c r="U301" s="15"/>
    </row>
    <row r="302" spans="2:21">
      <c r="B302" s="437" t="s">
        <v>17</v>
      </c>
      <c r="C302" s="438">
        <v>11</v>
      </c>
      <c r="D302" s="866">
        <f>SUMIF($C$5:$C$186,$C302,$D$5:$D$186)</f>
        <v>2500.462</v>
      </c>
      <c r="E302" s="866">
        <f>G302-F302</f>
        <v>27445091.603323054</v>
      </c>
      <c r="F302" s="867">
        <f>SUMIF($C$5:$C$186,$C302,O$5:O$186)</f>
        <v>10579717.354311425</v>
      </c>
      <c r="G302" s="868">
        <f>SUMIF($C$5:$C$186,$C302,P$5:P$186)</f>
        <v>38024808.957634479</v>
      </c>
      <c r="H302" s="866">
        <f>SUMIF($C$5:$C$186,$C302,Q$5:Q$186)</f>
        <v>71075.284385380161</v>
      </c>
      <c r="I302" s="15"/>
      <c r="J302" s="15"/>
      <c r="M302" s="15"/>
      <c r="S302" s="15"/>
      <c r="U302" s="15"/>
    </row>
    <row r="303" spans="2:21">
      <c r="B303" s="437" t="s">
        <v>18</v>
      </c>
      <c r="C303" s="438">
        <v>13</v>
      </c>
      <c r="D303" s="866">
        <f>+D265</f>
        <v>5530.7013567615968</v>
      </c>
      <c r="E303" s="866">
        <f>+E265</f>
        <v>60705023.939401455</v>
      </c>
      <c r="F303" s="866">
        <f>+F265</f>
        <v>23400978.380695708</v>
      </c>
      <c r="G303" s="866">
        <f>+G265</f>
        <v>84106002.320097163</v>
      </c>
      <c r="H303" s="866">
        <f>+H265</f>
        <v>157209.41662267409</v>
      </c>
      <c r="I303" s="15"/>
      <c r="J303" s="15"/>
      <c r="M303" s="15"/>
      <c r="S303" s="15"/>
      <c r="U303" s="15"/>
    </row>
    <row r="304" spans="2:21">
      <c r="B304" s="437" t="s">
        <v>501</v>
      </c>
      <c r="C304" s="438"/>
      <c r="D304" s="866">
        <f>+D264</f>
        <v>567.03884323840305</v>
      </c>
      <c r="E304" s="866">
        <f>+E264</f>
        <v>6223822.9545987202</v>
      </c>
      <c r="F304" s="866">
        <f>+F264</f>
        <v>2399200.872587258</v>
      </c>
      <c r="G304" s="866">
        <f>+G264</f>
        <v>8623023.8271859773</v>
      </c>
      <c r="H304" s="866">
        <f>+H264</f>
        <v>16118</v>
      </c>
      <c r="I304" s="15"/>
      <c r="J304" s="15"/>
      <c r="M304" s="15"/>
      <c r="S304" s="15"/>
      <c r="U304" s="15"/>
    </row>
    <row r="305" spans="2:21">
      <c r="B305" s="437" t="s">
        <v>19</v>
      </c>
      <c r="C305" s="438">
        <v>25</v>
      </c>
      <c r="D305" s="866">
        <f>SUMIF($C$5:$C$186,$C305,$D$5:$D$186)</f>
        <v>5001.9202000000023</v>
      </c>
      <c r="E305" s="866">
        <f>G305-F305</f>
        <v>54901117.50608968</v>
      </c>
      <c r="F305" s="867">
        <f>SUMIF($C$5:$C$186,$C305,O$5:O$186)</f>
        <v>21163649.735457249</v>
      </c>
      <c r="G305" s="868">
        <f>SUMIF($C$5:$C$186,$C305,P$5:P$186)</f>
        <v>76064767.241546929</v>
      </c>
      <c r="H305" s="866">
        <f>SUMIF($C$5:$C$186,$C305,Q$5:Q$186)</f>
        <v>142178.88561712904</v>
      </c>
      <c r="I305" s="15"/>
      <c r="J305" s="15"/>
      <c r="M305" s="15"/>
      <c r="S305" s="15"/>
      <c r="U305" s="15"/>
    </row>
    <row r="306" spans="2:21">
      <c r="B306" s="437" t="s">
        <v>20</v>
      </c>
      <c r="C306" s="438">
        <v>42</v>
      </c>
      <c r="D306" s="866">
        <f>+D242</f>
        <v>5268.2480548736257</v>
      </c>
      <c r="E306" s="866">
        <f>+E242</f>
        <v>57824334.457399987</v>
      </c>
      <c r="F306" s="866">
        <f>+F242</f>
        <v>22290510.944637921</v>
      </c>
      <c r="G306" s="866">
        <f>+G242</f>
        <v>80114845.402037904</v>
      </c>
      <c r="H306" s="866">
        <f>+H242</f>
        <v>149749.21837963248</v>
      </c>
      <c r="I306" s="15"/>
      <c r="J306" s="15"/>
      <c r="M306" s="15"/>
      <c r="S306" s="15"/>
      <c r="U306" s="15"/>
    </row>
    <row r="307" spans="2:21">
      <c r="B307" s="439" t="s">
        <v>192</v>
      </c>
      <c r="C307" s="438"/>
      <c r="D307" s="866">
        <f>+D241</f>
        <v>1485.9879451263746</v>
      </c>
      <c r="E307" s="866">
        <f>+E241</f>
        <v>16310215.769902922</v>
      </c>
      <c r="F307" s="866">
        <f>+F241</f>
        <v>6287370.9925060906</v>
      </c>
      <c r="G307" s="866">
        <f>+G241</f>
        <v>22597586.762409013</v>
      </c>
      <c r="H307" s="866">
        <f>+H241</f>
        <v>42239</v>
      </c>
      <c r="I307" s="15"/>
      <c r="J307" s="15"/>
      <c r="M307" s="15"/>
      <c r="S307" s="15"/>
      <c r="U307" s="15"/>
    </row>
    <row r="308" spans="2:21">
      <c r="B308" s="437" t="s">
        <v>21</v>
      </c>
      <c r="C308" s="438">
        <v>39</v>
      </c>
      <c r="D308" s="866">
        <f t="shared" ref="D308:D321" si="69">SUMIF($C$5:$C$186,$C308,$D$5:$D$186)</f>
        <v>321.77260000000001</v>
      </c>
      <c r="E308" s="866">
        <f t="shared" ref="E308:E321" si="70">G308-F308</f>
        <v>3531778.7202682658</v>
      </c>
      <c r="F308" s="867">
        <f t="shared" ref="F308:F321" si="71">SUMIF($C$5:$C$186,$C308,O$5:O$186)</f>
        <v>1361453.6675070082</v>
      </c>
      <c r="G308" s="868">
        <f t="shared" ref="G308:G321" si="72">SUMIF($C$5:$C$186,$C308,P$5:P$186)</f>
        <v>4893232.387775274</v>
      </c>
      <c r="H308" s="866">
        <f t="shared" ref="H308:H321" si="73">SUMIF($C$5:$C$186,$C308,Q$5:Q$186)</f>
        <v>9146.3413770827847</v>
      </c>
      <c r="I308" s="15"/>
      <c r="J308" s="15"/>
      <c r="M308" s="15"/>
      <c r="S308" s="15"/>
      <c r="U308" s="15"/>
    </row>
    <row r="309" spans="2:21">
      <c r="B309" s="437" t="s">
        <v>22</v>
      </c>
      <c r="C309" s="438">
        <v>36</v>
      </c>
      <c r="D309" s="866">
        <f t="shared" si="69"/>
        <v>1282.1094000000001</v>
      </c>
      <c r="E309" s="866">
        <f t="shared" si="70"/>
        <v>14072443.383855283</v>
      </c>
      <c r="F309" s="867">
        <f t="shared" si="71"/>
        <v>5424739.535856097</v>
      </c>
      <c r="G309" s="868">
        <f t="shared" si="72"/>
        <v>19497182.919711381</v>
      </c>
      <c r="H309" s="866">
        <f t="shared" si="73"/>
        <v>36443.781276487753</v>
      </c>
      <c r="I309" s="15"/>
      <c r="J309" s="15"/>
      <c r="M309" s="15"/>
      <c r="S309" s="15"/>
      <c r="U309" s="15"/>
    </row>
    <row r="310" spans="2:21">
      <c r="B310" s="437" t="s">
        <v>23</v>
      </c>
      <c r="C310" s="438">
        <v>40</v>
      </c>
      <c r="D310" s="866">
        <f t="shared" si="69"/>
        <v>1026.086</v>
      </c>
      <c r="E310" s="866">
        <f t="shared" si="70"/>
        <v>11262328.426861651</v>
      </c>
      <c r="F310" s="867">
        <f t="shared" si="71"/>
        <v>4341477.6394186318</v>
      </c>
      <c r="G310" s="868">
        <f t="shared" si="72"/>
        <v>15603806.066280283</v>
      </c>
      <c r="H310" s="866">
        <f t="shared" si="73"/>
        <v>29166.351759737674</v>
      </c>
      <c r="I310" s="15"/>
      <c r="J310" s="15"/>
      <c r="M310" s="15"/>
      <c r="S310" s="15"/>
      <c r="U310" s="15"/>
    </row>
    <row r="311" spans="2:21">
      <c r="B311" s="437" t="s">
        <v>24</v>
      </c>
      <c r="C311" s="438">
        <v>41</v>
      </c>
      <c r="D311" s="866">
        <f t="shared" si="69"/>
        <v>731.21080000000006</v>
      </c>
      <c r="E311" s="866">
        <f t="shared" si="70"/>
        <v>8025775.7915693717</v>
      </c>
      <c r="F311" s="867">
        <f t="shared" si="71"/>
        <v>3093829.6964400737</v>
      </c>
      <c r="G311" s="868">
        <f t="shared" si="72"/>
        <v>11119605.488009445</v>
      </c>
      <c r="H311" s="866">
        <f t="shared" si="73"/>
        <v>20784.565234609181</v>
      </c>
      <c r="I311" s="15"/>
      <c r="J311" s="15"/>
      <c r="M311" s="15"/>
      <c r="S311" s="15"/>
      <c r="U311" s="15"/>
    </row>
    <row r="312" spans="2:21">
      <c r="B312" s="437" t="s">
        <v>25</v>
      </c>
      <c r="C312" s="438">
        <v>38</v>
      </c>
      <c r="D312" s="866">
        <f t="shared" si="69"/>
        <v>964.3216000000001</v>
      </c>
      <c r="E312" s="866">
        <f t="shared" si="70"/>
        <v>10584401.861361241</v>
      </c>
      <c r="F312" s="867">
        <f t="shared" si="71"/>
        <v>4080145.9756866372</v>
      </c>
      <c r="G312" s="868">
        <f t="shared" si="72"/>
        <v>14664547.837047879</v>
      </c>
      <c r="H312" s="866">
        <f t="shared" si="73"/>
        <v>27410.707284879682</v>
      </c>
      <c r="I312" s="15"/>
      <c r="J312" s="15"/>
      <c r="M312" s="15"/>
      <c r="S312" s="15"/>
      <c r="U312" s="15"/>
    </row>
    <row r="313" spans="2:21">
      <c r="B313" s="437" t="s">
        <v>190</v>
      </c>
      <c r="C313" s="438">
        <v>50</v>
      </c>
      <c r="D313" s="866">
        <f t="shared" si="69"/>
        <v>6511.1632</v>
      </c>
      <c r="E313" s="866">
        <f t="shared" si="70"/>
        <v>71466581.163075492</v>
      </c>
      <c r="F313" s="867">
        <f t="shared" si="71"/>
        <v>27549415.389553577</v>
      </c>
      <c r="G313" s="868">
        <f t="shared" si="72"/>
        <v>99015996.552629068</v>
      </c>
      <c r="H313" s="866">
        <f t="shared" si="73"/>
        <v>185078.9078656752</v>
      </c>
      <c r="I313" s="15"/>
      <c r="J313" s="15"/>
      <c r="M313" s="15"/>
      <c r="S313" s="15"/>
      <c r="U313" s="15"/>
    </row>
    <row r="314" spans="2:21">
      <c r="B314" s="437" t="s">
        <v>215</v>
      </c>
      <c r="C314" s="438">
        <v>58</v>
      </c>
      <c r="D314" s="866">
        <f t="shared" si="69"/>
        <v>514.03920000000005</v>
      </c>
      <c r="E314" s="866">
        <f t="shared" si="70"/>
        <v>5642098.5128743816</v>
      </c>
      <c r="F314" s="867">
        <f t="shared" si="71"/>
        <v>2174953.8465437037</v>
      </c>
      <c r="G314" s="868">
        <f t="shared" si="72"/>
        <v>7817052.3594180848</v>
      </c>
      <c r="H314" s="866">
        <f t="shared" si="73"/>
        <v>14611.492726237517</v>
      </c>
      <c r="I314" s="15"/>
      <c r="J314" s="15"/>
      <c r="M314" s="15"/>
      <c r="S314" s="15"/>
      <c r="U314" s="15"/>
    </row>
    <row r="315" spans="2:21">
      <c r="B315" s="437" t="s">
        <v>350</v>
      </c>
      <c r="C315" s="438">
        <v>61</v>
      </c>
      <c r="D315" s="866">
        <f t="shared" si="69"/>
        <v>1541.1214000000002</v>
      </c>
      <c r="E315" s="866">
        <f t="shared" si="70"/>
        <v>16915361.239179589</v>
      </c>
      <c r="F315" s="867">
        <f t="shared" si="71"/>
        <v>6520646.5127967242</v>
      </c>
      <c r="G315" s="868">
        <f t="shared" si="72"/>
        <v>23436007.751976311</v>
      </c>
      <c r="H315" s="866">
        <f t="shared" si="73"/>
        <v>43806.161332343872</v>
      </c>
      <c r="I315" s="15"/>
      <c r="J315" s="15"/>
      <c r="M315" s="15"/>
      <c r="S315" s="15"/>
      <c r="U315" s="15"/>
    </row>
    <row r="316" spans="2:21">
      <c r="B316" s="437" t="s">
        <v>479</v>
      </c>
      <c r="C316" s="438">
        <v>65</v>
      </c>
      <c r="D316" s="866">
        <f t="shared" si="69"/>
        <v>0</v>
      </c>
      <c r="E316" s="866">
        <f t="shared" si="70"/>
        <v>0</v>
      </c>
      <c r="F316" s="867">
        <f t="shared" si="71"/>
        <v>0</v>
      </c>
      <c r="G316" s="868">
        <f t="shared" si="72"/>
        <v>0</v>
      </c>
      <c r="H316" s="866">
        <f t="shared" si="73"/>
        <v>0</v>
      </c>
      <c r="I316" s="15"/>
      <c r="J316" s="15"/>
      <c r="M316" s="15"/>
      <c r="S316" s="15"/>
      <c r="U316" s="15"/>
    </row>
    <row r="317" spans="2:21">
      <c r="B317" s="437" t="s">
        <v>488</v>
      </c>
      <c r="C317" s="438">
        <v>67</v>
      </c>
      <c r="D317" s="866">
        <f t="shared" si="69"/>
        <v>173.5222</v>
      </c>
      <c r="E317" s="866">
        <f t="shared" si="70"/>
        <v>1904581.1030962053</v>
      </c>
      <c r="F317" s="867">
        <f t="shared" si="71"/>
        <v>734190.65384648845</v>
      </c>
      <c r="G317" s="868">
        <f t="shared" si="72"/>
        <v>2638771.7569426936</v>
      </c>
      <c r="H317" s="866">
        <f t="shared" si="73"/>
        <v>4932.3443876278916</v>
      </c>
      <c r="I317" s="15"/>
      <c r="J317" s="15"/>
      <c r="M317" s="15"/>
      <c r="S317" s="15"/>
      <c r="U317" s="15"/>
    </row>
    <row r="318" spans="2:21">
      <c r="B318" s="437" t="s">
        <v>489</v>
      </c>
      <c r="C318" s="438">
        <v>66</v>
      </c>
      <c r="D318" s="866">
        <f t="shared" si="69"/>
        <v>0</v>
      </c>
      <c r="E318" s="866">
        <f t="shared" si="70"/>
        <v>0</v>
      </c>
      <c r="F318" s="867">
        <f t="shared" si="71"/>
        <v>0</v>
      </c>
      <c r="G318" s="868">
        <f t="shared" si="72"/>
        <v>0</v>
      </c>
      <c r="H318" s="866">
        <f t="shared" si="73"/>
        <v>0</v>
      </c>
      <c r="I318" s="15"/>
      <c r="J318" s="15"/>
      <c r="M318" s="15"/>
      <c r="S318" s="15"/>
      <c r="U318" s="15"/>
    </row>
    <row r="319" spans="2:21">
      <c r="B319" s="437" t="s">
        <v>580</v>
      </c>
      <c r="C319" s="438">
        <v>401</v>
      </c>
      <c r="D319" s="866">
        <f t="shared" si="69"/>
        <v>88.971557520623804</v>
      </c>
      <c r="E319" s="866">
        <f t="shared" si="70"/>
        <v>976552.55158600537</v>
      </c>
      <c r="F319" s="867">
        <f t="shared" si="71"/>
        <v>376448.00486512523</v>
      </c>
      <c r="G319" s="868">
        <f t="shared" si="72"/>
        <v>1353000.5564511307</v>
      </c>
      <c r="H319" s="866">
        <f t="shared" si="73"/>
        <v>2529.0041412301184</v>
      </c>
      <c r="I319" s="15"/>
      <c r="J319" s="15"/>
      <c r="M319" s="15"/>
      <c r="S319" s="15"/>
      <c r="U319" s="15"/>
    </row>
    <row r="320" spans="2:21">
      <c r="B320" s="437" t="s">
        <v>581</v>
      </c>
      <c r="C320" s="438">
        <v>402</v>
      </c>
      <c r="D320" s="866">
        <f t="shared" si="69"/>
        <v>130.09759577353375</v>
      </c>
      <c r="E320" s="866">
        <f t="shared" si="70"/>
        <v>1427952.2877679113</v>
      </c>
      <c r="F320" s="867">
        <f t="shared" si="71"/>
        <v>550456.59232551733</v>
      </c>
      <c r="G320" s="868">
        <f t="shared" si="72"/>
        <v>1978408.8800934288</v>
      </c>
      <c r="H320" s="866">
        <f t="shared" si="73"/>
        <v>3698.0060554642077</v>
      </c>
      <c r="I320" s="15"/>
      <c r="J320" s="15"/>
      <c r="M320" s="15"/>
      <c r="S320" s="15"/>
      <c r="U320" s="15"/>
    </row>
    <row r="321" spans="2:21">
      <c r="B321" s="437" t="s">
        <v>582</v>
      </c>
      <c r="C321" s="438">
        <v>403</v>
      </c>
      <c r="D321" s="866">
        <f t="shared" si="69"/>
        <v>114.09045513617359</v>
      </c>
      <c r="E321" s="866">
        <f t="shared" si="70"/>
        <v>1252257.7796731577</v>
      </c>
      <c r="F321" s="867">
        <f t="shared" si="71"/>
        <v>482728.69900261017</v>
      </c>
      <c r="G321" s="868">
        <f t="shared" si="72"/>
        <v>1734986.4786757678</v>
      </c>
      <c r="H321" s="866">
        <f t="shared" si="73"/>
        <v>3243.0053104030353</v>
      </c>
      <c r="I321" s="15"/>
      <c r="J321" s="15"/>
      <c r="M321" s="15"/>
      <c r="S321" s="15"/>
      <c r="U321" s="15"/>
    </row>
    <row r="322" spans="2:21">
      <c r="B322" s="440" t="s">
        <v>99</v>
      </c>
      <c r="C322" s="441"/>
      <c r="D322" s="869">
        <f>SUM(D297:D321)</f>
        <v>104465.13280843032</v>
      </c>
      <c r="E322" s="870">
        <f>SUM(E297:E321)</f>
        <v>1146610851.4543054</v>
      </c>
      <c r="F322" s="871">
        <f>SUM(F297:F321)</f>
        <v>501084348.17816412</v>
      </c>
      <c r="G322" s="872">
        <f>SUM(G297:G321)</f>
        <v>1647695199.6324694</v>
      </c>
      <c r="H322" s="873">
        <f>SUM(H297:H321)</f>
        <v>2969406.8626980507</v>
      </c>
      <c r="I322" s="15"/>
      <c r="J322" s="15"/>
      <c r="M322" s="15"/>
      <c r="S322" s="15"/>
      <c r="U322" s="15"/>
    </row>
    <row r="323" spans="2:21">
      <c r="B323" s="437" t="s">
        <v>61</v>
      </c>
      <c r="C323" s="438">
        <v>2</v>
      </c>
      <c r="D323" s="866">
        <f>SUMIF($C$5:$C$186,$C323,$D$5:$D$186)</f>
        <v>40693.190053005084</v>
      </c>
      <c r="E323" s="866">
        <f t="shared" ref="E323:E324" si="74">G323-F323</f>
        <v>446648790.75793153</v>
      </c>
      <c r="F323" s="867">
        <f t="shared" ref="F323:H324" si="75">SUMIF($C$5:$C$186,$C323,O$5:O$186)</f>
        <v>160566109.42278248</v>
      </c>
      <c r="G323" s="868">
        <f t="shared" si="75"/>
        <v>607214900.18071401</v>
      </c>
      <c r="H323" s="866">
        <f t="shared" si="75"/>
        <v>1156698.264387005</v>
      </c>
      <c r="I323" s="15"/>
      <c r="J323" s="15"/>
      <c r="M323" s="15"/>
      <c r="S323" s="15"/>
      <c r="U323" s="15"/>
    </row>
    <row r="324" spans="2:21">
      <c r="B324" s="437" t="s">
        <v>26</v>
      </c>
      <c r="C324" s="438">
        <v>6</v>
      </c>
      <c r="D324" s="866">
        <f>SUMIF($C$5:$C$186,$C324,$D$5:$D$186)</f>
        <v>2204.5906</v>
      </c>
      <c r="E324" s="866">
        <f t="shared" si="74"/>
        <v>24197604.668587215</v>
      </c>
      <c r="F324" s="867">
        <f t="shared" si="75"/>
        <v>8774472.816115981</v>
      </c>
      <c r="G324" s="868">
        <f t="shared" si="75"/>
        <v>32972077.484703198</v>
      </c>
      <c r="H324" s="866">
        <f t="shared" si="75"/>
        <v>62665.181013882982</v>
      </c>
      <c r="I324" s="15"/>
      <c r="J324" s="15"/>
      <c r="M324" s="15"/>
      <c r="S324" s="15"/>
      <c r="U324" s="15"/>
    </row>
    <row r="325" spans="2:21">
      <c r="B325" s="437" t="s">
        <v>27</v>
      </c>
      <c r="C325" s="438">
        <v>8</v>
      </c>
      <c r="D325" s="866">
        <f>+D261</f>
        <v>2539.1955751804421</v>
      </c>
      <c r="E325" s="866">
        <f>+E261</f>
        <v>27870231.702839583</v>
      </c>
      <c r="F325" s="866">
        <f>+F261</f>
        <v>10106231.331768328</v>
      </c>
      <c r="G325" s="866">
        <f>+G261</f>
        <v>37976463.03460791</v>
      </c>
      <c r="H325" s="866">
        <f>+H261</f>
        <v>72176.28101944158</v>
      </c>
      <c r="I325" s="15"/>
      <c r="J325" s="15"/>
      <c r="M325" s="15"/>
      <c r="S325" s="15"/>
      <c r="U325" s="15"/>
    </row>
    <row r="326" spans="2:21">
      <c r="B326" s="998" t="s">
        <v>513</v>
      </c>
      <c r="C326" s="438"/>
      <c r="D326" s="866">
        <f>+D260</f>
        <v>404.57542481955795</v>
      </c>
      <c r="E326" s="866">
        <f>+E260</f>
        <v>4440623.1528654471</v>
      </c>
      <c r="F326" s="866">
        <f>+F260</f>
        <v>1610247.2817078233</v>
      </c>
      <c r="G326" s="866">
        <f>+G260</f>
        <v>6050870.4345732704</v>
      </c>
      <c r="H326" s="866">
        <f>+H260</f>
        <v>11500</v>
      </c>
      <c r="I326" s="15"/>
      <c r="J326" s="15"/>
      <c r="M326" s="15"/>
      <c r="S326" s="15"/>
      <c r="U326" s="15"/>
    </row>
    <row r="327" spans="2:21">
      <c r="B327" s="437" t="s">
        <v>28</v>
      </c>
      <c r="C327" s="438">
        <v>3</v>
      </c>
      <c r="D327" s="866">
        <f>SUMIF($C$5:$C$186,$C327,$D$5:$D$186)</f>
        <v>6456.0901721706241</v>
      </c>
      <c r="E327" s="866">
        <f t="shared" ref="E327:E329" si="76">G327-F327</f>
        <v>70862099.153890952</v>
      </c>
      <c r="F327" s="867">
        <f>SUMIF($C$5:$C$186,$C327,O$5:O$186)</f>
        <v>25695831.10537833</v>
      </c>
      <c r="G327" s="868">
        <f>SUMIF($C$5:$C$186,$C327,P$5:P$186)</f>
        <v>96557930.259269282</v>
      </c>
      <c r="H327" s="866">
        <f>SUMIF($C$5:$C$186,$C327,Q$5:Q$186)</f>
        <v>183513.46471359493</v>
      </c>
      <c r="I327" s="15"/>
      <c r="J327" s="15"/>
      <c r="M327" s="15"/>
      <c r="S327" s="15"/>
      <c r="U327" s="15"/>
    </row>
    <row r="328" spans="2:21">
      <c r="B328" s="1123" t="s">
        <v>575</v>
      </c>
      <c r="C328" s="438">
        <v>534</v>
      </c>
      <c r="D328" s="866">
        <f>SUMIF($C$5:$C$186,$C328,$D$5:$D$186)</f>
        <v>383.81902782937652</v>
      </c>
      <c r="E328" s="866">
        <f t="shared" ref="E328" si="77">G328-F328</f>
        <v>4212800.825557692</v>
      </c>
      <c r="F328" s="867">
        <f t="shared" ref="F328" si="78">SUMIF($C$5:$C$186,$C328,O$5:O$186)</f>
        <v>1527634.9386579653</v>
      </c>
      <c r="G328" s="868">
        <f t="shared" ref="G328" si="79">SUMIF($C$5:$C$186,$C328,P$5:P$186)</f>
        <v>5740435.7642156575</v>
      </c>
      <c r="H328" s="866">
        <f t="shared" ref="H328" si="80">SUMIF($C$5:$C$186,$C328,Q$5:Q$186)</f>
        <v>10910.002453743778</v>
      </c>
      <c r="I328" s="15"/>
      <c r="J328" s="15"/>
      <c r="M328" s="15"/>
      <c r="S328" s="15"/>
      <c r="U328" s="15"/>
    </row>
    <row r="329" spans="2:21">
      <c r="B329" s="437" t="s">
        <v>29</v>
      </c>
      <c r="C329" s="438">
        <v>14</v>
      </c>
      <c r="D329" s="866">
        <f>SUMIF($C$5:$C$186,$C329,$D$5:$D$186)</f>
        <v>3296.4258000000004</v>
      </c>
      <c r="E329" s="866">
        <f t="shared" si="76"/>
        <v>36181596.858723506</v>
      </c>
      <c r="F329" s="867">
        <f>SUMIF($C$5:$C$186,$C329,O$5:O$186)</f>
        <v>13120077.066664157</v>
      </c>
      <c r="G329" s="868">
        <f>SUMIF($C$5:$C$186,$C329,P$5:P$186)</f>
        <v>49301673.925387666</v>
      </c>
      <c r="H329" s="866">
        <f>SUMIF($C$5:$C$186,$C329,Q$5:Q$186)</f>
        <v>93700.444633953375</v>
      </c>
      <c r="I329" s="15"/>
      <c r="J329" s="15"/>
      <c r="M329" s="15"/>
      <c r="S329" s="15"/>
      <c r="U329" s="15"/>
    </row>
    <row r="330" spans="2:21">
      <c r="B330" s="439" t="s">
        <v>30</v>
      </c>
      <c r="C330" s="471">
        <v>23</v>
      </c>
      <c r="D330" s="866">
        <f>+D253</f>
        <v>1384.2524680754348</v>
      </c>
      <c r="E330" s="866">
        <f>+E253</f>
        <v>16789644.079637688</v>
      </c>
      <c r="F330" s="866">
        <f>+F253</f>
        <v>6088217.3085624184</v>
      </c>
      <c r="G330" s="866">
        <f>+G253</f>
        <v>22877861.388200108</v>
      </c>
      <c r="H330" s="866">
        <f>+H253</f>
        <v>39347.18466466073</v>
      </c>
      <c r="I330" s="15"/>
      <c r="J330" s="15"/>
      <c r="M330" s="15"/>
      <c r="S330" s="15"/>
      <c r="U330" s="15"/>
    </row>
    <row r="331" spans="2:21">
      <c r="B331" s="439" t="s">
        <v>325</v>
      </c>
      <c r="C331" s="471"/>
      <c r="D331" s="866">
        <f t="shared" ref="D331:H332" si="81">+D251</f>
        <v>2088.0313577296006</v>
      </c>
      <c r="E331" s="866">
        <f t="shared" si="81"/>
        <v>22918249.162510432</v>
      </c>
      <c r="F331" s="866">
        <f t="shared" si="81"/>
        <v>8310556.2316454537</v>
      </c>
      <c r="G331" s="866">
        <f t="shared" si="81"/>
        <v>31228805.394155886</v>
      </c>
      <c r="H331" s="866">
        <f t="shared" si="81"/>
        <v>59352</v>
      </c>
      <c r="I331" s="15"/>
      <c r="J331" s="15"/>
      <c r="M331" s="15"/>
      <c r="S331" s="15"/>
      <c r="U331" s="15"/>
    </row>
    <row r="332" spans="2:21">
      <c r="B332" s="439" t="s">
        <v>326</v>
      </c>
      <c r="C332" s="471"/>
      <c r="D332" s="866">
        <f t="shared" si="81"/>
        <v>323.2381741949651</v>
      </c>
      <c r="E332" s="866">
        <f t="shared" si="81"/>
        <v>1951787.6377964341</v>
      </c>
      <c r="F332" s="866">
        <f t="shared" si="81"/>
        <v>707752.1847816821</v>
      </c>
      <c r="G332" s="866">
        <f t="shared" si="81"/>
        <v>2659539.8225781163</v>
      </c>
      <c r="H332" s="866">
        <f t="shared" si="81"/>
        <v>9188</v>
      </c>
      <c r="I332" s="15"/>
      <c r="J332" s="15"/>
      <c r="M332" s="15"/>
      <c r="S332" s="15"/>
      <c r="U332" s="15"/>
    </row>
    <row r="333" spans="2:21">
      <c r="B333" s="437" t="s">
        <v>31</v>
      </c>
      <c r="C333" s="438">
        <v>24</v>
      </c>
      <c r="D333" s="866">
        <f>SUMIF($C$5:$C$186,$C333,$D$5:$D$186)</f>
        <v>673.4312000000001</v>
      </c>
      <c r="E333" s="866">
        <f t="shared" ref="E333:E334" si="82">G333-F333</f>
        <v>7391586.4238431826</v>
      </c>
      <c r="F333" s="867">
        <f t="shared" ref="F333:H334" si="83">SUMIF($C$5:$C$186,$C333,O$5:O$186)</f>
        <v>2680317.950155627</v>
      </c>
      <c r="G333" s="868">
        <f t="shared" si="83"/>
        <v>10071904.37399881</v>
      </c>
      <c r="H333" s="866">
        <f t="shared" si="83"/>
        <v>19142.188145225893</v>
      </c>
      <c r="I333" s="15"/>
      <c r="J333" s="15"/>
      <c r="M333" s="15"/>
      <c r="S333" s="15"/>
      <c r="U333" s="15"/>
    </row>
    <row r="334" spans="2:21">
      <c r="B334" s="437" t="s">
        <v>33</v>
      </c>
      <c r="C334" s="438">
        <v>9</v>
      </c>
      <c r="D334" s="866">
        <f>SUMIF($C$5:$C$186,$C334,$D$5:$D$186)</f>
        <v>1584.9542000000001</v>
      </c>
      <c r="E334" s="866">
        <f t="shared" si="82"/>
        <v>17396470.414696008</v>
      </c>
      <c r="F334" s="867">
        <f t="shared" si="83"/>
        <v>6308263.1045822529</v>
      </c>
      <c r="G334" s="868">
        <f t="shared" si="83"/>
        <v>23704733.519278262</v>
      </c>
      <c r="H334" s="866">
        <f t="shared" si="83"/>
        <v>45052.10257256568</v>
      </c>
      <c r="I334" s="15"/>
      <c r="J334" s="15"/>
      <c r="M334" s="15"/>
      <c r="S334" s="15"/>
      <c r="U334" s="15"/>
    </row>
    <row r="335" spans="2:21">
      <c r="B335" s="439" t="s">
        <v>34</v>
      </c>
      <c r="C335" s="438">
        <v>12</v>
      </c>
      <c r="D335" s="866">
        <f>+D238</f>
        <v>4439.1625955782065</v>
      </c>
      <c r="E335" s="866">
        <f>+E238</f>
        <v>48724285.9612533</v>
      </c>
      <c r="F335" s="867">
        <f>+F238</f>
        <v>17668274.546475589</v>
      </c>
      <c r="G335" s="874">
        <f>+G238</f>
        <v>66392560.50772889</v>
      </c>
      <c r="H335" s="866">
        <f>+H238</f>
        <v>126182.58052202503</v>
      </c>
      <c r="I335" s="15"/>
      <c r="J335" s="15"/>
      <c r="M335" s="15"/>
      <c r="S335" s="15"/>
      <c r="U335" s="15"/>
    </row>
    <row r="336" spans="2:21">
      <c r="B336" s="439" t="s">
        <v>136</v>
      </c>
      <c r="C336" s="438">
        <v>18</v>
      </c>
      <c r="D336" s="866">
        <f t="shared" ref="D336:H338" si="84">+D235</f>
        <v>1296.2244806501401</v>
      </c>
      <c r="E336" s="866">
        <f t="shared" si="84"/>
        <v>14227370.440637164</v>
      </c>
      <c r="F336" s="867">
        <f t="shared" si="84"/>
        <v>5159092.2690891074</v>
      </c>
      <c r="G336" s="874">
        <f t="shared" si="84"/>
        <v>19386462.70972627</v>
      </c>
      <c r="H336" s="866">
        <f t="shared" si="84"/>
        <v>36845</v>
      </c>
      <c r="I336" s="15"/>
      <c r="J336" s="15"/>
      <c r="M336" s="15"/>
      <c r="S336" s="15"/>
      <c r="U336" s="15"/>
    </row>
    <row r="337" spans="2:21">
      <c r="B337" s="439" t="s">
        <v>137</v>
      </c>
      <c r="C337" s="438">
        <v>51</v>
      </c>
      <c r="D337" s="866">
        <f t="shared" si="84"/>
        <v>1283.6650522448722</v>
      </c>
      <c r="E337" s="866">
        <f t="shared" si="84"/>
        <v>14089518.052326471</v>
      </c>
      <c r="F337" s="867">
        <f t="shared" si="84"/>
        <v>5109104.5926047862</v>
      </c>
      <c r="G337" s="874">
        <f t="shared" si="84"/>
        <v>19198622.644931257</v>
      </c>
      <c r="H337" s="866">
        <f t="shared" si="84"/>
        <v>36488</v>
      </c>
      <c r="I337" s="15"/>
      <c r="J337" s="15"/>
      <c r="M337" s="15"/>
      <c r="S337" s="15"/>
      <c r="U337" s="15"/>
    </row>
    <row r="338" spans="2:21">
      <c r="B338" s="439" t="s">
        <v>138</v>
      </c>
      <c r="C338" s="438"/>
      <c r="D338" s="866">
        <f t="shared" si="84"/>
        <v>1465.5832715267795</v>
      </c>
      <c r="E338" s="866">
        <f t="shared" si="84"/>
        <v>16086253.906541012</v>
      </c>
      <c r="F338" s="867">
        <f t="shared" si="84"/>
        <v>5833155.7833622778</v>
      </c>
      <c r="G338" s="874">
        <f t="shared" si="84"/>
        <v>21919409.689903289</v>
      </c>
      <c r="H338" s="866">
        <f t="shared" si="84"/>
        <v>41659</v>
      </c>
      <c r="I338" s="15"/>
      <c r="J338" s="15"/>
      <c r="M338" s="15"/>
      <c r="S338" s="15"/>
      <c r="U338" s="15"/>
    </row>
    <row r="339" spans="2:21">
      <c r="B339" s="437" t="s">
        <v>35</v>
      </c>
      <c r="C339" s="438">
        <v>22</v>
      </c>
      <c r="D339" s="866">
        <f>SUMIF($C$5:$C$186,$C339,$D$5:$D$186)</f>
        <v>4143.1958000000004</v>
      </c>
      <c r="E339" s="866">
        <f t="shared" ref="E339:E340" si="85">G339-F339</f>
        <v>45475751.38574525</v>
      </c>
      <c r="F339" s="867">
        <f t="shared" ref="F339:H340" si="86">SUMIF($C$5:$C$186,$C339,O$5:O$186)</f>
        <v>16490299.341268124</v>
      </c>
      <c r="G339" s="868">
        <f t="shared" si="86"/>
        <v>61966050.727013372</v>
      </c>
      <c r="H339" s="866">
        <f t="shared" si="86"/>
        <v>117769.76404732912</v>
      </c>
      <c r="I339" s="15"/>
      <c r="J339" s="15"/>
      <c r="M339" s="15"/>
      <c r="S339" s="15"/>
      <c r="U339" s="15"/>
    </row>
    <row r="340" spans="2:21">
      <c r="B340" s="437" t="s">
        <v>36</v>
      </c>
      <c r="C340" s="438">
        <v>34</v>
      </c>
      <c r="D340" s="866">
        <f>SUMIF($C$5:$C$186,$C340,$D$5:$D$186)</f>
        <v>845.77380000000005</v>
      </c>
      <c r="E340" s="866">
        <f t="shared" si="85"/>
        <v>9283220.2275781967</v>
      </c>
      <c r="F340" s="867">
        <f t="shared" si="86"/>
        <v>3366257.3072220818</v>
      </c>
      <c r="G340" s="868">
        <f t="shared" si="86"/>
        <v>12649477.534800278</v>
      </c>
      <c r="H340" s="866">
        <f t="shared" si="86"/>
        <v>24041.002567007075</v>
      </c>
      <c r="I340" s="15"/>
      <c r="M340" s="15"/>
      <c r="S340" s="15"/>
      <c r="U340" s="15"/>
    </row>
    <row r="341" spans="2:21">
      <c r="B341" s="442" t="s">
        <v>100</v>
      </c>
      <c r="C341" s="443"/>
      <c r="D341" s="869">
        <f>SUM(D323:D340)</f>
        <v>75505.39905300508</v>
      </c>
      <c r="E341" s="870">
        <f>SUM(E323:E340)</f>
        <v>828747884.81296074</v>
      </c>
      <c r="F341" s="871">
        <f>SUM(F323:F340)</f>
        <v>299121894.58282447</v>
      </c>
      <c r="G341" s="872">
        <f>SUM(G323:G340)</f>
        <v>1127869779.3957853</v>
      </c>
      <c r="H341" s="873">
        <f>SUM(H323:H340)</f>
        <v>2146230.4607404354</v>
      </c>
      <c r="I341" s="15"/>
      <c r="M341" s="15"/>
      <c r="S341" s="15"/>
      <c r="U341" s="15"/>
    </row>
    <row r="342" spans="2:21">
      <c r="B342" s="444" t="s">
        <v>101</v>
      </c>
      <c r="C342" s="445">
        <v>97</v>
      </c>
      <c r="D342" s="866">
        <f>SUMIF($C$5:$C$186,$C342,$D$5:$D$186)</f>
        <v>115103.75989980449</v>
      </c>
      <c r="E342" s="866">
        <f>G342-F342</f>
        <v>1263379821.1438675</v>
      </c>
      <c r="F342" s="867">
        <f>SUMIF($C$5:$C$186,$C342,O$5:O$186)</f>
        <v>144380708.37951395</v>
      </c>
      <c r="G342" s="868">
        <f>SUMIF($C$5:$C$186,$C342,P$5:P$186)</f>
        <v>1407760529.5233815</v>
      </c>
      <c r="H342" s="866">
        <f>SUMIF($C$5:$C$186,$C342,Q$5:Q$186)</f>
        <v>3271808.3572976198</v>
      </c>
      <c r="I342" s="15"/>
      <c r="M342" s="15"/>
      <c r="S342" s="15"/>
      <c r="U342" s="15"/>
    </row>
    <row r="343" spans="2:21">
      <c r="B343" s="442" t="s">
        <v>102</v>
      </c>
      <c r="C343" s="443"/>
      <c r="D343" s="869">
        <f>+D342+D341+D322+D296</f>
        <v>500129.92270964594</v>
      </c>
      <c r="E343" s="870">
        <f>+E342+E341+E322+E296</f>
        <v>5403602450.5281639</v>
      </c>
      <c r="F343" s="871">
        <f>+F342+F341+F322+F296</f>
        <v>1716519074.3679376</v>
      </c>
      <c r="G343" s="875">
        <f>+G342+G341+G322+G296</f>
        <v>7120121524.896101</v>
      </c>
      <c r="H343" s="869">
        <f>+H342+H341+H322+H296</f>
        <v>14216123.454876054</v>
      </c>
      <c r="I343" s="15"/>
      <c r="J343" s="15"/>
      <c r="M343" s="15"/>
      <c r="S343" s="15"/>
      <c r="U343" s="15"/>
    </row>
    <row r="344" spans="2:21">
      <c r="B344" s="444" t="s">
        <v>130</v>
      </c>
      <c r="C344" s="445">
        <v>96</v>
      </c>
      <c r="D344" s="866">
        <f>SUMIF($C$5:$C$186,$C344,$D$5:$D$186)</f>
        <v>72070.0316275238</v>
      </c>
      <c r="E344" s="866">
        <f t="shared" ref="E344:E346" si="87">G344-F344</f>
        <v>791041090.12321317</v>
      </c>
      <c r="F344" s="867">
        <f t="shared" ref="F344:H346" si="88">SUMIF($C$5:$C$186,$C344,O$5:O$186)</f>
        <v>104004051.07321683</v>
      </c>
      <c r="G344" s="868">
        <f t="shared" si="88"/>
        <v>895045141.19642997</v>
      </c>
      <c r="H344" s="866">
        <f t="shared" si="88"/>
        <v>2048580.6197373108</v>
      </c>
      <c r="I344" s="15"/>
      <c r="J344" s="15"/>
      <c r="M344" s="15"/>
      <c r="R344" s="13"/>
      <c r="S344" s="15"/>
      <c r="T344" s="16"/>
      <c r="U344" s="15"/>
    </row>
    <row r="345" spans="2:21">
      <c r="B345" s="444" t="s">
        <v>103</v>
      </c>
      <c r="C345" s="445">
        <v>98</v>
      </c>
      <c r="D345" s="866">
        <f>SUMIF($C$5:$C$186,$C345,$D$5:$D$186)</f>
        <v>64337.818233685088</v>
      </c>
      <c r="E345" s="866">
        <f t="shared" si="87"/>
        <v>670524913.58114684</v>
      </c>
      <c r="F345" s="867">
        <f t="shared" si="88"/>
        <v>90264902.70691371</v>
      </c>
      <c r="G345" s="868">
        <f t="shared" si="88"/>
        <v>760789816.28806055</v>
      </c>
      <c r="H345" s="866">
        <f t="shared" si="88"/>
        <v>1828793.5300332755</v>
      </c>
      <c r="I345" s="15"/>
      <c r="J345" s="15"/>
      <c r="M345" s="15"/>
    </row>
    <row r="346" spans="2:21">
      <c r="B346" s="446" t="s">
        <v>104</v>
      </c>
      <c r="C346" s="447">
        <v>99</v>
      </c>
      <c r="D346" s="866">
        <f>SUMIF($C$5:$C$186,$C346,$D$5:$D$186)</f>
        <v>604570.03581385349</v>
      </c>
      <c r="E346" s="866">
        <f t="shared" si="87"/>
        <v>8235127513.3934174</v>
      </c>
      <c r="F346" s="867">
        <f t="shared" si="88"/>
        <v>1058463387.9852178</v>
      </c>
      <c r="G346" s="868">
        <f t="shared" si="88"/>
        <v>9293590901.3786354</v>
      </c>
      <c r="H346" s="866">
        <f t="shared" si="88"/>
        <v>17184819.135963313</v>
      </c>
      <c r="I346" s="15"/>
      <c r="J346" s="15"/>
      <c r="M346" s="15"/>
    </row>
    <row r="347" spans="2:21" ht="13.5" thickBot="1">
      <c r="B347" s="448" t="s">
        <v>105</v>
      </c>
      <c r="C347" s="449"/>
      <c r="D347" s="876">
        <f>+D342+D345+D346+D344</f>
        <v>856081.64557486691</v>
      </c>
      <c r="E347" s="877">
        <f>+E342+E345+E346+E344</f>
        <v>10960073338.241644</v>
      </c>
      <c r="F347" s="878">
        <f>+F342+F345+F346+F344</f>
        <v>1397113050.1448624</v>
      </c>
      <c r="G347" s="879">
        <f>+G342+G345+G346+G344</f>
        <v>12357186388.386507</v>
      </c>
      <c r="H347" s="876">
        <f>+H342+H345+H346+H344</f>
        <v>24334001.643031523</v>
      </c>
      <c r="I347" s="15"/>
      <c r="J347" s="15"/>
      <c r="L347" s="13"/>
      <c r="M347" s="15"/>
    </row>
    <row r="348" spans="2:21">
      <c r="B348" s="450" t="s">
        <v>106</v>
      </c>
      <c r="C348" s="451"/>
      <c r="D348" s="880">
        <f>D296+D322+D341+D347</f>
        <v>1241107.8083847084</v>
      </c>
      <c r="E348" s="881">
        <f>E296+E322+E341+E347</f>
        <v>15100295967.625938</v>
      </c>
      <c r="F348" s="882">
        <f>F296+F322+F341+F347</f>
        <v>2969251416.133286</v>
      </c>
      <c r="G348" s="883">
        <f>G296+G322+G341+G347</f>
        <v>18069547383.759228</v>
      </c>
      <c r="H348" s="880">
        <f>H296+H322+H341+H347</f>
        <v>35278316.740609959</v>
      </c>
      <c r="I348" s="15"/>
      <c r="J348" s="15"/>
    </row>
    <row r="349" spans="2:21">
      <c r="G349" s="15"/>
      <c r="H349" s="15"/>
      <c r="I349" s="15"/>
      <c r="J349" s="15"/>
    </row>
    <row r="350" spans="2:21">
      <c r="D350" s="13">
        <f>+D187</f>
        <v>1241107.8083847084</v>
      </c>
      <c r="E350" s="13">
        <f>+L187</f>
        <v>15100295967.625938</v>
      </c>
      <c r="F350" s="148">
        <f>+O187</f>
        <v>2969251416.1332846</v>
      </c>
      <c r="G350" s="13">
        <f>+E350+F350</f>
        <v>18069547383.759224</v>
      </c>
      <c r="J350" s="15"/>
    </row>
    <row r="351" spans="2:21">
      <c r="D351" s="13">
        <f>+D348-D350</f>
        <v>0</v>
      </c>
      <c r="E351" s="13">
        <f>+E348-E350</f>
        <v>0</v>
      </c>
      <c r="F351" s="13">
        <f>+F348-F350</f>
        <v>0</v>
      </c>
      <c r="G351" s="13">
        <f>+G348-G350</f>
        <v>0</v>
      </c>
      <c r="I351" s="884"/>
      <c r="J351" s="15"/>
    </row>
  </sheetData>
  <mergeCells count="5">
    <mergeCell ref="E3:F3"/>
    <mergeCell ref="Q195:R195"/>
    <mergeCell ref="Q196:R196"/>
    <mergeCell ref="Q194:R194"/>
    <mergeCell ref="Q197:R197"/>
  </mergeCells>
  <phoneticPr fontId="0" type="noConversion"/>
  <printOptions horizontalCentered="1" verticalCentered="1"/>
  <pageMargins left="0" right="0" top="0" bottom="0" header="0" footer="0"/>
  <pageSetup scale="55" orientation="landscape" r:id="rId1"/>
  <headerFooter alignWithMargins="0"/>
  <rowBreaks count="1" manualBreakCount="1">
    <brk id="73" max="13" man="1"/>
  </rowBreaks>
  <ignoredErrors>
    <ignoredError sqref="M166:M170 G180 G61 G172 G188:G189 D249:H253 M183 D153:D154 D159:D160 D39:D41 G201:G202 E213:E215 D32:D37 D73 D87 D18:D21 D330:H332 D347:G351 H347 D306:H307 D44:D55 D57:D61 D67 D78 M180:M181 M178 D230:H246 E272 D298:H300 M164 G175:G178 M159:M162 D28:D30 D335:H338" unlockedFormula="1"/>
    <ignoredError sqref="O121 O101 O81 O104 O146 E341 E189 D343:H343 O38 O182" formula="1"/>
    <ignoredError sqref="G183" evalError="1" unlockedFormula="1"/>
    <ignoredError sqref="G179" evalError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3"/>
  <dimension ref="A1:X458"/>
  <sheetViews>
    <sheetView showGridLines="0" zoomScale="90" workbookViewId="0">
      <pane ySplit="12" topLeftCell="A61" activePane="bottomLeft" state="frozen"/>
      <selection pane="bottomLeft" activeCell="B75" sqref="B75"/>
    </sheetView>
  </sheetViews>
  <sheetFormatPr baseColWidth="10" defaultColWidth="9.85546875" defaultRowHeight="12.75"/>
  <cols>
    <col min="1" max="1" width="3.140625" style="84" customWidth="1"/>
    <col min="2" max="2" width="27.28515625" style="84" customWidth="1"/>
    <col min="3" max="3" width="18" style="84" customWidth="1"/>
    <col min="4" max="4" width="15.140625" style="84" customWidth="1"/>
    <col min="5" max="5" width="14.85546875" style="84" customWidth="1"/>
    <col min="6" max="6" width="19" style="84" customWidth="1"/>
    <col min="7" max="7" width="2.140625" style="84" customWidth="1"/>
    <col min="8" max="8" width="16.42578125" style="84" customWidth="1"/>
    <col min="9" max="9" width="13.7109375" style="84" customWidth="1"/>
    <col min="10" max="10" width="14.28515625" style="84" customWidth="1"/>
    <col min="11" max="11" width="13.42578125" style="84" customWidth="1"/>
    <col min="12" max="12" width="17.7109375" style="84" customWidth="1"/>
    <col min="13" max="13" width="12" style="84" customWidth="1"/>
    <col min="14" max="14" width="16.7109375" style="84" customWidth="1"/>
    <col min="15" max="17" width="9.85546875" style="84" customWidth="1"/>
    <col min="18" max="18" width="13.28515625" style="84" customWidth="1"/>
    <col min="19" max="19" width="12.85546875" style="84" customWidth="1"/>
    <col min="20" max="20" width="9.85546875" style="84" customWidth="1"/>
    <col min="21" max="21" width="12.140625" style="84" customWidth="1"/>
    <col min="22" max="16384" width="9.85546875" style="84"/>
  </cols>
  <sheetData>
    <row r="1" spans="2:24" ht="15.75" customHeight="1">
      <c r="B1" s="128" t="s">
        <v>0</v>
      </c>
      <c r="D1" s="14"/>
      <c r="E1"/>
      <c r="F1" s="209" t="str">
        <f>+TOTAL!F2</f>
        <v>OCTUBRE 2012</v>
      </c>
    </row>
    <row r="2" spans="2:24" ht="13.5" thickBot="1">
      <c r="B2" s="86" t="s">
        <v>490</v>
      </c>
      <c r="D2" s="14"/>
      <c r="E2" s="54"/>
      <c r="F2" s="356"/>
    </row>
    <row r="3" spans="2:24">
      <c r="B3" s="184"/>
      <c r="C3" s="184"/>
      <c r="D3" s="185" t="s">
        <v>9</v>
      </c>
      <c r="E3" s="329" t="s">
        <v>11</v>
      </c>
      <c r="F3" s="187"/>
      <c r="G3" s="87"/>
      <c r="N3" s="82"/>
      <c r="O3" s="82"/>
      <c r="P3" s="353"/>
    </row>
    <row r="4" spans="2:24" ht="13.5" thickBot="1">
      <c r="B4" s="189"/>
      <c r="C4" s="189" t="s">
        <v>7</v>
      </c>
      <c r="D4" s="190" t="s">
        <v>109</v>
      </c>
      <c r="E4" s="189" t="s">
        <v>142</v>
      </c>
      <c r="F4" s="192" t="s">
        <v>9</v>
      </c>
      <c r="G4" s="88"/>
      <c r="H4" s="14">
        <f>SUM(C13:C80)</f>
        <v>242683.24893170912</v>
      </c>
      <c r="J4" s="14"/>
      <c r="N4" s="126"/>
      <c r="O4" s="82"/>
      <c r="P4" s="252"/>
      <c r="U4" s="327"/>
      <c r="X4" s="327"/>
    </row>
    <row r="5" spans="2:24">
      <c r="B5" s="84" t="s">
        <v>401</v>
      </c>
      <c r="C5" s="938">
        <v>220225</v>
      </c>
      <c r="D5" s="889">
        <v>6.0399000000000003</v>
      </c>
      <c r="E5" s="14">
        <f>+C5*D5</f>
        <v>1330136.9775</v>
      </c>
      <c r="F5" s="648">
        <f>+E5*E13</f>
        <v>2417191422.3618751</v>
      </c>
      <c r="G5" s="89"/>
      <c r="H5" s="14">
        <f>SUM(F13:F80)/E13</f>
        <v>1421104.3924492085</v>
      </c>
      <c r="J5" s="14"/>
      <c r="N5" s="508"/>
      <c r="O5" s="508"/>
      <c r="P5" s="350"/>
      <c r="Q5" s="354"/>
      <c r="U5" s="327"/>
      <c r="W5" s="324"/>
      <c r="X5" s="327"/>
    </row>
    <row r="6" spans="2:24">
      <c r="B6" s="84" t="s">
        <v>402</v>
      </c>
      <c r="C6" s="631">
        <f>126935-C7</f>
        <v>69055</v>
      </c>
      <c r="D6" s="75">
        <v>4.2561999999999998</v>
      </c>
      <c r="E6" s="296">
        <f>+C6*D6</f>
        <v>293911.891</v>
      </c>
      <c r="F6" s="14">
        <f>+E6*E13</f>
        <v>534111383.91975003</v>
      </c>
      <c r="G6" s="89"/>
      <c r="H6" s="251">
        <f>+H5*E80</f>
        <v>2582501957.1783242</v>
      </c>
      <c r="I6"/>
      <c r="J6" s="14"/>
      <c r="L6" s="85"/>
      <c r="N6" s="327"/>
      <c r="P6" s="350"/>
      <c r="Q6" s="354"/>
      <c r="R6" s="55"/>
      <c r="S6" s="328"/>
      <c r="T6" s="85"/>
      <c r="U6" s="327"/>
      <c r="V6" s="327"/>
      <c r="W6" s="324"/>
      <c r="X6" s="327"/>
    </row>
    <row r="7" spans="2:24">
      <c r="C7" s="631">
        <v>57880</v>
      </c>
      <c r="D7" s="75">
        <f>+D6</f>
        <v>4.2561999999999998</v>
      </c>
      <c r="E7" s="296">
        <f>+C7*D7</f>
        <v>246348.856</v>
      </c>
      <c r="F7" s="14">
        <f>+E7*E13</f>
        <v>447677458.56599998</v>
      </c>
      <c r="G7" s="89"/>
      <c r="I7"/>
      <c r="J7" s="14"/>
      <c r="N7" s="327"/>
      <c r="P7" s="350"/>
      <c r="Q7" s="354"/>
      <c r="R7" s="55"/>
      <c r="S7" s="328"/>
      <c r="T7" s="85"/>
      <c r="U7" s="327"/>
      <c r="V7" s="327"/>
      <c r="W7" s="324"/>
      <c r="X7" s="327"/>
    </row>
    <row r="8" spans="2:24">
      <c r="C8" s="631">
        <v>182327</v>
      </c>
      <c r="D8" s="75">
        <v>2.9</v>
      </c>
      <c r="E8" s="296">
        <f>+C8*D8</f>
        <v>528748.29999999993</v>
      </c>
      <c r="F8" s="14">
        <f>+E8*E14</f>
        <v>960867848.17499983</v>
      </c>
      <c r="G8" s="89"/>
      <c r="I8"/>
      <c r="J8" s="14"/>
      <c r="N8" s="327"/>
      <c r="P8" s="350"/>
      <c r="Q8" s="354"/>
      <c r="R8" s="55"/>
      <c r="S8" s="328"/>
      <c r="T8" s="85"/>
      <c r="U8" s="327"/>
      <c r="V8" s="327"/>
      <c r="W8" s="324"/>
      <c r="X8" s="327"/>
    </row>
    <row r="9" spans="2:24">
      <c r="B9" s="1000">
        <f>+C188</f>
        <v>529486.97894455213</v>
      </c>
      <c r="C9" s="632">
        <f>SUM(C5:C8)</f>
        <v>529487</v>
      </c>
      <c r="D9" s="675">
        <f>+E9/(C5+C6)</f>
        <v>8.293508104604534</v>
      </c>
      <c r="E9" s="676">
        <f>+E5+E6+E7+E8</f>
        <v>2399146.0244999998</v>
      </c>
      <c r="F9" s="677">
        <f>SUM(F5:F8)</f>
        <v>4359848113.022625</v>
      </c>
      <c r="G9" s="82"/>
      <c r="H9" s="522">
        <f>1721180038+816959676+278556134+132232636</f>
        <v>2948928484</v>
      </c>
      <c r="I9" s="596"/>
      <c r="J9" s="14"/>
      <c r="K9" s="617"/>
      <c r="L9"/>
      <c r="M9"/>
      <c r="Q9" s="355"/>
      <c r="R9" s="328"/>
      <c r="S9" s="510"/>
      <c r="V9" s="85"/>
      <c r="W9" s="324"/>
      <c r="X9" s="327"/>
    </row>
    <row r="10" spans="2:24" ht="13.5" thickBot="1">
      <c r="B10" s="513"/>
      <c r="C10" s="514">
        <f>+C190</f>
        <v>2.1055447869002819E-2</v>
      </c>
      <c r="D10" s="514"/>
      <c r="E10" s="513"/>
      <c r="F10" s="945">
        <f>+F190</f>
        <v>2.0661354064941406E-2</v>
      </c>
      <c r="G10" s="82"/>
      <c r="H10" s="55">
        <f>+F9-H9</f>
        <v>1410919629.022625</v>
      </c>
      <c r="I10" s="55"/>
      <c r="J10"/>
      <c r="K10"/>
      <c r="L10"/>
      <c r="M10"/>
      <c r="Q10" s="252"/>
      <c r="U10" s="327"/>
      <c r="V10" s="327"/>
      <c r="W10" s="324"/>
      <c r="X10" s="327"/>
    </row>
    <row r="11" spans="2:24" ht="13.5" thickTop="1">
      <c r="B11" s="183" t="s">
        <v>2</v>
      </c>
      <c r="C11" s="184"/>
      <c r="D11" s="185" t="s">
        <v>9</v>
      </c>
      <c r="E11" s="186"/>
      <c r="F11" s="187"/>
      <c r="G11" s="82"/>
      <c r="H11"/>
      <c r="I11"/>
      <c r="J11"/>
      <c r="K11"/>
      <c r="L11"/>
      <c r="M11"/>
      <c r="P11" s="252"/>
      <c r="Q11" s="252"/>
      <c r="S11" s="14"/>
      <c r="W11" s="324"/>
      <c r="X11" s="327"/>
    </row>
    <row r="12" spans="2:24" ht="13.5" thickBot="1">
      <c r="B12" s="188"/>
      <c r="C12" s="189" t="s">
        <v>7</v>
      </c>
      <c r="D12" s="190" t="s">
        <v>109</v>
      </c>
      <c r="E12" s="191" t="s">
        <v>111</v>
      </c>
      <c r="F12" s="192" t="s">
        <v>9</v>
      </c>
      <c r="G12" s="82"/>
      <c r="H12"/>
      <c r="I12"/>
      <c r="J12"/>
      <c r="K12"/>
      <c r="L12"/>
      <c r="M12"/>
      <c r="O12" s="328"/>
      <c r="P12" s="350"/>
      <c r="Q12" s="354"/>
      <c r="S12" s="85"/>
      <c r="U12" s="327"/>
      <c r="W12" s="324"/>
      <c r="X12" s="327"/>
    </row>
    <row r="13" spans="2:24">
      <c r="B13" s="200" t="s">
        <v>37</v>
      </c>
      <c r="C13" s="937">
        <f>+'INPUT VOL'!G4-Chevron!C13</f>
        <v>0</v>
      </c>
      <c r="D13" s="342">
        <f>+D5</f>
        <v>6.0399000000000003</v>
      </c>
      <c r="E13" s="201">
        <f>+'INPUT II'!F7</f>
        <v>1817.25</v>
      </c>
      <c r="F13" s="197">
        <f t="shared" ref="F13:F24" si="0">+C13*D13*E13</f>
        <v>0</v>
      </c>
      <c r="G13" s="82"/>
      <c r="H13"/>
      <c r="I13"/>
      <c r="J13" s="14"/>
      <c r="K13"/>
      <c r="L13"/>
      <c r="M13"/>
      <c r="O13" s="328"/>
      <c r="P13" s="350"/>
      <c r="Q13" s="354"/>
      <c r="R13" s="356"/>
      <c r="S13" s="510"/>
      <c r="W13" s="324"/>
      <c r="X13" s="327"/>
    </row>
    <row r="14" spans="2:24">
      <c r="B14" s="193" t="s">
        <v>38</v>
      </c>
      <c r="C14" s="936">
        <f>+'INPUT VOL'!G5-Chevron!C14</f>
        <v>0</v>
      </c>
      <c r="D14" s="195">
        <f t="shared" ref="D14:E17" si="1">+D13</f>
        <v>6.0399000000000003</v>
      </c>
      <c r="E14" s="196">
        <f t="shared" si="1"/>
        <v>1817.25</v>
      </c>
      <c r="F14" s="197">
        <f t="shared" si="0"/>
        <v>0</v>
      </c>
      <c r="G14" s="82"/>
      <c r="H14"/>
      <c r="I14"/>
      <c r="J14" s="14"/>
      <c r="K14"/>
      <c r="L14"/>
      <c r="M14"/>
      <c r="P14" s="252"/>
      <c r="Q14" s="252"/>
      <c r="W14" s="324"/>
      <c r="X14" s="327"/>
    </row>
    <row r="15" spans="2:24">
      <c r="B15" s="193" t="s">
        <v>51</v>
      </c>
      <c r="C15" s="936">
        <f>+'INPUT VOL'!G6-Chevron!C15</f>
        <v>0</v>
      </c>
      <c r="D15" s="195">
        <f t="shared" si="1"/>
        <v>6.0399000000000003</v>
      </c>
      <c r="E15" s="196">
        <f t="shared" si="1"/>
        <v>1817.25</v>
      </c>
      <c r="F15" s="197">
        <f t="shared" si="0"/>
        <v>0</v>
      </c>
      <c r="G15" s="82"/>
      <c r="H15"/>
      <c r="I15"/>
      <c r="J15" s="14"/>
      <c r="K15"/>
      <c r="L15"/>
      <c r="M15"/>
      <c r="N15"/>
      <c r="S15" s="327"/>
      <c r="W15" s="324"/>
      <c r="X15" s="327"/>
    </row>
    <row r="16" spans="2:24">
      <c r="B16" s="193" t="s">
        <v>55</v>
      </c>
      <c r="C16" s="936">
        <f>+'INPUT VOL'!G7-Chevron!C16</f>
        <v>0</v>
      </c>
      <c r="D16" s="195">
        <f t="shared" si="1"/>
        <v>6.0399000000000003</v>
      </c>
      <c r="E16" s="196">
        <f t="shared" si="1"/>
        <v>1817.25</v>
      </c>
      <c r="F16" s="197">
        <f t="shared" si="0"/>
        <v>0</v>
      </c>
      <c r="G16" s="82"/>
      <c r="H16"/>
      <c r="I16"/>
      <c r="J16" s="14"/>
      <c r="K16"/>
      <c r="L16"/>
      <c r="M16"/>
      <c r="N16"/>
      <c r="W16" s="324"/>
      <c r="X16" s="327"/>
    </row>
    <row r="17" spans="2:24">
      <c r="B17" s="193" t="s">
        <v>56</v>
      </c>
      <c r="C17" s="936">
        <f>+'INPUT VOL'!G8-Chevron!C17</f>
        <v>0</v>
      </c>
      <c r="D17" s="195">
        <f t="shared" si="1"/>
        <v>6.0399000000000003</v>
      </c>
      <c r="E17" s="196">
        <f>+E16</f>
        <v>1817.25</v>
      </c>
      <c r="F17" s="197">
        <f t="shared" si="0"/>
        <v>0</v>
      </c>
      <c r="G17" s="82"/>
      <c r="H17"/>
      <c r="I17"/>
      <c r="J17" s="14"/>
      <c r="K17"/>
      <c r="L17"/>
      <c r="M17"/>
      <c r="N17"/>
      <c r="W17" s="324"/>
      <c r="X17" s="327"/>
    </row>
    <row r="18" spans="2:24">
      <c r="B18" s="193" t="s">
        <v>57</v>
      </c>
      <c r="C18" s="936">
        <f>+'INPUT VOL'!G10-Chevron!C19</f>
        <v>0</v>
      </c>
      <c r="D18" s="195">
        <f>+D17</f>
        <v>6.0399000000000003</v>
      </c>
      <c r="E18" s="196">
        <f>+E17</f>
        <v>1817.25</v>
      </c>
      <c r="F18" s="197">
        <f t="shared" si="0"/>
        <v>0</v>
      </c>
      <c r="G18" s="82"/>
      <c r="H18"/>
      <c r="I18"/>
      <c r="J18" s="14"/>
      <c r="K18"/>
      <c r="L18"/>
      <c r="M18"/>
      <c r="N18"/>
      <c r="W18" s="324"/>
      <c r="X18" s="327"/>
    </row>
    <row r="19" spans="2:24">
      <c r="B19" s="193" t="s">
        <v>58</v>
      </c>
      <c r="C19" s="936">
        <f>+'INPUT VOL'!G11-Chevron!C20</f>
        <v>0</v>
      </c>
      <c r="D19" s="195">
        <f t="shared" ref="D19:E23" si="2">+D18</f>
        <v>6.0399000000000003</v>
      </c>
      <c r="E19" s="196">
        <f t="shared" si="2"/>
        <v>1817.25</v>
      </c>
      <c r="F19" s="197">
        <f t="shared" si="0"/>
        <v>0</v>
      </c>
      <c r="G19" s="82"/>
      <c r="H19"/>
      <c r="I19"/>
      <c r="J19" s="14"/>
      <c r="K19"/>
      <c r="L19"/>
      <c r="M19"/>
      <c r="W19" s="324"/>
      <c r="X19" s="327"/>
    </row>
    <row r="20" spans="2:24">
      <c r="B20" s="737" t="s">
        <v>185</v>
      </c>
      <c r="C20" s="929">
        <f>+'INPUT VOL'!G151-Chevron!C21</f>
        <v>0</v>
      </c>
      <c r="D20" s="195">
        <f t="shared" si="2"/>
        <v>6.0399000000000003</v>
      </c>
      <c r="E20" s="196">
        <f t="shared" si="2"/>
        <v>1817.25</v>
      </c>
      <c r="F20" s="197">
        <f>+C20*D20*E20</f>
        <v>0</v>
      </c>
      <c r="G20" s="82"/>
      <c r="H20"/>
      <c r="I20"/>
      <c r="J20" s="14"/>
      <c r="K20"/>
      <c r="L20"/>
      <c r="M20"/>
      <c r="W20" s="324"/>
      <c r="X20" s="327"/>
    </row>
    <row r="21" spans="2:24">
      <c r="B21" s="193" t="s">
        <v>178</v>
      </c>
      <c r="C21" s="1020">
        <f>+'INPUT VOL'!G12-Chevron!C22</f>
        <v>56121</v>
      </c>
      <c r="D21" s="195">
        <f>+D19</f>
        <v>6.0399000000000003</v>
      </c>
      <c r="E21" s="196">
        <f>+E19</f>
        <v>1817.25</v>
      </c>
      <c r="F21" s="197">
        <f>+C21*D21*E21+F194</f>
        <v>534793169.10127503</v>
      </c>
      <c r="G21" s="82"/>
      <c r="H21"/>
      <c r="I21"/>
      <c r="J21" s="14"/>
      <c r="K21"/>
      <c r="L21"/>
      <c r="M21"/>
      <c r="O21" s="327"/>
      <c r="W21" s="324"/>
      <c r="X21" s="327"/>
    </row>
    <row r="22" spans="2:24">
      <c r="B22" s="193" t="s">
        <v>179</v>
      </c>
      <c r="C22" s="936">
        <f>+'INPUT VOL'!G13-Chevron!C23</f>
        <v>0</v>
      </c>
      <c r="D22" s="195">
        <f t="shared" si="2"/>
        <v>6.0399000000000003</v>
      </c>
      <c r="E22" s="196">
        <f t="shared" si="2"/>
        <v>1817.25</v>
      </c>
      <c r="F22" s="197">
        <f t="shared" si="0"/>
        <v>0</v>
      </c>
      <c r="G22" s="82"/>
      <c r="H22"/>
      <c r="I22"/>
      <c r="J22" s="14"/>
      <c r="K22"/>
      <c r="L22"/>
      <c r="M22"/>
      <c r="N22" s="327"/>
      <c r="O22" s="327"/>
      <c r="R22" s="85"/>
      <c r="W22" s="324"/>
      <c r="X22" s="327"/>
    </row>
    <row r="23" spans="2:24">
      <c r="B23" s="193" t="s">
        <v>180</v>
      </c>
      <c r="C23" s="936">
        <f>+'INPUT VOL'!G14-Chevron!C24</f>
        <v>0</v>
      </c>
      <c r="D23" s="195">
        <f t="shared" si="2"/>
        <v>6.0399000000000003</v>
      </c>
      <c r="E23" s="196">
        <f t="shared" si="2"/>
        <v>1817.25</v>
      </c>
      <c r="F23" s="197">
        <f t="shared" si="0"/>
        <v>0</v>
      </c>
      <c r="G23" s="82"/>
      <c r="H23"/>
      <c r="I23"/>
      <c r="J23" s="347"/>
      <c r="K23"/>
      <c r="L23"/>
      <c r="M23"/>
      <c r="N23" s="327"/>
      <c r="W23" s="324"/>
      <c r="X23" s="327"/>
    </row>
    <row r="24" spans="2:24">
      <c r="B24" s="193" t="s">
        <v>59</v>
      </c>
      <c r="C24" s="936">
        <f>+'INPUT VOL'!G16-Chevron!C25</f>
        <v>0</v>
      </c>
      <c r="D24" s="195">
        <f>+D19</f>
        <v>6.0399000000000003</v>
      </c>
      <c r="E24" s="196">
        <f>+E23</f>
        <v>1817.25</v>
      </c>
      <c r="F24" s="197">
        <f t="shared" si="0"/>
        <v>0</v>
      </c>
      <c r="G24" s="82"/>
      <c r="H24"/>
      <c r="I24"/>
      <c r="J24" s="14"/>
      <c r="K24"/>
      <c r="L24"/>
      <c r="M24"/>
      <c r="W24" s="324"/>
      <c r="X24" s="327"/>
    </row>
    <row r="25" spans="2:24">
      <c r="B25" s="193" t="s">
        <v>60</v>
      </c>
      <c r="C25" s="936">
        <f>+'INPUT VOL'!G17-Chevron!C26</f>
        <v>13192</v>
      </c>
      <c r="D25" s="195">
        <f>+D24</f>
        <v>6.0399000000000003</v>
      </c>
      <c r="E25" s="196">
        <f>+E24</f>
        <v>1817.25</v>
      </c>
      <c r="F25" s="197">
        <f>+C25*D25*E25</f>
        <v>144795501.16380003</v>
      </c>
      <c r="G25" s="82"/>
      <c r="H25"/>
      <c r="I25"/>
      <c r="J25" s="14"/>
      <c r="K25"/>
      <c r="L25"/>
      <c r="M25"/>
      <c r="W25" s="324"/>
      <c r="X25" s="327"/>
    </row>
    <row r="26" spans="2:24">
      <c r="B26" s="199" t="s">
        <v>13</v>
      </c>
      <c r="C26" s="936">
        <f>+'INPUT VOL'!G39-Chevron!C27</f>
        <v>36523.699999999997</v>
      </c>
      <c r="D26" s="195">
        <f>+D25</f>
        <v>6.0399000000000003</v>
      </c>
      <c r="E26" s="196">
        <f>+E25</f>
        <v>1817.25</v>
      </c>
      <c r="F26" s="197">
        <f>+C26*D26*E26+F196</f>
        <v>400884433.43361747</v>
      </c>
      <c r="G26" s="82"/>
      <c r="H26"/>
      <c r="I26"/>
      <c r="J26" s="14"/>
      <c r="K26"/>
      <c r="W26" s="324"/>
      <c r="X26" s="327"/>
    </row>
    <row r="27" spans="2:24">
      <c r="B27" s="199" t="s">
        <v>351</v>
      </c>
      <c r="C27" s="936">
        <f>+'INPUT VOL'!G40-Chevron!C28</f>
        <v>20455</v>
      </c>
      <c r="D27" s="195">
        <f>+D26</f>
        <v>6.0399000000000003</v>
      </c>
      <c r="E27" s="196">
        <f>+E26</f>
        <v>1817.25</v>
      </c>
      <c r="F27" s="197">
        <f>+C27*D27*E27</f>
        <v>224514249.26512501</v>
      </c>
      <c r="G27" s="82"/>
      <c r="H27"/>
      <c r="I27"/>
      <c r="J27" s="14"/>
      <c r="K27"/>
      <c r="W27" s="324"/>
      <c r="X27" s="327"/>
    </row>
    <row r="28" spans="2:24">
      <c r="B28" s="199" t="s">
        <v>14</v>
      </c>
      <c r="C28" s="936">
        <f>+'INPUT VOL'!G41-Chevron!C29</f>
        <v>9573.5</v>
      </c>
      <c r="D28" s="195">
        <f>+D26</f>
        <v>6.0399000000000003</v>
      </c>
      <c r="E28" s="196">
        <f>+E27</f>
        <v>1817.25</v>
      </c>
      <c r="F28" s="197">
        <f>+C28*D28*E28</f>
        <v>105078815.22071251</v>
      </c>
      <c r="G28" s="82"/>
      <c r="H28"/>
      <c r="I28"/>
      <c r="J28" s="14"/>
      <c r="K28"/>
      <c r="W28" s="324"/>
      <c r="X28" s="327"/>
    </row>
    <row r="29" spans="2:24">
      <c r="B29" s="199" t="s">
        <v>15</v>
      </c>
      <c r="C29" s="1017">
        <f>+'INPUT VOL'!G42-Chevron!C30</f>
        <v>204.221</v>
      </c>
      <c r="D29" s="195">
        <f t="shared" ref="D29:E39" si="3">+D28</f>
        <v>6.0399000000000003</v>
      </c>
      <c r="E29" s="196">
        <f t="shared" si="3"/>
        <v>1817.25</v>
      </c>
      <c r="F29" s="197">
        <f t="shared" ref="F29:F57" si="4">+C29*D29*E29</f>
        <v>2241531.3859287752</v>
      </c>
      <c r="G29" s="82"/>
      <c r="H29"/>
      <c r="I29"/>
      <c r="J29" s="14"/>
      <c r="K29"/>
      <c r="W29" s="324"/>
      <c r="X29" s="327"/>
    </row>
    <row r="30" spans="2:24">
      <c r="B30" s="199" t="s">
        <v>16</v>
      </c>
      <c r="C30" s="1017">
        <f>+'INPUT VOL'!G43-Chevron!C31</f>
        <v>3955.9102000000003</v>
      </c>
      <c r="D30" s="195">
        <f t="shared" si="3"/>
        <v>6.0399000000000003</v>
      </c>
      <c r="E30" s="196">
        <f t="shared" si="3"/>
        <v>1817.25</v>
      </c>
      <c r="F30" s="197">
        <f t="shared" si="4"/>
        <v>43420103.090356909</v>
      </c>
      <c r="G30" s="82"/>
      <c r="H30"/>
      <c r="I30"/>
      <c r="J30" s="14"/>
      <c r="K30"/>
      <c r="W30" s="324"/>
      <c r="X30" s="327"/>
    </row>
    <row r="31" spans="2:24">
      <c r="B31" s="199" t="s">
        <v>17</v>
      </c>
      <c r="C31" s="1017">
        <f>+'INPUT VOL'!G44-Chevron!C32</f>
        <v>2500.462</v>
      </c>
      <c r="D31" s="195">
        <f t="shared" si="3"/>
        <v>6.0399000000000003</v>
      </c>
      <c r="E31" s="196">
        <f t="shared" si="3"/>
        <v>1817.25</v>
      </c>
      <c r="F31" s="197">
        <f t="shared" si="4"/>
        <v>27445091.60332305</v>
      </c>
      <c r="G31" s="82"/>
      <c r="H31"/>
      <c r="I31"/>
      <c r="J31" s="14"/>
      <c r="K31"/>
      <c r="W31" s="324"/>
      <c r="X31" s="327"/>
    </row>
    <row r="32" spans="2:24">
      <c r="B32" s="199" t="s">
        <v>18</v>
      </c>
      <c r="C32" s="1017">
        <f>+'INPUT VOL'!G45-Chevron!C33</f>
        <v>6097.7402000000002</v>
      </c>
      <c r="D32" s="195">
        <f t="shared" si="3"/>
        <v>6.0399000000000003</v>
      </c>
      <c r="E32" s="196">
        <f t="shared" si="3"/>
        <v>1817.25</v>
      </c>
      <c r="F32" s="197">
        <f>+C32*D32*E32</f>
        <v>66928846.894000165</v>
      </c>
      <c r="G32" s="82"/>
      <c r="H32"/>
      <c r="I32"/>
      <c r="J32" s="14"/>
      <c r="K32"/>
      <c r="W32" s="324"/>
      <c r="X32" s="327"/>
    </row>
    <row r="33" spans="2:24">
      <c r="B33" s="581" t="s">
        <v>19</v>
      </c>
      <c r="C33" s="1017">
        <f>+'INPUT VOL'!G46-Chevron!C34</f>
        <v>5001.9202000000023</v>
      </c>
      <c r="D33" s="195">
        <f t="shared" si="3"/>
        <v>6.0399000000000003</v>
      </c>
      <c r="E33" s="196">
        <f t="shared" si="3"/>
        <v>1817.25</v>
      </c>
      <c r="F33" s="197">
        <f t="shared" si="4"/>
        <v>54901117.50608968</v>
      </c>
      <c r="G33" s="82"/>
      <c r="H33"/>
      <c r="I33"/>
      <c r="J33" s="14"/>
      <c r="K33"/>
      <c r="W33" s="324"/>
      <c r="X33" s="327"/>
    </row>
    <row r="34" spans="2:24">
      <c r="B34" s="199" t="s">
        <v>20</v>
      </c>
      <c r="C34" s="1017">
        <f>+'INPUT VOL'!G47-Chevron!C35</f>
        <v>6754.2360000000008</v>
      </c>
      <c r="D34" s="195">
        <f t="shared" si="3"/>
        <v>6.0399000000000003</v>
      </c>
      <c r="E34" s="196">
        <f t="shared" si="3"/>
        <v>1817.25</v>
      </c>
      <c r="F34" s="197">
        <f t="shared" si="4"/>
        <v>74134550.227302909</v>
      </c>
      <c r="G34" s="82"/>
      <c r="H34"/>
      <c r="I34"/>
      <c r="J34" s="14"/>
      <c r="K34"/>
      <c r="W34" s="324"/>
      <c r="X34" s="327"/>
    </row>
    <row r="35" spans="2:24">
      <c r="B35" s="199" t="s">
        <v>21</v>
      </c>
      <c r="C35" s="1017">
        <f>+'INPUT VOL'!G48-Chevron!C36</f>
        <v>321.77260000000001</v>
      </c>
      <c r="D35" s="195">
        <f t="shared" si="3"/>
        <v>6.0399000000000003</v>
      </c>
      <c r="E35" s="196">
        <f t="shared" si="3"/>
        <v>1817.25</v>
      </c>
      <c r="F35" s="197">
        <f t="shared" si="4"/>
        <v>3531778.7202682653</v>
      </c>
      <c r="G35" s="82"/>
      <c r="H35"/>
      <c r="I35"/>
      <c r="J35" s="14"/>
      <c r="K35"/>
      <c r="W35" s="324"/>
      <c r="X35" s="327"/>
    </row>
    <row r="36" spans="2:24">
      <c r="B36" s="199" t="s">
        <v>22</v>
      </c>
      <c r="C36" s="467">
        <f>+'INPUT VOL'!G49-Chevron!C37</f>
        <v>1282.1094000000001</v>
      </c>
      <c r="D36" s="195">
        <f t="shared" si="3"/>
        <v>6.0399000000000003</v>
      </c>
      <c r="E36" s="196">
        <f t="shared" si="3"/>
        <v>1817.25</v>
      </c>
      <c r="F36" s="197">
        <f t="shared" si="4"/>
        <v>14072443.383855285</v>
      </c>
      <c r="G36" s="82"/>
      <c r="H36"/>
      <c r="I36"/>
      <c r="J36" s="14"/>
      <c r="K36"/>
      <c r="W36" s="324"/>
      <c r="X36" s="327"/>
    </row>
    <row r="37" spans="2:24">
      <c r="B37" s="199" t="s">
        <v>23</v>
      </c>
      <c r="C37" s="467">
        <f>+'INPUT VOL'!G50-Chevron!C38</f>
        <v>1026.086</v>
      </c>
      <c r="D37" s="195">
        <f t="shared" si="3"/>
        <v>6.0399000000000003</v>
      </c>
      <c r="E37" s="196">
        <f t="shared" si="3"/>
        <v>1817.25</v>
      </c>
      <c r="F37" s="197">
        <f>+C37*D37*E37</f>
        <v>11262328.426861651</v>
      </c>
      <c r="G37" s="82"/>
      <c r="H37"/>
      <c r="I37"/>
      <c r="J37" s="14"/>
      <c r="K37"/>
      <c r="W37" s="324"/>
      <c r="X37" s="327"/>
    </row>
    <row r="38" spans="2:24">
      <c r="B38" s="199" t="s">
        <v>24</v>
      </c>
      <c r="C38" s="467">
        <f>+'INPUT VOL'!G51-Chevron!C39</f>
        <v>731.21080000000006</v>
      </c>
      <c r="D38" s="195">
        <f t="shared" si="3"/>
        <v>6.0399000000000003</v>
      </c>
      <c r="E38" s="196">
        <f t="shared" si="3"/>
        <v>1817.25</v>
      </c>
      <c r="F38" s="197">
        <f>+C38*D38*E38</f>
        <v>8025775.7915693717</v>
      </c>
      <c r="G38" s="82"/>
      <c r="H38"/>
      <c r="I38"/>
      <c r="J38" s="14"/>
      <c r="K38"/>
      <c r="W38" s="324"/>
      <c r="X38" s="327"/>
    </row>
    <row r="39" spans="2:24">
      <c r="B39" s="199" t="s">
        <v>25</v>
      </c>
      <c r="C39" s="467">
        <f>+'INPUT VOL'!G52</f>
        <v>964.3216000000001</v>
      </c>
      <c r="D39" s="195">
        <f t="shared" si="3"/>
        <v>6.0399000000000003</v>
      </c>
      <c r="E39" s="196">
        <f t="shared" si="3"/>
        <v>1817.25</v>
      </c>
      <c r="F39" s="197">
        <f t="shared" si="4"/>
        <v>10584401.861361241</v>
      </c>
      <c r="G39" s="82"/>
      <c r="H39"/>
      <c r="I39"/>
      <c r="J39" s="14"/>
      <c r="K39"/>
      <c r="W39" s="324"/>
      <c r="X39" s="327"/>
    </row>
    <row r="40" spans="2:24">
      <c r="B40" s="199" t="s">
        <v>190</v>
      </c>
      <c r="C40" s="467">
        <f>+'INPUT VOL'!G53</f>
        <v>6511.1632</v>
      </c>
      <c r="D40" s="195">
        <f t="shared" ref="D40:E48" si="5">+D39</f>
        <v>6.0399000000000003</v>
      </c>
      <c r="E40" s="196">
        <f t="shared" si="5"/>
        <v>1817.25</v>
      </c>
      <c r="F40" s="197">
        <f t="shared" si="4"/>
        <v>71466581.163075492</v>
      </c>
      <c r="G40" s="82"/>
      <c r="H40"/>
      <c r="I40"/>
      <c r="J40" s="14"/>
      <c r="K40"/>
      <c r="W40" s="324"/>
      <c r="X40" s="327"/>
    </row>
    <row r="41" spans="2:24">
      <c r="B41" s="904" t="s">
        <v>479</v>
      </c>
      <c r="C41" s="467">
        <f>+'INPUT VOL'!G156</f>
        <v>0</v>
      </c>
      <c r="D41" s="195">
        <f t="shared" si="5"/>
        <v>6.0399000000000003</v>
      </c>
      <c r="E41" s="196">
        <f t="shared" si="5"/>
        <v>1817.25</v>
      </c>
      <c r="F41" s="197">
        <f t="shared" si="4"/>
        <v>0</v>
      </c>
      <c r="G41" s="82"/>
      <c r="H41"/>
      <c r="I41"/>
      <c r="J41" s="14"/>
      <c r="K41"/>
      <c r="W41" s="324"/>
      <c r="X41" s="327"/>
    </row>
    <row r="42" spans="2:24">
      <c r="B42" s="904" t="s">
        <v>488</v>
      </c>
      <c r="C42" s="467">
        <f>+'INPUT VOL'!G157</f>
        <v>173.5222</v>
      </c>
      <c r="D42" s="195">
        <f>+D41</f>
        <v>6.0399000000000003</v>
      </c>
      <c r="E42" s="196">
        <f>+E41</f>
        <v>1817.25</v>
      </c>
      <c r="F42" s="197">
        <f t="shared" si="4"/>
        <v>1904581.103096205</v>
      </c>
      <c r="G42" s="82"/>
      <c r="H42"/>
      <c r="I42"/>
      <c r="J42" s="14"/>
      <c r="K42"/>
      <c r="W42" s="324"/>
      <c r="X42" s="327"/>
    </row>
    <row r="43" spans="2:24">
      <c r="B43" s="904" t="s">
        <v>489</v>
      </c>
      <c r="C43" s="467">
        <f>+'INPUT VOL'!G158</f>
        <v>0</v>
      </c>
      <c r="D43" s="195">
        <f>+D42</f>
        <v>6.0399000000000003</v>
      </c>
      <c r="E43" s="196">
        <f>+E42</f>
        <v>1817.25</v>
      </c>
      <c r="F43" s="197">
        <f t="shared" si="4"/>
        <v>0</v>
      </c>
      <c r="G43" s="82"/>
      <c r="H43"/>
      <c r="I43"/>
      <c r="J43" s="14"/>
      <c r="K43"/>
      <c r="W43" s="324"/>
      <c r="X43" s="327"/>
    </row>
    <row r="44" spans="2:24">
      <c r="B44" s="1145" t="s">
        <v>580</v>
      </c>
      <c r="C44" s="467">
        <f>+'INPUT VOL'!G168</f>
        <v>88.971557520623804</v>
      </c>
      <c r="D44" s="195">
        <f t="shared" ref="D44:D46" si="6">+D43</f>
        <v>6.0399000000000003</v>
      </c>
      <c r="E44" s="196">
        <f t="shared" ref="E44:E46" si="7">+E43</f>
        <v>1817.25</v>
      </c>
      <c r="F44" s="1146">
        <f t="shared" ref="F44:F46" si="8">+C44*D44*E44</f>
        <v>976552.55158600537</v>
      </c>
      <c r="G44" s="82"/>
      <c r="H44"/>
      <c r="I44"/>
      <c r="J44" s="14"/>
      <c r="K44"/>
      <c r="W44" s="324"/>
      <c r="X44" s="327"/>
    </row>
    <row r="45" spans="2:24">
      <c r="B45" s="1145" t="s">
        <v>581</v>
      </c>
      <c r="C45" s="467">
        <f>+'INPUT VOL'!G169</f>
        <v>130.09759577353375</v>
      </c>
      <c r="D45" s="195">
        <f t="shared" si="6"/>
        <v>6.0399000000000003</v>
      </c>
      <c r="E45" s="196">
        <f t="shared" si="7"/>
        <v>1817.25</v>
      </c>
      <c r="F45" s="1146">
        <f t="shared" si="8"/>
        <v>1427952.2877679116</v>
      </c>
      <c r="G45" s="82"/>
      <c r="H45"/>
      <c r="I45"/>
      <c r="J45" s="14"/>
      <c r="K45"/>
      <c r="W45" s="324"/>
      <c r="X45" s="327"/>
    </row>
    <row r="46" spans="2:24">
      <c r="B46" s="1145" t="s">
        <v>582</v>
      </c>
      <c r="C46" s="467">
        <f>+'INPUT VOL'!G170</f>
        <v>114.09045513617359</v>
      </c>
      <c r="D46" s="195">
        <f t="shared" si="6"/>
        <v>6.0399000000000003</v>
      </c>
      <c r="E46" s="196">
        <f t="shared" si="7"/>
        <v>1817.25</v>
      </c>
      <c r="F46" s="1146">
        <f t="shared" si="8"/>
        <v>1252257.7796731575</v>
      </c>
      <c r="G46" s="82"/>
      <c r="H46"/>
      <c r="I46"/>
      <c r="J46" s="14"/>
      <c r="K46"/>
      <c r="W46" s="324"/>
      <c r="X46" s="327"/>
    </row>
    <row r="47" spans="2:24">
      <c r="B47" s="199" t="s">
        <v>215</v>
      </c>
      <c r="C47" s="467">
        <f>+'INPUT VOL'!G54</f>
        <v>514.03920000000005</v>
      </c>
      <c r="D47" s="195">
        <f>+D46</f>
        <v>6.0399000000000003</v>
      </c>
      <c r="E47" s="196">
        <f>+E40</f>
        <v>1817.25</v>
      </c>
      <c r="F47" s="197">
        <f t="shared" si="4"/>
        <v>5642098.5128743807</v>
      </c>
      <c r="G47" s="82"/>
      <c r="H47"/>
      <c r="I47"/>
      <c r="J47" s="14"/>
      <c r="K47"/>
      <c r="L47"/>
      <c r="M47"/>
      <c r="N47"/>
      <c r="W47" s="324"/>
      <c r="X47" s="327"/>
    </row>
    <row r="48" spans="2:24">
      <c r="B48" s="202" t="s">
        <v>350</v>
      </c>
      <c r="C48" s="467">
        <f>+'INPUT VOL'!G55</f>
        <v>1541.1214000000002</v>
      </c>
      <c r="D48" s="195">
        <f t="shared" si="5"/>
        <v>6.0399000000000003</v>
      </c>
      <c r="E48" s="196">
        <f t="shared" si="5"/>
        <v>1817.25</v>
      </c>
      <c r="F48" s="197">
        <f>+C48*D48*E48</f>
        <v>16915361.239179589</v>
      </c>
      <c r="G48" s="82"/>
      <c r="H48"/>
      <c r="I48"/>
      <c r="J48" s="14"/>
      <c r="K48"/>
      <c r="L48"/>
      <c r="M48"/>
      <c r="N48"/>
      <c r="W48" s="324"/>
      <c r="X48" s="327"/>
    </row>
    <row r="49" spans="2:24">
      <c r="B49" s="199" t="s">
        <v>26</v>
      </c>
      <c r="C49" s="467">
        <f>+'INPUT VOL'!G56</f>
        <v>2204.5906</v>
      </c>
      <c r="D49" s="195">
        <f>+D39</f>
        <v>6.0399000000000003</v>
      </c>
      <c r="E49" s="196">
        <f>+E48</f>
        <v>1817.25</v>
      </c>
      <c r="F49" s="197">
        <f t="shared" si="4"/>
        <v>24197604.668587215</v>
      </c>
      <c r="G49" s="82"/>
      <c r="H49"/>
      <c r="I49"/>
      <c r="J49" s="14"/>
      <c r="K49"/>
      <c r="L49"/>
      <c r="M49"/>
      <c r="N49"/>
      <c r="W49" s="324"/>
      <c r="X49" s="327"/>
    </row>
    <row r="50" spans="2:24">
      <c r="B50" s="199" t="s">
        <v>27</v>
      </c>
      <c r="C50" s="467">
        <f>+'INPUT VOL'!G57</f>
        <v>2943.7710000000002</v>
      </c>
      <c r="D50" s="195">
        <f t="shared" ref="D50:E56" si="9">+D49</f>
        <v>6.0399000000000003</v>
      </c>
      <c r="E50" s="196">
        <f t="shared" si="9"/>
        <v>1817.25</v>
      </c>
      <c r="F50" s="197">
        <f t="shared" si="4"/>
        <v>32310854.855705027</v>
      </c>
      <c r="G50" s="82"/>
      <c r="H50"/>
      <c r="I50"/>
      <c r="J50" s="14"/>
      <c r="K50"/>
      <c r="L50"/>
      <c r="M50"/>
      <c r="N50"/>
      <c r="W50" s="324"/>
      <c r="X50" s="327"/>
    </row>
    <row r="51" spans="2:24">
      <c r="B51" s="199" t="s">
        <v>28</v>
      </c>
      <c r="C51" s="467">
        <f>+'INPUT VOL'!G58</f>
        <v>6456.0901721706241</v>
      </c>
      <c r="D51" s="195">
        <f t="shared" si="9"/>
        <v>6.0399000000000003</v>
      </c>
      <c r="E51" s="196">
        <f t="shared" si="9"/>
        <v>1817.25</v>
      </c>
      <c r="F51" s="197">
        <f t="shared" si="4"/>
        <v>70862099.153890952</v>
      </c>
      <c r="G51" s="82"/>
      <c r="H51"/>
      <c r="I51"/>
      <c r="J51" s="14"/>
      <c r="K51"/>
      <c r="L51"/>
      <c r="M51"/>
      <c r="N51"/>
      <c r="W51" s="324"/>
      <c r="X51" s="327"/>
    </row>
    <row r="52" spans="2:24">
      <c r="B52" s="1111" t="s">
        <v>575</v>
      </c>
      <c r="C52" s="1061">
        <f>+'INPUT VOL'!G167</f>
        <v>383.81902782937652</v>
      </c>
      <c r="D52" s="1112">
        <f>+D51</f>
        <v>6.0399000000000003</v>
      </c>
      <c r="E52" s="1113">
        <f>+E51</f>
        <v>1817.25</v>
      </c>
      <c r="F52" s="1114">
        <f t="shared" si="4"/>
        <v>4212800.825557692</v>
      </c>
      <c r="G52" s="82"/>
      <c r="H52"/>
      <c r="I52"/>
      <c r="J52" s="14"/>
      <c r="K52"/>
      <c r="L52"/>
      <c r="M52"/>
      <c r="N52"/>
      <c r="W52" s="324"/>
      <c r="X52" s="327"/>
    </row>
    <row r="53" spans="2:24">
      <c r="B53" s="199" t="s">
        <v>29</v>
      </c>
      <c r="C53" s="467">
        <f>+'INPUT VOL'!G59</f>
        <v>3296.4258000000004</v>
      </c>
      <c r="D53" s="195">
        <f>+D52</f>
        <v>6.0399000000000003</v>
      </c>
      <c r="E53" s="196">
        <f>+E52</f>
        <v>1817.25</v>
      </c>
      <c r="F53" s="197">
        <f t="shared" si="4"/>
        <v>36181596.858723506</v>
      </c>
      <c r="G53" s="82"/>
      <c r="H53"/>
      <c r="I53"/>
      <c r="J53" s="14"/>
      <c r="K53"/>
      <c r="L53"/>
      <c r="M53"/>
      <c r="N53"/>
      <c r="W53" s="324"/>
      <c r="X53" s="327"/>
    </row>
    <row r="54" spans="2:24">
      <c r="B54" s="199" t="s">
        <v>30</v>
      </c>
      <c r="C54" s="467">
        <f>+'INPUT VOL'!G60</f>
        <v>3794.5258000000003</v>
      </c>
      <c r="D54" s="195">
        <f t="shared" si="9"/>
        <v>6.0399000000000003</v>
      </c>
      <c r="E54" s="196">
        <f t="shared" si="9"/>
        <v>1817.25</v>
      </c>
      <c r="F54" s="197">
        <f t="shared" si="4"/>
        <v>41648746.580500998</v>
      </c>
      <c r="G54" s="82"/>
      <c r="H54"/>
      <c r="I54"/>
      <c r="J54" s="14"/>
      <c r="K54"/>
      <c r="L54"/>
      <c r="M54"/>
      <c r="N54"/>
      <c r="W54" s="324"/>
      <c r="X54" s="327"/>
    </row>
    <row r="55" spans="2:24">
      <c r="B55" s="199" t="s">
        <v>31</v>
      </c>
      <c r="C55" s="467">
        <f>+'INPUT VOL'!G61</f>
        <v>673.4312000000001</v>
      </c>
      <c r="D55" s="195">
        <f t="shared" si="9"/>
        <v>6.0399000000000003</v>
      </c>
      <c r="E55" s="196">
        <f t="shared" si="9"/>
        <v>1817.25</v>
      </c>
      <c r="F55" s="197">
        <f t="shared" si="4"/>
        <v>7391586.4238431817</v>
      </c>
      <c r="G55" s="157"/>
      <c r="H55"/>
      <c r="I55"/>
      <c r="J55" s="14"/>
      <c r="K55"/>
      <c r="L55"/>
      <c r="M55"/>
      <c r="N55"/>
      <c r="W55" s="324"/>
      <c r="X55" s="327"/>
    </row>
    <row r="56" spans="2:24">
      <c r="B56" s="199" t="s">
        <v>32</v>
      </c>
      <c r="C56" s="467">
        <f>+'INPUT VOL'!G62</f>
        <v>0.99620000000000009</v>
      </c>
      <c r="D56" s="195">
        <f t="shared" si="9"/>
        <v>6.0399000000000003</v>
      </c>
      <c r="E56" s="196">
        <f t="shared" si="9"/>
        <v>1817.25</v>
      </c>
      <c r="F56" s="197">
        <f t="shared" si="4"/>
        <v>10934.299443555001</v>
      </c>
      <c r="G56" s="157"/>
      <c r="H56"/>
      <c r="I56"/>
      <c r="J56" s="14"/>
      <c r="K56"/>
      <c r="L56"/>
      <c r="M56"/>
      <c r="N56"/>
      <c r="W56" s="324"/>
      <c r="X56" s="327"/>
    </row>
    <row r="57" spans="2:24">
      <c r="B57" s="199" t="s">
        <v>33</v>
      </c>
      <c r="C57" s="467">
        <f>+'INPUT VOL'!G63</f>
        <v>1584.9542000000001</v>
      </c>
      <c r="D57" s="195">
        <f t="shared" ref="D57:E59" si="10">+D56</f>
        <v>6.0399000000000003</v>
      </c>
      <c r="E57" s="196">
        <f t="shared" si="10"/>
        <v>1817.25</v>
      </c>
      <c r="F57" s="197">
        <f t="shared" si="4"/>
        <v>17396470.414696008</v>
      </c>
      <c r="G57" s="157"/>
      <c r="H57"/>
      <c r="I57"/>
      <c r="J57" s="14"/>
      <c r="K57"/>
      <c r="L57"/>
      <c r="M57"/>
      <c r="N57"/>
      <c r="W57" s="324"/>
      <c r="X57" s="327"/>
    </row>
    <row r="58" spans="2:24">
      <c r="B58" s="199" t="s">
        <v>52</v>
      </c>
      <c r="C58" s="467">
        <f>+'INPUT VOL'!G65</f>
        <v>1781.285296</v>
      </c>
      <c r="D58" s="195">
        <f t="shared" si="10"/>
        <v>6.0399000000000003</v>
      </c>
      <c r="E58" s="196">
        <f t="shared" si="10"/>
        <v>1817.25</v>
      </c>
      <c r="F58" s="197">
        <f>+C58*D58*E58</f>
        <v>19551402.149031825</v>
      </c>
      <c r="G58" s="157"/>
      <c r="H58"/>
      <c r="I58"/>
      <c r="J58" s="14"/>
      <c r="K58"/>
      <c r="L58"/>
      <c r="M58"/>
      <c r="N58"/>
      <c r="W58" s="324"/>
      <c r="X58" s="327"/>
    </row>
    <row r="59" spans="2:24">
      <c r="B59" s="199" t="s">
        <v>342</v>
      </c>
      <c r="C59" s="467">
        <f>+'INPUT VOL'!G66</f>
        <v>380.46870400000006</v>
      </c>
      <c r="D59" s="195">
        <f t="shared" si="10"/>
        <v>6.0399000000000003</v>
      </c>
      <c r="E59" s="196">
        <f t="shared" si="10"/>
        <v>1817.25</v>
      </c>
      <c r="F59" s="197">
        <f>+C59*D59*E59</f>
        <v>4176027.6434825263</v>
      </c>
      <c r="G59" s="157"/>
      <c r="H59"/>
      <c r="I59"/>
      <c r="J59" s="14"/>
      <c r="K59"/>
      <c r="L59"/>
      <c r="M59"/>
      <c r="N59"/>
      <c r="W59" s="324"/>
      <c r="X59" s="327"/>
    </row>
    <row r="60" spans="2:24">
      <c r="B60" s="199" t="s">
        <v>54</v>
      </c>
      <c r="C60" s="467">
        <f>+'INPUT VOL'!G67</f>
        <v>1256.3731308720005</v>
      </c>
      <c r="D60" s="195">
        <f>+D58</f>
        <v>6.0399000000000003</v>
      </c>
      <c r="E60" s="196">
        <f t="shared" ref="E60:E65" si="11">+E59</f>
        <v>1817.25</v>
      </c>
      <c r="F60" s="197">
        <f>+C60*D60*E60</f>
        <v>13789961.880938737</v>
      </c>
      <c r="G60" s="157"/>
      <c r="H60"/>
      <c r="I60"/>
      <c r="J60" s="14"/>
      <c r="K60"/>
      <c r="L60"/>
      <c r="M60"/>
      <c r="N60"/>
      <c r="W60" s="324"/>
      <c r="X60" s="327"/>
    </row>
    <row r="61" spans="2:24">
      <c r="B61" s="581" t="s">
        <v>150</v>
      </c>
      <c r="C61" s="628">
        <f>+'INPUT VOL'!G68</f>
        <v>435.43866553846146</v>
      </c>
      <c r="D61" s="195">
        <f>+D60</f>
        <v>6.0399000000000003</v>
      </c>
      <c r="E61" s="196">
        <f t="shared" si="11"/>
        <v>1817.25</v>
      </c>
      <c r="F61" s="197">
        <f>+C61*D61*E61</f>
        <v>4779378.3962051105</v>
      </c>
      <c r="G61" s="157"/>
      <c r="H61"/>
      <c r="I61"/>
      <c r="J61" s="14"/>
      <c r="K61"/>
      <c r="L61"/>
      <c r="M61"/>
      <c r="N61"/>
      <c r="W61" s="324"/>
      <c r="X61" s="327"/>
    </row>
    <row r="62" spans="2:24">
      <c r="B62" s="202" t="s">
        <v>61</v>
      </c>
      <c r="C62" s="936">
        <f>+'INPUT VOL'!G73-Chevron!C57</f>
        <v>0</v>
      </c>
      <c r="D62" s="195">
        <f>+D60</f>
        <v>6.0399000000000003</v>
      </c>
      <c r="E62" s="196">
        <f t="shared" si="11"/>
        <v>1817.25</v>
      </c>
      <c r="F62" s="197">
        <f t="shared" ref="F62:F80" si="12">+C62*D62*E62</f>
        <v>0</v>
      </c>
      <c r="G62" s="157"/>
      <c r="H62"/>
      <c r="I62"/>
      <c r="J62" s="14"/>
      <c r="K62"/>
      <c r="L62"/>
      <c r="M62"/>
      <c r="N62"/>
      <c r="W62" s="324"/>
      <c r="X62" s="327"/>
    </row>
    <row r="63" spans="2:24">
      <c r="B63" s="202" t="s">
        <v>217</v>
      </c>
      <c r="C63" s="936">
        <f>+'INPUT VOL'!G74-Chevron!C58</f>
        <v>0</v>
      </c>
      <c r="D63" s="195">
        <f>+D62</f>
        <v>6.0399000000000003</v>
      </c>
      <c r="E63" s="196">
        <f t="shared" si="11"/>
        <v>1817.25</v>
      </c>
      <c r="F63" s="197">
        <f>+C63*D63*E63</f>
        <v>0</v>
      </c>
      <c r="G63" s="157"/>
      <c r="H63"/>
      <c r="I63"/>
      <c r="J63" s="14"/>
      <c r="K63"/>
      <c r="L63"/>
      <c r="M63"/>
      <c r="N63"/>
      <c r="W63" s="324"/>
      <c r="X63" s="327"/>
    </row>
    <row r="64" spans="2:24">
      <c r="B64" s="198" t="s">
        <v>34</v>
      </c>
      <c r="C64" s="467">
        <f>+'INPUT VOL'!G75</f>
        <v>5994.1354000000001</v>
      </c>
      <c r="D64" s="195">
        <f>+D63</f>
        <v>6.0399000000000003</v>
      </c>
      <c r="E64" s="196">
        <f t="shared" si="11"/>
        <v>1817.25</v>
      </c>
      <c r="F64" s="197">
        <f t="shared" si="12"/>
        <v>65791679.751870438</v>
      </c>
      <c r="G64" s="157"/>
      <c r="H64"/>
      <c r="I64"/>
      <c r="J64" s="14"/>
      <c r="K64"/>
      <c r="L64"/>
      <c r="M64"/>
      <c r="N64"/>
      <c r="W64" s="324"/>
      <c r="X64" s="327"/>
    </row>
    <row r="65" spans="2:24">
      <c r="B65" s="885" t="s">
        <v>468</v>
      </c>
      <c r="C65" s="467">
        <f>+'INPUT VOL'!G155</f>
        <v>2490.5</v>
      </c>
      <c r="D65" s="195">
        <f>+D64</f>
        <v>6.0399000000000003</v>
      </c>
      <c r="E65" s="196">
        <f t="shared" si="11"/>
        <v>1817.25</v>
      </c>
      <c r="F65" s="197">
        <f t="shared" si="12"/>
        <v>27335748.608887501</v>
      </c>
      <c r="G65" s="157"/>
      <c r="H65"/>
      <c r="I65"/>
      <c r="J65" s="14"/>
      <c r="K65"/>
      <c r="L65"/>
      <c r="M65"/>
      <c r="N65"/>
      <c r="W65" s="324"/>
      <c r="X65" s="327"/>
    </row>
    <row r="66" spans="2:24">
      <c r="B66" s="198" t="s">
        <v>35</v>
      </c>
      <c r="C66" s="467">
        <f>+'INPUT VOL'!G76</f>
        <v>4143.1958000000004</v>
      </c>
      <c r="D66" s="195">
        <f>+D64</f>
        <v>6.0399000000000003</v>
      </c>
      <c r="E66" s="196">
        <f>+E64</f>
        <v>1817.25</v>
      </c>
      <c r="F66" s="197">
        <f t="shared" si="12"/>
        <v>45475751.38574525</v>
      </c>
      <c r="G66" s="157"/>
      <c r="H66"/>
      <c r="I66"/>
      <c r="J66" s="14"/>
      <c r="K66"/>
      <c r="L66"/>
      <c r="M66"/>
      <c r="N66"/>
      <c r="W66" s="324"/>
      <c r="X66" s="327"/>
    </row>
    <row r="67" spans="2:24">
      <c r="B67" s="198" t="s">
        <v>36</v>
      </c>
      <c r="C67" s="467">
        <f>+'INPUT VOL'!G77</f>
        <v>845.77380000000005</v>
      </c>
      <c r="D67" s="195">
        <f t="shared" ref="D67:E80" si="13">+D66</f>
        <v>6.0399000000000003</v>
      </c>
      <c r="E67" s="196">
        <f t="shared" si="13"/>
        <v>1817.25</v>
      </c>
      <c r="F67" s="197">
        <f t="shared" si="12"/>
        <v>9283220.2275781967</v>
      </c>
      <c r="G67" s="157"/>
      <c r="H67"/>
      <c r="I67"/>
      <c r="J67" s="14"/>
      <c r="K67"/>
      <c r="L67"/>
      <c r="M67"/>
      <c r="N67"/>
      <c r="W67" s="324"/>
      <c r="X67" s="327"/>
    </row>
    <row r="68" spans="2:24">
      <c r="B68" s="198" t="s">
        <v>39</v>
      </c>
      <c r="C68" s="467">
        <f>+'INPUT VOL'!G78</f>
        <v>3098.2517340000004</v>
      </c>
      <c r="D68" s="195">
        <f t="shared" si="13"/>
        <v>6.0399000000000003</v>
      </c>
      <c r="E68" s="196">
        <f t="shared" si="13"/>
        <v>1817.25</v>
      </c>
      <c r="F68" s="197">
        <f t="shared" si="12"/>
        <v>34006436.670417108</v>
      </c>
      <c r="G68" s="157"/>
      <c r="H68"/>
      <c r="I68"/>
      <c r="J68" s="14"/>
      <c r="K68"/>
      <c r="L68"/>
      <c r="M68"/>
      <c r="N68"/>
      <c r="W68" s="324"/>
      <c r="X68" s="327"/>
    </row>
    <row r="69" spans="2:24">
      <c r="B69" s="198" t="s">
        <v>40</v>
      </c>
      <c r="C69" s="467">
        <f>+'INPUT VOL'!G79</f>
        <v>1850.3219560000002</v>
      </c>
      <c r="D69" s="195">
        <f t="shared" si="13"/>
        <v>6.0399000000000003</v>
      </c>
      <c r="E69" s="196">
        <f t="shared" si="13"/>
        <v>1817.25</v>
      </c>
      <c r="F69" s="197">
        <f t="shared" si="12"/>
        <v>20309149.100470189</v>
      </c>
      <c r="G69" s="157"/>
      <c r="H69"/>
      <c r="I69"/>
      <c r="J69" s="14"/>
      <c r="K69"/>
      <c r="L69"/>
      <c r="M69"/>
      <c r="N69"/>
      <c r="W69" s="324"/>
      <c r="X69" s="327"/>
    </row>
    <row r="70" spans="2:24">
      <c r="B70" s="198" t="s">
        <v>41</v>
      </c>
      <c r="C70" s="467">
        <f>+'INPUT VOL'!G80</f>
        <v>5597.1434299883522</v>
      </c>
      <c r="D70" s="195">
        <f t="shared" si="13"/>
        <v>6.0399000000000003</v>
      </c>
      <c r="E70" s="196">
        <f t="shared" si="13"/>
        <v>1817.25</v>
      </c>
      <c r="F70" s="197">
        <f t="shared" si="12"/>
        <v>61434292.603914037</v>
      </c>
      <c r="G70" s="157"/>
      <c r="H70"/>
      <c r="I70"/>
      <c r="J70" s="14"/>
      <c r="K70"/>
      <c r="L70"/>
      <c r="M70"/>
      <c r="N70"/>
      <c r="W70" s="324"/>
      <c r="X70" s="327"/>
    </row>
    <row r="71" spans="2:24">
      <c r="B71" s="198" t="s">
        <v>42</v>
      </c>
      <c r="C71" s="467">
        <f>+'INPUT VOL'!G81</f>
        <v>1178.4647520000001</v>
      </c>
      <c r="D71" s="195">
        <f t="shared" si="13"/>
        <v>6.0399000000000003</v>
      </c>
      <c r="E71" s="196">
        <f t="shared" si="13"/>
        <v>1817.25</v>
      </c>
      <c r="F71" s="197">
        <f t="shared" si="12"/>
        <v>12934838.869747823</v>
      </c>
      <c r="G71" s="157"/>
      <c r="H71"/>
      <c r="I71"/>
      <c r="J71" s="14"/>
      <c r="K71"/>
      <c r="L71"/>
      <c r="M71"/>
      <c r="N71"/>
      <c r="W71" s="324"/>
      <c r="X71" s="327"/>
    </row>
    <row r="72" spans="2:24">
      <c r="B72" s="198" t="s">
        <v>43</v>
      </c>
      <c r="C72" s="467">
        <f>+'INPUT VOL'!G82</f>
        <v>1736.8149280000002</v>
      </c>
      <c r="D72" s="195">
        <f t="shared" si="13"/>
        <v>6.0399000000000003</v>
      </c>
      <c r="E72" s="196">
        <f t="shared" si="13"/>
        <v>1817.25</v>
      </c>
      <c r="F72" s="197">
        <f t="shared" si="12"/>
        <v>19063295.021871533</v>
      </c>
      <c r="G72" s="157"/>
      <c r="H72"/>
      <c r="I72"/>
      <c r="J72" s="14"/>
      <c r="K72"/>
      <c r="L72"/>
      <c r="M72"/>
      <c r="N72"/>
      <c r="W72" s="324"/>
      <c r="X72" s="327"/>
    </row>
    <row r="73" spans="2:24">
      <c r="B73" s="198" t="s">
        <v>44</v>
      </c>
      <c r="C73" s="467">
        <f>+'INPUT VOL'!G83</f>
        <v>1226.6409840000001</v>
      </c>
      <c r="D73" s="195">
        <f t="shared" si="13"/>
        <v>6.0399000000000003</v>
      </c>
      <c r="E73" s="196">
        <f t="shared" si="13"/>
        <v>1817.25</v>
      </c>
      <c r="F73" s="197">
        <f t="shared" si="12"/>
        <v>13463621.590838145</v>
      </c>
      <c r="G73" s="157"/>
      <c r="H73"/>
      <c r="I73"/>
      <c r="J73"/>
      <c r="K73"/>
      <c r="L73"/>
      <c r="M73"/>
      <c r="N73"/>
      <c r="W73" s="324"/>
    </row>
    <row r="74" spans="2:24">
      <c r="B74" s="198" t="s">
        <v>45</v>
      </c>
      <c r="C74" s="467">
        <f>+'INPUT VOL'!G84</f>
        <v>228.84945488000005</v>
      </c>
      <c r="D74" s="195">
        <f t="shared" si="13"/>
        <v>6.0399000000000003</v>
      </c>
      <c r="E74" s="196">
        <f t="shared" si="13"/>
        <v>1817.25</v>
      </c>
      <c r="F74" s="197">
        <f t="shared" si="12"/>
        <v>2511853.5104921195</v>
      </c>
      <c r="G74" s="82"/>
      <c r="H74"/>
      <c r="I74"/>
      <c r="J74" s="14"/>
      <c r="K74"/>
      <c r="L74"/>
      <c r="M74"/>
      <c r="N74"/>
    </row>
    <row r="75" spans="2:24">
      <c r="B75" s="198" t="s">
        <v>46</v>
      </c>
      <c r="C75" s="658">
        <f>+'INPUT VOL'!G85</f>
        <v>5738.1518480000004</v>
      </c>
      <c r="D75" s="482">
        <f t="shared" si="13"/>
        <v>6.0399000000000003</v>
      </c>
      <c r="E75" s="196">
        <f t="shared" si="13"/>
        <v>1817.25</v>
      </c>
      <c r="F75" s="197">
        <f t="shared" si="12"/>
        <v>62982002.166854553</v>
      </c>
      <c r="G75" s="82"/>
      <c r="H75"/>
      <c r="I75"/>
      <c r="J75" s="14"/>
      <c r="K75"/>
      <c r="L75"/>
      <c r="M75"/>
      <c r="N75"/>
    </row>
    <row r="76" spans="2:24">
      <c r="B76" s="198" t="s">
        <v>47</v>
      </c>
      <c r="C76" s="467">
        <f>+'INPUT VOL'!G86</f>
        <v>4482.9000000000005</v>
      </c>
      <c r="D76" s="195">
        <f t="shared" si="13"/>
        <v>6.0399000000000003</v>
      </c>
      <c r="E76" s="196">
        <f t="shared" si="13"/>
        <v>1817.25</v>
      </c>
      <c r="F76" s="197">
        <f t="shared" si="12"/>
        <v>49204347.495997503</v>
      </c>
      <c r="G76" s="82"/>
      <c r="H76"/>
      <c r="I76"/>
      <c r="J76" s="14"/>
      <c r="K76"/>
      <c r="L76"/>
      <c r="M76"/>
      <c r="N76"/>
    </row>
    <row r="77" spans="2:24">
      <c r="B77" s="198" t="s">
        <v>48</v>
      </c>
      <c r="C77" s="467">
        <f>+'INPUT VOL'!G87</f>
        <v>549.70316000000003</v>
      </c>
      <c r="D77" s="195">
        <f t="shared" si="13"/>
        <v>6.0399000000000003</v>
      </c>
      <c r="E77" s="196">
        <f t="shared" si="13"/>
        <v>1817.25</v>
      </c>
      <c r="F77" s="197">
        <f t="shared" si="12"/>
        <v>6033546.4329536492</v>
      </c>
      <c r="G77" s="82"/>
      <c r="H77"/>
      <c r="I77"/>
      <c r="J77" s="14"/>
      <c r="K77"/>
      <c r="L77"/>
      <c r="M77"/>
      <c r="N77"/>
    </row>
    <row r="78" spans="2:24">
      <c r="B78" s="198" t="s">
        <v>49</v>
      </c>
      <c r="C78" s="467">
        <f>+'INPUT VOL'!G88</f>
        <v>1636.7566000000002</v>
      </c>
      <c r="D78" s="195">
        <f t="shared" si="13"/>
        <v>6.0399000000000003</v>
      </c>
      <c r="E78" s="196">
        <f t="shared" si="13"/>
        <v>1817.25</v>
      </c>
      <c r="F78" s="197">
        <f t="shared" si="12"/>
        <v>17965053.985760868</v>
      </c>
      <c r="G78" s="82"/>
      <c r="H78" s="325"/>
      <c r="I78"/>
      <c r="J78" s="14"/>
      <c r="K78" s="453"/>
    </row>
    <row r="79" spans="2:24">
      <c r="B79" s="198" t="s">
        <v>50</v>
      </c>
      <c r="C79" s="467">
        <f>+'INPUT VOL'!G89</f>
        <v>2789.2803040000003</v>
      </c>
      <c r="D79" s="195">
        <f t="shared" si="13"/>
        <v>6.0399000000000003</v>
      </c>
      <c r="E79" s="196">
        <f t="shared" si="13"/>
        <v>1817.25</v>
      </c>
      <c r="F79" s="197">
        <f t="shared" si="12"/>
        <v>30615163.69799852</v>
      </c>
      <c r="G79" s="82"/>
      <c r="H79"/>
      <c r="I79"/>
      <c r="J79" s="14"/>
      <c r="K79" s="453"/>
      <c r="W79" s="324"/>
      <c r="X79" s="327"/>
    </row>
    <row r="80" spans="2:24">
      <c r="B80" s="454" t="s">
        <v>53</v>
      </c>
      <c r="C80" s="582">
        <f>+'INPUT VOL'!G90</f>
        <v>125.99937600000001</v>
      </c>
      <c r="D80" s="195">
        <f t="shared" si="13"/>
        <v>6.0399000000000003</v>
      </c>
      <c r="E80" s="196">
        <f t="shared" si="13"/>
        <v>1817.25</v>
      </c>
      <c r="F80" s="583">
        <f t="shared" si="12"/>
        <v>1382970.1936208366</v>
      </c>
      <c r="G80" s="82"/>
      <c r="H80"/>
      <c r="I80"/>
      <c r="J80" s="14"/>
      <c r="K80" s="453"/>
    </row>
    <row r="81" spans="2:11">
      <c r="B81" s="990" t="s">
        <v>505</v>
      </c>
      <c r="C81" s="582">
        <f>+'INPUT VOL'!G163</f>
        <v>0</v>
      </c>
      <c r="D81" s="195">
        <f t="shared" ref="D81:E83" si="14">+D80</f>
        <v>6.0399000000000003</v>
      </c>
      <c r="E81" s="196">
        <f t="shared" si="14"/>
        <v>1817.25</v>
      </c>
      <c r="F81" s="583">
        <f>+C81*D81*E81</f>
        <v>0</v>
      </c>
      <c r="G81" s="82"/>
      <c r="H81"/>
      <c r="I81"/>
      <c r="J81" s="14"/>
      <c r="K81" s="453"/>
    </row>
    <row r="82" spans="2:11">
      <c r="B82" s="990" t="s">
        <v>506</v>
      </c>
      <c r="C82" s="582">
        <f>+'INPUT VOL'!G164</f>
        <v>0</v>
      </c>
      <c r="D82" s="195">
        <f t="shared" si="14"/>
        <v>6.0399000000000003</v>
      </c>
      <c r="E82" s="196">
        <f t="shared" si="14"/>
        <v>1817.25</v>
      </c>
      <c r="F82" s="583">
        <f>+C82*D82*E82</f>
        <v>0</v>
      </c>
      <c r="G82" s="82"/>
      <c r="H82"/>
      <c r="I82"/>
      <c r="J82" s="14"/>
      <c r="K82" s="453"/>
    </row>
    <row r="83" spans="2:11">
      <c r="B83" s="990" t="s">
        <v>507</v>
      </c>
      <c r="C83" s="582">
        <f>+'INPUT VOL'!G165</f>
        <v>2589.8266293430056</v>
      </c>
      <c r="D83" s="195">
        <f t="shared" si="14"/>
        <v>6.0399000000000003</v>
      </c>
      <c r="E83" s="196">
        <f t="shared" si="14"/>
        <v>1817.25</v>
      </c>
      <c r="F83" s="583">
        <f>+C83*D83*E83</f>
        <v>28425958.514484189</v>
      </c>
      <c r="G83" s="82"/>
      <c r="H83"/>
      <c r="I83"/>
      <c r="J83" s="14"/>
      <c r="K83" s="453"/>
    </row>
    <row r="84" spans="2:11">
      <c r="B84" s="681"/>
      <c r="C84" s="682"/>
      <c r="D84" s="683"/>
      <c r="E84" s="684"/>
      <c r="F84" s="685"/>
      <c r="G84" s="82"/>
      <c r="J84" s="14"/>
      <c r="K84" s="453"/>
    </row>
    <row r="85" spans="2:11">
      <c r="B85" s="198" t="s">
        <v>64</v>
      </c>
      <c r="C85" s="929"/>
      <c r="D85" s="650">
        <f>+D114</f>
        <v>6.0399000000000003</v>
      </c>
      <c r="E85" s="196">
        <f>+E80</f>
        <v>1817.25</v>
      </c>
      <c r="F85" s="197">
        <f>+C85*D85*E85</f>
        <v>0</v>
      </c>
      <c r="G85" s="82"/>
      <c r="H85"/>
      <c r="J85" s="14"/>
      <c r="K85" s="453"/>
    </row>
    <row r="86" spans="2:11">
      <c r="B86" s="198" t="s">
        <v>65</v>
      </c>
      <c r="C86" s="194"/>
      <c r="D86" s="650">
        <f>+D85</f>
        <v>6.0399000000000003</v>
      </c>
      <c r="E86" s="196">
        <f>+E85</f>
        <v>1817.25</v>
      </c>
      <c r="F86" s="197">
        <f t="shared" ref="F86:F95" si="15">+C86*D86*E86</f>
        <v>0</v>
      </c>
      <c r="G86" s="82"/>
      <c r="H86"/>
      <c r="I86"/>
      <c r="J86" s="14"/>
      <c r="K86" s="453"/>
    </row>
    <row r="87" spans="2:11">
      <c r="B87" s="198" t="s">
        <v>66</v>
      </c>
      <c r="C87" s="194"/>
      <c r="D87" s="650">
        <f t="shared" ref="D87:E100" si="16">+D86</f>
        <v>6.0399000000000003</v>
      </c>
      <c r="E87" s="196">
        <f t="shared" si="16"/>
        <v>1817.25</v>
      </c>
      <c r="F87" s="197">
        <f t="shared" si="15"/>
        <v>0</v>
      </c>
      <c r="G87" s="82"/>
      <c r="H87"/>
      <c r="I87"/>
      <c r="J87" s="14"/>
      <c r="K87" s="453"/>
    </row>
    <row r="88" spans="2:11">
      <c r="B88" s="198" t="s">
        <v>67</v>
      </c>
      <c r="C88" s="194"/>
      <c r="D88" s="650">
        <f t="shared" si="16"/>
        <v>6.0399000000000003</v>
      </c>
      <c r="E88" s="196">
        <f t="shared" si="16"/>
        <v>1817.25</v>
      </c>
      <c r="F88" s="197">
        <f t="shared" si="15"/>
        <v>0</v>
      </c>
      <c r="G88" s="82"/>
      <c r="H88"/>
      <c r="I88"/>
      <c r="J88" s="14"/>
      <c r="K88" s="453"/>
    </row>
    <row r="89" spans="2:11">
      <c r="B89" s="198" t="s">
        <v>68</v>
      </c>
      <c r="C89" s="194"/>
      <c r="D89" s="650">
        <f t="shared" si="16"/>
        <v>6.0399000000000003</v>
      </c>
      <c r="E89" s="196">
        <f t="shared" si="16"/>
        <v>1817.25</v>
      </c>
      <c r="F89" s="197">
        <f t="shared" si="15"/>
        <v>0</v>
      </c>
      <c r="G89" s="82"/>
      <c r="H89"/>
      <c r="I89"/>
      <c r="J89" s="14"/>
      <c r="K89" s="453"/>
    </row>
    <row r="90" spans="2:11">
      <c r="B90" s="198" t="s">
        <v>69</v>
      </c>
      <c r="C90" s="194"/>
      <c r="D90" s="650">
        <f t="shared" si="16"/>
        <v>6.0399000000000003</v>
      </c>
      <c r="E90" s="196">
        <f t="shared" si="16"/>
        <v>1817.25</v>
      </c>
      <c r="F90" s="197">
        <f t="shared" si="15"/>
        <v>0</v>
      </c>
      <c r="G90" s="82"/>
      <c r="H90"/>
      <c r="I90"/>
      <c r="J90" s="14"/>
      <c r="K90" s="453"/>
    </row>
    <row r="91" spans="2:11">
      <c r="B91" s="198" t="s">
        <v>70</v>
      </c>
      <c r="C91" s="194"/>
      <c r="D91" s="650">
        <f t="shared" si="16"/>
        <v>6.0399000000000003</v>
      </c>
      <c r="E91" s="196">
        <f t="shared" si="16"/>
        <v>1817.25</v>
      </c>
      <c r="F91" s="197">
        <f t="shared" si="15"/>
        <v>0</v>
      </c>
      <c r="G91" s="82"/>
      <c r="H91"/>
      <c r="I91"/>
      <c r="J91" s="14"/>
      <c r="K91" s="453"/>
    </row>
    <row r="92" spans="2:11">
      <c r="B92" s="692" t="s">
        <v>71</v>
      </c>
      <c r="C92" s="194"/>
      <c r="D92" s="482">
        <f>+D6</f>
        <v>4.2561999999999998</v>
      </c>
      <c r="E92" s="196">
        <f t="shared" ref="E92:E100" si="17">+E91</f>
        <v>1817.25</v>
      </c>
      <c r="F92" s="197">
        <f t="shared" si="15"/>
        <v>0</v>
      </c>
      <c r="G92" s="82"/>
      <c r="H92"/>
      <c r="I92"/>
      <c r="J92" s="14"/>
      <c r="K92" s="453"/>
    </row>
    <row r="93" spans="2:11">
      <c r="B93" s="198" t="s">
        <v>72</v>
      </c>
      <c r="C93" s="194"/>
      <c r="D93" s="650">
        <f>+D91</f>
        <v>6.0399000000000003</v>
      </c>
      <c r="E93" s="196">
        <f t="shared" si="17"/>
        <v>1817.25</v>
      </c>
      <c r="F93" s="197">
        <f t="shared" si="15"/>
        <v>0</v>
      </c>
      <c r="G93" s="82"/>
      <c r="H93"/>
      <c r="I93"/>
      <c r="J93" s="14"/>
      <c r="K93" s="453"/>
    </row>
    <row r="94" spans="2:11">
      <c r="B94" s="198" t="s">
        <v>73</v>
      </c>
      <c r="C94" s="194"/>
      <c r="D94" s="650">
        <f t="shared" si="16"/>
        <v>6.0399000000000003</v>
      </c>
      <c r="E94" s="196">
        <f t="shared" si="17"/>
        <v>1817.25</v>
      </c>
      <c r="F94" s="197">
        <f t="shared" si="15"/>
        <v>0</v>
      </c>
      <c r="G94" s="82"/>
      <c r="H94"/>
      <c r="I94"/>
      <c r="J94" s="14"/>
      <c r="K94" s="453"/>
    </row>
    <row r="95" spans="2:11">
      <c r="B95" s="198" t="s">
        <v>216</v>
      </c>
      <c r="C95" s="194"/>
      <c r="D95" s="650">
        <f>+D117</f>
        <v>6.0399000000000003</v>
      </c>
      <c r="E95" s="196">
        <f t="shared" si="17"/>
        <v>1817.25</v>
      </c>
      <c r="F95" s="197">
        <f t="shared" si="15"/>
        <v>0</v>
      </c>
      <c r="G95" s="82"/>
      <c r="H95"/>
      <c r="I95"/>
      <c r="J95" s="14"/>
      <c r="K95" s="453"/>
    </row>
    <row r="96" spans="2:11">
      <c r="B96" s="198" t="s">
        <v>75</v>
      </c>
      <c r="C96" s="194"/>
      <c r="D96" s="650">
        <f>+D95</f>
        <v>6.0399000000000003</v>
      </c>
      <c r="E96" s="196">
        <f t="shared" si="17"/>
        <v>1817.25</v>
      </c>
      <c r="F96" s="197">
        <f>+C96*D96*E96</f>
        <v>0</v>
      </c>
      <c r="G96" s="82"/>
      <c r="H96"/>
      <c r="I96"/>
      <c r="J96" s="14"/>
      <c r="K96" s="453"/>
    </row>
    <row r="97" spans="2:24">
      <c r="B97" s="198" t="s">
        <v>77</v>
      </c>
      <c r="C97" s="194"/>
      <c r="D97" s="650">
        <f t="shared" si="16"/>
        <v>6.0399000000000003</v>
      </c>
      <c r="E97" s="196">
        <f t="shared" si="17"/>
        <v>1817.25</v>
      </c>
      <c r="F97" s="197">
        <f>+C97*D97*E97</f>
        <v>0</v>
      </c>
      <c r="G97" s="82"/>
      <c r="H97"/>
      <c r="I97"/>
      <c r="J97" s="14"/>
      <c r="K97" s="453"/>
    </row>
    <row r="98" spans="2:24">
      <c r="B98" s="198" t="s">
        <v>78</v>
      </c>
      <c r="C98" s="194"/>
      <c r="D98" s="650">
        <f t="shared" si="16"/>
        <v>6.0399000000000003</v>
      </c>
      <c r="E98" s="196">
        <f t="shared" si="17"/>
        <v>1817.25</v>
      </c>
      <c r="F98" s="197">
        <f>+C98*D98*E98</f>
        <v>0</v>
      </c>
      <c r="G98" s="82"/>
      <c r="H98"/>
      <c r="I98"/>
      <c r="J98" s="14"/>
      <c r="K98" s="453"/>
    </row>
    <row r="99" spans="2:24">
      <c r="B99" s="198" t="s">
        <v>79</v>
      </c>
      <c r="C99" s="194"/>
      <c r="D99" s="650">
        <f t="shared" si="16"/>
        <v>6.0399000000000003</v>
      </c>
      <c r="E99" s="196">
        <f t="shared" si="17"/>
        <v>1817.25</v>
      </c>
      <c r="F99" s="197">
        <f>+C99*D99*E99</f>
        <v>0</v>
      </c>
      <c r="G99" s="82"/>
      <c r="H99"/>
      <c r="I99"/>
      <c r="J99" s="14"/>
      <c r="K99" s="453"/>
    </row>
    <row r="100" spans="2:24">
      <c r="B100" s="198" t="s">
        <v>424</v>
      </c>
      <c r="C100" s="678"/>
      <c r="D100" s="679">
        <f t="shared" si="16"/>
        <v>6.0399000000000003</v>
      </c>
      <c r="E100" s="196">
        <f t="shared" si="17"/>
        <v>1817.25</v>
      </c>
      <c r="F100" s="680">
        <f>+C100*D100*E100</f>
        <v>0</v>
      </c>
      <c r="G100" s="82"/>
      <c r="H100"/>
      <c r="I100"/>
      <c r="J100" s="14"/>
      <c r="K100" s="453"/>
    </row>
    <row r="101" spans="2:24" ht="13.5" thickBot="1">
      <c r="B101" s="688"/>
      <c r="C101" s="689"/>
      <c r="D101" s="690"/>
      <c r="E101" s="684"/>
      <c r="F101" s="691"/>
      <c r="G101" s="82"/>
      <c r="H101"/>
      <c r="I101"/>
      <c r="J101" s="14"/>
      <c r="K101" s="453"/>
    </row>
    <row r="102" spans="2:24">
      <c r="B102" s="198" t="s">
        <v>415</v>
      </c>
      <c r="C102" s="560"/>
      <c r="D102" s="731">
        <f>+D100</f>
        <v>6.0399000000000003</v>
      </c>
      <c r="E102" s="204">
        <f>+E100</f>
        <v>1817.25</v>
      </c>
      <c r="F102" s="643">
        <f t="shared" ref="F102:F117" si="18">+C102*D102*E102</f>
        <v>0</v>
      </c>
      <c r="G102" s="82"/>
      <c r="H102"/>
      <c r="I102"/>
      <c r="J102" s="14"/>
      <c r="K102"/>
      <c r="L102"/>
      <c r="W102" s="324"/>
      <c r="X102" s="327"/>
    </row>
    <row r="103" spans="2:24">
      <c r="B103" s="198" t="s">
        <v>454</v>
      </c>
      <c r="C103" s="467"/>
      <c r="D103" s="195">
        <f>+D102</f>
        <v>6.0399000000000003</v>
      </c>
      <c r="E103" s="196">
        <f>+E102</f>
        <v>1817.25</v>
      </c>
      <c r="F103" s="197">
        <f t="shared" si="18"/>
        <v>0</v>
      </c>
      <c r="G103" s="82"/>
      <c r="H103"/>
      <c r="I103"/>
      <c r="J103" s="14"/>
      <c r="K103"/>
      <c r="L103"/>
      <c r="W103" s="324"/>
      <c r="X103" s="327"/>
    </row>
    <row r="104" spans="2:24">
      <c r="B104" s="198" t="s">
        <v>85</v>
      </c>
      <c r="C104" s="467"/>
      <c r="D104" s="195">
        <f>+D103</f>
        <v>6.0399000000000003</v>
      </c>
      <c r="E104" s="196">
        <f t="shared" ref="E104:E120" si="19">+E103</f>
        <v>1817.25</v>
      </c>
      <c r="F104" s="197">
        <f t="shared" si="18"/>
        <v>0</v>
      </c>
      <c r="G104" s="82"/>
      <c r="H104"/>
      <c r="I104"/>
      <c r="J104" s="14"/>
      <c r="K104"/>
      <c r="L104"/>
      <c r="W104" s="324"/>
      <c r="X104" s="327"/>
    </row>
    <row r="105" spans="2:24">
      <c r="B105" s="692" t="s">
        <v>434</v>
      </c>
      <c r="C105" s="658"/>
      <c r="D105" s="482">
        <f>+D6</f>
        <v>4.2561999999999998</v>
      </c>
      <c r="E105" s="196">
        <f t="shared" si="19"/>
        <v>1817.25</v>
      </c>
      <c r="F105" s="197">
        <f t="shared" si="18"/>
        <v>0</v>
      </c>
      <c r="G105" s="82"/>
      <c r="H105"/>
      <c r="I105"/>
      <c r="J105" s="14"/>
      <c r="K105"/>
      <c r="L105"/>
      <c r="W105" s="324"/>
      <c r="X105" s="327"/>
    </row>
    <row r="106" spans="2:24">
      <c r="B106" s="198" t="s">
        <v>399</v>
      </c>
      <c r="C106" s="467"/>
      <c r="D106" s="195">
        <f>+D104</f>
        <v>6.0399000000000003</v>
      </c>
      <c r="E106" s="196">
        <f t="shared" si="19"/>
        <v>1817.25</v>
      </c>
      <c r="F106" s="197">
        <f t="shared" si="18"/>
        <v>0</v>
      </c>
      <c r="G106" s="82"/>
      <c r="H106"/>
      <c r="I106"/>
      <c r="J106" s="14"/>
      <c r="K106"/>
      <c r="L106"/>
      <c r="W106" s="324"/>
      <c r="X106" s="327"/>
    </row>
    <row r="107" spans="2:24">
      <c r="B107" s="1077" t="s">
        <v>554</v>
      </c>
      <c r="C107" s="1078">
        <f>+'INPUT VOL'!D183-Chevron!C99</f>
        <v>0</v>
      </c>
      <c r="D107" s="482">
        <f>+D105</f>
        <v>4.2561999999999998</v>
      </c>
      <c r="E107" s="196">
        <f t="shared" si="19"/>
        <v>1817.25</v>
      </c>
      <c r="F107" s="197">
        <f t="shared" si="18"/>
        <v>0</v>
      </c>
      <c r="G107" s="82"/>
      <c r="H107"/>
      <c r="I107"/>
      <c r="J107" s="14"/>
      <c r="K107"/>
      <c r="L107"/>
      <c r="W107" s="324"/>
      <c r="X107" s="327"/>
    </row>
    <row r="108" spans="2:24">
      <c r="B108" s="198" t="s">
        <v>76</v>
      </c>
      <c r="C108" s="467"/>
      <c r="D108" s="195">
        <f>+D103</f>
        <v>6.0399000000000003</v>
      </c>
      <c r="E108" s="196">
        <f t="shared" si="19"/>
        <v>1817.25</v>
      </c>
      <c r="F108" s="197">
        <f t="shared" si="18"/>
        <v>0</v>
      </c>
      <c r="G108" s="82"/>
      <c r="H108"/>
      <c r="I108"/>
      <c r="J108" s="14"/>
      <c r="K108"/>
      <c r="L108"/>
      <c r="W108" s="324"/>
      <c r="X108" s="327"/>
    </row>
    <row r="109" spans="2:24">
      <c r="B109" s="198" t="s">
        <v>343</v>
      </c>
      <c r="C109" s="582"/>
      <c r="D109" s="195">
        <f>+D168</f>
        <v>6.0399000000000003</v>
      </c>
      <c r="E109" s="196">
        <f t="shared" si="19"/>
        <v>1817.25</v>
      </c>
      <c r="F109" s="583">
        <f t="shared" si="18"/>
        <v>0</v>
      </c>
      <c r="G109" s="82"/>
      <c r="H109"/>
      <c r="I109"/>
      <c r="J109" s="14"/>
      <c r="K109"/>
      <c r="L109"/>
      <c r="W109" s="324"/>
      <c r="X109" s="327"/>
    </row>
    <row r="110" spans="2:24">
      <c r="B110" s="198" t="s">
        <v>389</v>
      </c>
      <c r="C110" s="582"/>
      <c r="D110" s="195">
        <f>+D102</f>
        <v>6.0399000000000003</v>
      </c>
      <c r="E110" s="196">
        <f t="shared" si="19"/>
        <v>1817.25</v>
      </c>
      <c r="F110" s="583">
        <f t="shared" si="18"/>
        <v>0</v>
      </c>
      <c r="G110" s="82"/>
      <c r="H110"/>
      <c r="I110"/>
      <c r="J110" s="14"/>
      <c r="K110"/>
      <c r="L110"/>
      <c r="W110" s="324"/>
      <c r="X110" s="327"/>
    </row>
    <row r="111" spans="2:24">
      <c r="B111" s="198" t="s">
        <v>413</v>
      </c>
      <c r="C111" s="582"/>
      <c r="D111" s="195">
        <f>+D104</f>
        <v>6.0399000000000003</v>
      </c>
      <c r="E111" s="196">
        <f t="shared" si="19"/>
        <v>1817.25</v>
      </c>
      <c r="F111" s="583">
        <f t="shared" si="18"/>
        <v>0</v>
      </c>
      <c r="G111" s="82"/>
      <c r="H111"/>
      <c r="I111"/>
      <c r="J111" s="14"/>
      <c r="K111"/>
      <c r="L111"/>
      <c r="W111" s="324"/>
      <c r="X111" s="327"/>
    </row>
    <row r="112" spans="2:24">
      <c r="B112" s="198" t="s">
        <v>414</v>
      </c>
      <c r="C112" s="582"/>
      <c r="D112" s="195">
        <f>+D111</f>
        <v>6.0399000000000003</v>
      </c>
      <c r="E112" s="196">
        <f t="shared" si="19"/>
        <v>1817.25</v>
      </c>
      <c r="F112" s="583">
        <f t="shared" si="18"/>
        <v>0</v>
      </c>
      <c r="G112" s="82"/>
      <c r="H112"/>
      <c r="I112"/>
      <c r="J112" s="14"/>
      <c r="K112"/>
      <c r="L112"/>
      <c r="W112" s="324"/>
      <c r="X112" s="327"/>
    </row>
    <row r="113" spans="2:24">
      <c r="B113" s="198" t="s">
        <v>445</v>
      </c>
      <c r="C113" s="467"/>
      <c r="D113" s="195">
        <f>+D168</f>
        <v>6.0399000000000003</v>
      </c>
      <c r="E113" s="196">
        <f t="shared" si="19"/>
        <v>1817.25</v>
      </c>
      <c r="F113" s="197">
        <f t="shared" si="18"/>
        <v>0</v>
      </c>
      <c r="G113" s="82"/>
      <c r="H113"/>
      <c r="I113"/>
      <c r="J113" s="14"/>
      <c r="K113"/>
      <c r="L113"/>
      <c r="W113" s="324"/>
      <c r="X113" s="327"/>
    </row>
    <row r="114" spans="2:24">
      <c r="B114" s="198" t="s">
        <v>360</v>
      </c>
      <c r="C114" s="467"/>
      <c r="D114" s="195">
        <f>+D164</f>
        <v>6.0399000000000003</v>
      </c>
      <c r="E114" s="196">
        <f t="shared" si="19"/>
        <v>1817.25</v>
      </c>
      <c r="F114" s="197">
        <f t="shared" si="18"/>
        <v>0</v>
      </c>
      <c r="G114" s="82"/>
      <c r="H114"/>
      <c r="I114"/>
      <c r="J114" s="14"/>
      <c r="K114"/>
      <c r="L114"/>
      <c r="W114" s="324"/>
      <c r="X114" s="327"/>
    </row>
    <row r="115" spans="2:24">
      <c r="B115" s="198" t="s">
        <v>394</v>
      </c>
      <c r="C115" s="467"/>
      <c r="D115" s="195">
        <f>+D114</f>
        <v>6.0399000000000003</v>
      </c>
      <c r="E115" s="196">
        <f t="shared" si="19"/>
        <v>1817.25</v>
      </c>
      <c r="F115" s="197">
        <f t="shared" si="18"/>
        <v>0</v>
      </c>
      <c r="G115" s="82"/>
      <c r="H115"/>
      <c r="I115"/>
      <c r="J115" s="14"/>
      <c r="K115"/>
      <c r="L115"/>
      <c r="W115" s="324"/>
      <c r="X115" s="327"/>
    </row>
    <row r="116" spans="2:24">
      <c r="B116" s="198" t="s">
        <v>428</v>
      </c>
      <c r="C116" s="657"/>
      <c r="D116" s="195">
        <f>+D115</f>
        <v>6.0399000000000003</v>
      </c>
      <c r="E116" s="196">
        <f t="shared" si="19"/>
        <v>1817.25</v>
      </c>
      <c r="F116" s="197">
        <f t="shared" si="18"/>
        <v>0</v>
      </c>
      <c r="G116" s="82"/>
      <c r="H116"/>
      <c r="I116"/>
      <c r="J116" s="14"/>
      <c r="K116"/>
      <c r="L116"/>
      <c r="W116" s="324"/>
      <c r="X116" s="327"/>
    </row>
    <row r="117" spans="2:24">
      <c r="B117" s="198" t="s">
        <v>453</v>
      </c>
      <c r="C117" s="732"/>
      <c r="D117" s="650">
        <f>+D94</f>
        <v>6.0399000000000003</v>
      </c>
      <c r="E117" s="196">
        <f t="shared" si="19"/>
        <v>1817.25</v>
      </c>
      <c r="F117" s="197">
        <f t="shared" si="18"/>
        <v>0</v>
      </c>
      <c r="G117" s="82"/>
      <c r="H117"/>
      <c r="I117"/>
      <c r="J117" s="14"/>
      <c r="K117"/>
      <c r="L117"/>
      <c r="W117" s="324"/>
      <c r="X117" s="327"/>
    </row>
    <row r="118" spans="2:24">
      <c r="B118" s="698" t="s">
        <v>144</v>
      </c>
      <c r="C118" s="733"/>
      <c r="D118" s="650">
        <f>+D95</f>
        <v>6.0399000000000003</v>
      </c>
      <c r="E118" s="196">
        <f t="shared" si="19"/>
        <v>1817.25</v>
      </c>
      <c r="F118" s="197">
        <f t="shared" ref="F118:F125" si="20">+C118*D118*E118</f>
        <v>0</v>
      </c>
      <c r="G118" s="82"/>
      <c r="H118"/>
      <c r="I118"/>
      <c r="J118" s="14"/>
      <c r="K118"/>
      <c r="L118"/>
      <c r="W118" s="324"/>
      <c r="X118" s="327"/>
    </row>
    <row r="119" spans="2:24">
      <c r="B119" s="698" t="s">
        <v>177</v>
      </c>
      <c r="C119" s="733"/>
      <c r="D119" s="650">
        <f>+D96</f>
        <v>6.0399000000000003</v>
      </c>
      <c r="E119" s="196">
        <f t="shared" si="19"/>
        <v>1817.25</v>
      </c>
      <c r="F119" s="197">
        <f t="shared" si="20"/>
        <v>0</v>
      </c>
      <c r="G119" s="82"/>
      <c r="H119"/>
      <c r="I119"/>
      <c r="J119" s="14"/>
      <c r="K119"/>
      <c r="L119"/>
      <c r="W119" s="324"/>
      <c r="X119" s="327"/>
    </row>
    <row r="120" spans="2:24">
      <c r="B120" s="698" t="s">
        <v>455</v>
      </c>
      <c r="C120" s="733"/>
      <c r="D120" s="650">
        <f>+D97</f>
        <v>6.0399000000000003</v>
      </c>
      <c r="E120" s="196">
        <f t="shared" si="19"/>
        <v>1817.25</v>
      </c>
      <c r="F120" s="197">
        <f t="shared" si="20"/>
        <v>0</v>
      </c>
      <c r="G120" s="82"/>
      <c r="H120"/>
      <c r="I120"/>
      <c r="J120" s="14"/>
      <c r="K120"/>
      <c r="L120"/>
      <c r="W120" s="324"/>
      <c r="X120" s="327"/>
    </row>
    <row r="121" spans="2:24">
      <c r="B121" s="908" t="s">
        <v>480</v>
      </c>
      <c r="C121" s="733"/>
      <c r="D121" s="906">
        <f>+D120</f>
        <v>6.0399000000000003</v>
      </c>
      <c r="E121" s="907">
        <f>+E120</f>
        <v>1817.25</v>
      </c>
      <c r="F121" s="905">
        <f t="shared" si="20"/>
        <v>0</v>
      </c>
      <c r="G121" s="82"/>
      <c r="H121"/>
      <c r="I121"/>
      <c r="J121" s="14"/>
      <c r="K121"/>
      <c r="L121"/>
      <c r="W121" s="324"/>
      <c r="X121" s="327"/>
    </row>
    <row r="122" spans="2:24" ht="13.5" thickBot="1">
      <c r="B122" s="908" t="s">
        <v>481</v>
      </c>
      <c r="C122" s="733"/>
      <c r="D122" s="906">
        <f>+D121</f>
        <v>6.0399000000000003</v>
      </c>
      <c r="E122" s="907">
        <f>+E121</f>
        <v>1817.25</v>
      </c>
      <c r="F122" s="905">
        <f t="shared" si="20"/>
        <v>0</v>
      </c>
      <c r="G122" s="82"/>
      <c r="H122"/>
      <c r="I122"/>
      <c r="J122" s="14"/>
      <c r="K122"/>
      <c r="L122"/>
      <c r="W122" s="324"/>
      <c r="X122" s="327"/>
    </row>
    <row r="123" spans="2:24" ht="13.5" thickTop="1">
      <c r="B123" s="584" t="s">
        <v>62</v>
      </c>
      <c r="C123" s="734"/>
      <c r="D123" s="585">
        <f>+D104</f>
        <v>6.0399000000000003</v>
      </c>
      <c r="E123" s="586">
        <f>+E117</f>
        <v>1817.25</v>
      </c>
      <c r="F123" s="587">
        <f t="shared" si="20"/>
        <v>0</v>
      </c>
      <c r="G123" s="82"/>
      <c r="H123" s="54"/>
      <c r="I123"/>
      <c r="J123" s="14"/>
      <c r="K123" s="14"/>
      <c r="L123"/>
      <c r="W123" s="324"/>
      <c r="X123" s="327"/>
    </row>
    <row r="124" spans="2:24">
      <c r="B124" s="193" t="s">
        <v>63</v>
      </c>
      <c r="C124" s="735"/>
      <c r="D124" s="195">
        <f>+D123</f>
        <v>6.0399000000000003</v>
      </c>
      <c r="E124" s="196">
        <f t="shared" ref="E124:E169" si="21">+E123</f>
        <v>1817.25</v>
      </c>
      <c r="F124" s="197">
        <f t="shared" si="20"/>
        <v>0</v>
      </c>
      <c r="G124" s="82"/>
      <c r="H124" s="54"/>
      <c r="I124"/>
      <c r="J124" s="14"/>
      <c r="K124" s="14"/>
      <c r="L124"/>
      <c r="W124" s="324"/>
      <c r="X124" s="327"/>
    </row>
    <row r="125" spans="2:24">
      <c r="B125" s="885" t="s">
        <v>467</v>
      </c>
      <c r="C125" s="735"/>
      <c r="D125" s="195">
        <f>+D124</f>
        <v>6.0399000000000003</v>
      </c>
      <c r="E125" s="196">
        <f>+E124</f>
        <v>1817.25</v>
      </c>
      <c r="F125" s="197">
        <f t="shared" si="20"/>
        <v>0</v>
      </c>
      <c r="G125" s="82"/>
      <c r="H125" s="54"/>
      <c r="I125"/>
      <c r="J125" s="14"/>
      <c r="K125" s="14"/>
      <c r="L125"/>
      <c r="W125" s="324"/>
      <c r="X125" s="327"/>
    </row>
    <row r="126" spans="2:24">
      <c r="B126" s="193" t="s">
        <v>156</v>
      </c>
      <c r="C126" s="735"/>
      <c r="D126" s="195">
        <f>+D124</f>
        <v>6.0399000000000003</v>
      </c>
      <c r="E126" s="196">
        <f>+E124</f>
        <v>1817.25</v>
      </c>
      <c r="F126" s="197">
        <f t="shared" ref="F126:F170" si="22">+C126*D126*E126</f>
        <v>0</v>
      </c>
      <c r="G126" s="82"/>
      <c r="H126" s="54"/>
      <c r="I126"/>
      <c r="J126" s="14"/>
      <c r="K126" s="14"/>
      <c r="L126"/>
      <c r="W126" s="324"/>
      <c r="X126" s="327"/>
    </row>
    <row r="127" spans="2:24">
      <c r="B127" s="193" t="s">
        <v>452</v>
      </c>
      <c r="C127" s="735"/>
      <c r="D127" s="195">
        <f>+D126</f>
        <v>6.0399000000000003</v>
      </c>
      <c r="E127" s="196">
        <f t="shared" si="21"/>
        <v>1817.25</v>
      </c>
      <c r="F127" s="197">
        <f t="shared" si="22"/>
        <v>0</v>
      </c>
      <c r="G127" s="82"/>
      <c r="H127" s="54"/>
      <c r="I127"/>
      <c r="J127" s="14"/>
      <c r="K127" s="516"/>
      <c r="L127"/>
      <c r="W127" s="324"/>
    </row>
    <row r="128" spans="2:24">
      <c r="B128" s="193" t="s">
        <v>196</v>
      </c>
      <c r="C128" s="735"/>
      <c r="D128" s="195">
        <f>+D124</f>
        <v>6.0399000000000003</v>
      </c>
      <c r="E128" s="196">
        <f t="shared" si="21"/>
        <v>1817.25</v>
      </c>
      <c r="F128" s="197">
        <f t="shared" si="22"/>
        <v>0</v>
      </c>
      <c r="G128" s="82"/>
      <c r="H128" s="54"/>
      <c r="I128"/>
      <c r="J128" s="14"/>
      <c r="K128" s="14"/>
      <c r="L128"/>
      <c r="W128" s="324"/>
    </row>
    <row r="129" spans="1:24">
      <c r="B129" s="193" t="s">
        <v>437</v>
      </c>
      <c r="C129" s="735"/>
      <c r="D129" s="195">
        <f>+D126</f>
        <v>6.0399000000000003</v>
      </c>
      <c r="E129" s="196">
        <f t="shared" si="21"/>
        <v>1817.25</v>
      </c>
      <c r="F129" s="197">
        <f t="shared" si="22"/>
        <v>0</v>
      </c>
      <c r="G129" s="82"/>
      <c r="H129" s="54"/>
      <c r="I129"/>
      <c r="J129" s="14"/>
      <c r="K129" s="516"/>
      <c r="L129"/>
      <c r="W129" s="324"/>
    </row>
    <row r="130" spans="1:24">
      <c r="B130" s="193" t="s">
        <v>197</v>
      </c>
      <c r="C130" s="735"/>
      <c r="D130" s="195">
        <f>+D126</f>
        <v>6.0399000000000003</v>
      </c>
      <c r="E130" s="196">
        <f t="shared" si="21"/>
        <v>1817.25</v>
      </c>
      <c r="F130" s="197">
        <f t="shared" si="22"/>
        <v>0</v>
      </c>
      <c r="G130" s="82"/>
      <c r="H130" s="54"/>
      <c r="I130"/>
      <c r="J130" s="14"/>
      <c r="K130" s="14"/>
      <c r="L130"/>
      <c r="W130" s="324"/>
    </row>
    <row r="131" spans="1:24">
      <c r="B131" s="193" t="s">
        <v>449</v>
      </c>
      <c r="C131" s="735"/>
      <c r="D131" s="195">
        <f>+D128</f>
        <v>6.0399000000000003</v>
      </c>
      <c r="E131" s="196">
        <f t="shared" si="21"/>
        <v>1817.25</v>
      </c>
      <c r="F131" s="197">
        <f t="shared" si="22"/>
        <v>0</v>
      </c>
      <c r="G131" s="82"/>
      <c r="H131" s="54"/>
      <c r="I131"/>
      <c r="J131" s="14"/>
      <c r="K131" s="516"/>
      <c r="L131"/>
      <c r="W131" s="324"/>
    </row>
    <row r="132" spans="1:24">
      <c r="B132" s="193" t="s">
        <v>117</v>
      </c>
      <c r="C132" s="732"/>
      <c r="D132" s="195">
        <f>+D128</f>
        <v>6.0399000000000003</v>
      </c>
      <c r="E132" s="196">
        <f t="shared" si="21"/>
        <v>1817.25</v>
      </c>
      <c r="F132" s="197">
        <f t="shared" si="22"/>
        <v>0</v>
      </c>
      <c r="G132" s="330"/>
      <c r="H132" s="54"/>
      <c r="I132"/>
      <c r="J132" s="14"/>
      <c r="K132" s="14"/>
      <c r="L132"/>
      <c r="W132" s="324"/>
    </row>
    <row r="133" spans="1:24">
      <c r="B133" s="193" t="s">
        <v>398</v>
      </c>
      <c r="C133" s="732"/>
      <c r="D133" s="195">
        <f>+D132</f>
        <v>6.0399000000000003</v>
      </c>
      <c r="E133" s="196">
        <f t="shared" si="21"/>
        <v>1817.25</v>
      </c>
      <c r="F133" s="197">
        <f t="shared" si="22"/>
        <v>0</v>
      </c>
      <c r="G133" s="330"/>
      <c r="H133" s="54"/>
      <c r="I133"/>
      <c r="J133" s="14"/>
      <c r="K133" s="516"/>
      <c r="L133"/>
    </row>
    <row r="134" spans="1:24">
      <c r="B134" s="193" t="s">
        <v>439</v>
      </c>
      <c r="C134" s="732"/>
      <c r="D134" s="195">
        <f>+D133</f>
        <v>6.0399000000000003</v>
      </c>
      <c r="E134" s="196">
        <f t="shared" si="21"/>
        <v>1817.25</v>
      </c>
      <c r="F134" s="197">
        <f t="shared" si="22"/>
        <v>0</v>
      </c>
      <c r="G134" s="330"/>
      <c r="H134" s="54"/>
      <c r="I134"/>
      <c r="J134" s="14"/>
      <c r="K134" s="516"/>
      <c r="L134"/>
    </row>
    <row r="135" spans="1:24">
      <c r="B135" s="193" t="s">
        <v>118</v>
      </c>
      <c r="C135" s="732"/>
      <c r="D135" s="195">
        <f>+D132</f>
        <v>6.0399000000000003</v>
      </c>
      <c r="E135" s="196">
        <f t="shared" si="21"/>
        <v>1817.25</v>
      </c>
      <c r="F135" s="197">
        <f t="shared" si="22"/>
        <v>0</v>
      </c>
      <c r="G135" s="82"/>
      <c r="H135" s="54"/>
      <c r="I135"/>
      <c r="J135" s="14"/>
      <c r="K135" s="14"/>
      <c r="L135"/>
    </row>
    <row r="136" spans="1:24">
      <c r="B136" s="193" t="s">
        <v>208</v>
      </c>
      <c r="C136" s="732"/>
      <c r="D136" s="195">
        <f>+D135</f>
        <v>6.0399000000000003</v>
      </c>
      <c r="E136" s="196">
        <f t="shared" si="21"/>
        <v>1817.25</v>
      </c>
      <c r="F136" s="197">
        <f t="shared" si="22"/>
        <v>0</v>
      </c>
      <c r="G136" s="82"/>
      <c r="H136" s="54"/>
      <c r="I136"/>
      <c r="J136" s="14"/>
      <c r="K136" s="14"/>
      <c r="L136"/>
    </row>
    <row r="137" spans="1:24">
      <c r="B137" s="581" t="s">
        <v>416</v>
      </c>
      <c r="C137" s="735"/>
      <c r="D137" s="650">
        <f>+D136</f>
        <v>6.0399000000000003</v>
      </c>
      <c r="E137" s="196">
        <f t="shared" si="21"/>
        <v>1817.25</v>
      </c>
      <c r="F137" s="197">
        <f t="shared" si="22"/>
        <v>0</v>
      </c>
      <c r="G137" s="82"/>
      <c r="H137"/>
      <c r="I137"/>
      <c r="J137" s="14"/>
      <c r="K137" s="14"/>
      <c r="L137"/>
    </row>
    <row r="138" spans="1:24">
      <c r="B138" s="199" t="s">
        <v>377</v>
      </c>
      <c r="C138" s="732"/>
      <c r="D138" s="195">
        <f>+D136</f>
        <v>6.0399000000000003</v>
      </c>
      <c r="E138" s="196">
        <f t="shared" si="21"/>
        <v>1817.25</v>
      </c>
      <c r="F138" s="197">
        <f t="shared" si="22"/>
        <v>0</v>
      </c>
      <c r="G138" s="82"/>
      <c r="H138"/>
      <c r="I138"/>
      <c r="J138" s="14"/>
      <c r="K138" s="14"/>
      <c r="L138"/>
      <c r="W138" s="324"/>
      <c r="X138" s="327"/>
    </row>
    <row r="139" spans="1:24">
      <c r="B139" s="199" t="s">
        <v>378</v>
      </c>
      <c r="C139" s="732"/>
      <c r="D139" s="195">
        <f>+D138</f>
        <v>6.0399000000000003</v>
      </c>
      <c r="E139" s="196">
        <f t="shared" si="21"/>
        <v>1817.25</v>
      </c>
      <c r="F139" s="197">
        <f t="shared" si="22"/>
        <v>0</v>
      </c>
      <c r="G139" s="82"/>
      <c r="H139"/>
      <c r="I139"/>
      <c r="J139" s="14"/>
      <c r="K139" s="14"/>
      <c r="L139"/>
      <c r="W139" s="324"/>
      <c r="X139" s="327"/>
    </row>
    <row r="140" spans="1:24">
      <c r="B140" s="581" t="s">
        <v>420</v>
      </c>
      <c r="C140" s="735"/>
      <c r="D140" s="650">
        <f>+D139</f>
        <v>6.0399000000000003</v>
      </c>
      <c r="E140" s="196">
        <f t="shared" si="21"/>
        <v>1817.25</v>
      </c>
      <c r="F140" s="197">
        <f t="shared" si="22"/>
        <v>0</v>
      </c>
      <c r="G140" s="82"/>
      <c r="H140"/>
      <c r="I140"/>
      <c r="J140" s="14"/>
      <c r="K140" s="516"/>
      <c r="L140"/>
      <c r="W140" s="324"/>
      <c r="X140" s="327"/>
    </row>
    <row r="141" spans="1:24">
      <c r="A141" s="87"/>
      <c r="B141" s="199" t="s">
        <v>447</v>
      </c>
      <c r="C141" s="735"/>
      <c r="D141" s="650">
        <f>+D140</f>
        <v>6.0399000000000003</v>
      </c>
      <c r="E141" s="196">
        <f t="shared" si="21"/>
        <v>1817.25</v>
      </c>
      <c r="F141" s="197">
        <f t="shared" si="22"/>
        <v>0</v>
      </c>
      <c r="G141" s="82"/>
      <c r="H141"/>
      <c r="I141"/>
      <c r="J141" s="14"/>
      <c r="K141" s="516"/>
      <c r="L141"/>
      <c r="W141" s="324"/>
      <c r="X141" s="327"/>
    </row>
    <row r="142" spans="1:24">
      <c r="A142" s="87"/>
      <c r="B142" s="199" t="s">
        <v>448</v>
      </c>
      <c r="C142" s="735"/>
      <c r="D142" s="650">
        <f>+D141</f>
        <v>6.0399000000000003</v>
      </c>
      <c r="E142" s="196">
        <f t="shared" si="21"/>
        <v>1817.25</v>
      </c>
      <c r="F142" s="197">
        <f t="shared" si="22"/>
        <v>0</v>
      </c>
      <c r="G142" s="82"/>
      <c r="H142"/>
      <c r="I142"/>
      <c r="J142" s="14"/>
      <c r="K142" s="516"/>
      <c r="L142"/>
      <c r="W142" s="324"/>
      <c r="X142" s="327"/>
    </row>
    <row r="143" spans="1:24">
      <c r="A143" s="87"/>
      <c r="B143" s="886" t="s">
        <v>470</v>
      </c>
      <c r="C143" s="735"/>
      <c r="D143" s="650">
        <f>+D142</f>
        <v>6.0399000000000003</v>
      </c>
      <c r="E143" s="196">
        <f>+E142</f>
        <v>1817.25</v>
      </c>
      <c r="F143" s="197">
        <f t="shared" si="22"/>
        <v>0</v>
      </c>
      <c r="G143" s="82"/>
      <c r="H143"/>
      <c r="I143"/>
      <c r="J143" s="14"/>
      <c r="K143" s="516"/>
      <c r="L143"/>
      <c r="W143" s="324"/>
      <c r="X143" s="327"/>
    </row>
    <row r="144" spans="1:24">
      <c r="A144" s="87"/>
      <c r="B144" s="581" t="s">
        <v>337</v>
      </c>
      <c r="C144" s="732"/>
      <c r="D144" s="195">
        <f>+D136</f>
        <v>6.0399000000000003</v>
      </c>
      <c r="E144" s="196">
        <f>+E142</f>
        <v>1817.25</v>
      </c>
      <c r="F144" s="197">
        <f t="shared" si="22"/>
        <v>0</v>
      </c>
      <c r="G144" s="82"/>
      <c r="H144" s="54"/>
      <c r="I144"/>
      <c r="J144" s="14"/>
      <c r="K144" s="14"/>
      <c r="L144"/>
      <c r="W144" s="324"/>
      <c r="X144" s="327"/>
    </row>
    <row r="145" spans="1:24">
      <c r="A145" s="87"/>
      <c r="B145" s="199" t="s">
        <v>175</v>
      </c>
      <c r="C145" s="732"/>
      <c r="D145" s="195">
        <f>+D135</f>
        <v>6.0399000000000003</v>
      </c>
      <c r="E145" s="196">
        <f t="shared" si="21"/>
        <v>1817.25</v>
      </c>
      <c r="F145" s="197">
        <f t="shared" si="22"/>
        <v>0</v>
      </c>
      <c r="G145" s="82"/>
      <c r="H145" s="54"/>
      <c r="I145"/>
      <c r="J145" s="14"/>
      <c r="K145" s="14"/>
      <c r="L145"/>
      <c r="W145" s="324"/>
      <c r="X145" s="327"/>
    </row>
    <row r="146" spans="1:24">
      <c r="A146" s="87"/>
      <c r="B146" s="581" t="s">
        <v>188</v>
      </c>
      <c r="C146" s="732"/>
      <c r="D146" s="195">
        <f>+D145</f>
        <v>6.0399000000000003</v>
      </c>
      <c r="E146" s="196">
        <f t="shared" si="21"/>
        <v>1817.25</v>
      </c>
      <c r="F146" s="197">
        <f t="shared" si="22"/>
        <v>0</v>
      </c>
      <c r="G146" s="82"/>
      <c r="H146" s="54"/>
      <c r="I146"/>
      <c r="J146" s="14"/>
      <c r="K146" s="14"/>
      <c r="L146"/>
      <c r="W146" s="324"/>
      <c r="X146" s="327"/>
    </row>
    <row r="147" spans="1:24">
      <c r="A147" s="87"/>
      <c r="B147" s="581" t="s">
        <v>198</v>
      </c>
      <c r="C147" s="732"/>
      <c r="D147" s="195">
        <f>+D146</f>
        <v>6.0399000000000003</v>
      </c>
      <c r="E147" s="196">
        <f t="shared" si="21"/>
        <v>1817.25</v>
      </c>
      <c r="F147" s="197">
        <f t="shared" si="22"/>
        <v>0</v>
      </c>
      <c r="G147" s="82"/>
      <c r="H147" s="54"/>
      <c r="I147"/>
      <c r="J147" s="14"/>
      <c r="K147" s="14"/>
      <c r="L147"/>
      <c r="W147" s="324"/>
      <c r="X147" s="327"/>
    </row>
    <row r="148" spans="1:24">
      <c r="A148" s="87"/>
      <c r="B148" s="581" t="s">
        <v>199</v>
      </c>
      <c r="C148" s="732"/>
      <c r="D148" s="195">
        <f>+D147</f>
        <v>6.0399000000000003</v>
      </c>
      <c r="E148" s="196">
        <f t="shared" si="21"/>
        <v>1817.25</v>
      </c>
      <c r="F148" s="197">
        <f t="shared" si="22"/>
        <v>0</v>
      </c>
      <c r="G148" s="317"/>
      <c r="H148" s="54"/>
      <c r="I148" s="54"/>
      <c r="J148" s="14"/>
      <c r="K148" s="14"/>
      <c r="L148"/>
      <c r="W148" s="324"/>
      <c r="X148" s="327"/>
    </row>
    <row r="149" spans="1:24">
      <c r="A149" s="87"/>
      <c r="B149" s="581" t="s">
        <v>213</v>
      </c>
      <c r="C149" s="732"/>
      <c r="D149" s="195">
        <f>+D148</f>
        <v>6.0399000000000003</v>
      </c>
      <c r="E149" s="196">
        <f t="shared" si="21"/>
        <v>1817.25</v>
      </c>
      <c r="F149" s="197">
        <f t="shared" si="22"/>
        <v>0</v>
      </c>
      <c r="G149" s="82"/>
      <c r="H149" s="54"/>
      <c r="I149"/>
      <c r="J149" s="14"/>
      <c r="K149" s="14"/>
      <c r="L149"/>
      <c r="W149" s="324"/>
      <c r="X149" s="327"/>
    </row>
    <row r="150" spans="1:24">
      <c r="A150" s="87"/>
      <c r="B150" s="581" t="s">
        <v>321</v>
      </c>
      <c r="C150" s="732"/>
      <c r="D150" s="195">
        <f>+D149</f>
        <v>6.0399000000000003</v>
      </c>
      <c r="E150" s="196">
        <f t="shared" si="21"/>
        <v>1817.25</v>
      </c>
      <c r="F150" s="197">
        <f t="shared" si="22"/>
        <v>0</v>
      </c>
      <c r="G150" s="82"/>
      <c r="H150" s="54"/>
      <c r="I150"/>
      <c r="J150" s="14"/>
      <c r="K150" s="14"/>
      <c r="L150"/>
      <c r="W150" s="324"/>
      <c r="X150" s="327"/>
    </row>
    <row r="151" spans="1:24">
      <c r="A151" s="87"/>
      <c r="B151" s="581" t="s">
        <v>331</v>
      </c>
      <c r="C151" s="732"/>
      <c r="D151" s="195">
        <f t="shared" ref="D151:D157" si="23">+D150</f>
        <v>6.0399000000000003</v>
      </c>
      <c r="E151" s="196">
        <f t="shared" si="21"/>
        <v>1817.25</v>
      </c>
      <c r="F151" s="197">
        <f t="shared" si="22"/>
        <v>0</v>
      </c>
      <c r="G151" s="82"/>
      <c r="H151"/>
      <c r="I151"/>
      <c r="J151" s="14"/>
      <c r="K151" s="14"/>
      <c r="L151"/>
      <c r="W151" s="324"/>
      <c r="X151" s="327"/>
    </row>
    <row r="152" spans="1:24">
      <c r="A152" s="87"/>
      <c r="B152" s="581" t="s">
        <v>334</v>
      </c>
      <c r="C152" s="732"/>
      <c r="D152" s="195">
        <f t="shared" si="23"/>
        <v>6.0399000000000003</v>
      </c>
      <c r="E152" s="196">
        <f t="shared" si="21"/>
        <v>1817.25</v>
      </c>
      <c r="F152" s="197">
        <f t="shared" si="22"/>
        <v>0</v>
      </c>
      <c r="G152" s="82"/>
      <c r="H152"/>
      <c r="I152"/>
      <c r="J152" s="14"/>
      <c r="K152" s="516"/>
      <c r="L152"/>
      <c r="W152" s="324"/>
      <c r="X152" s="327"/>
    </row>
    <row r="153" spans="1:24">
      <c r="A153" s="87"/>
      <c r="B153" s="581" t="s">
        <v>345</v>
      </c>
      <c r="C153" s="732"/>
      <c r="D153" s="195">
        <f t="shared" si="23"/>
        <v>6.0399000000000003</v>
      </c>
      <c r="E153" s="196">
        <f t="shared" si="21"/>
        <v>1817.25</v>
      </c>
      <c r="F153" s="197">
        <f t="shared" si="22"/>
        <v>0</v>
      </c>
      <c r="G153" s="82"/>
      <c r="H153"/>
      <c r="I153"/>
      <c r="J153" s="14"/>
      <c r="K153" s="516"/>
      <c r="L153"/>
      <c r="W153" s="324"/>
      <c r="X153" s="327"/>
    </row>
    <row r="154" spans="1:24">
      <c r="A154" s="87"/>
      <c r="B154" s="886" t="s">
        <v>471</v>
      </c>
      <c r="C154" s="732"/>
      <c r="D154" s="195">
        <f>+D153</f>
        <v>6.0399000000000003</v>
      </c>
      <c r="E154" s="196">
        <f>+E153</f>
        <v>1817.25</v>
      </c>
      <c r="F154" s="197">
        <f t="shared" si="22"/>
        <v>0</v>
      </c>
      <c r="G154" s="82"/>
      <c r="H154"/>
      <c r="I154"/>
      <c r="J154" s="14"/>
      <c r="K154" s="516"/>
      <c r="L154"/>
      <c r="W154" s="324"/>
      <c r="X154" s="327"/>
    </row>
    <row r="155" spans="1:24">
      <c r="A155" s="87"/>
      <c r="B155" s="581" t="s">
        <v>356</v>
      </c>
      <c r="C155" s="732"/>
      <c r="D155" s="195">
        <f>+D153</f>
        <v>6.0399000000000003</v>
      </c>
      <c r="E155" s="196">
        <f>+E153</f>
        <v>1817.25</v>
      </c>
      <c r="F155" s="197">
        <f t="shared" si="22"/>
        <v>0</v>
      </c>
      <c r="G155" s="82"/>
      <c r="H155"/>
      <c r="I155"/>
      <c r="J155" s="14"/>
      <c r="K155" s="516"/>
      <c r="L155"/>
    </row>
    <row r="156" spans="1:24">
      <c r="A156" s="87"/>
      <c r="B156" s="581" t="s">
        <v>362</v>
      </c>
      <c r="C156" s="732"/>
      <c r="D156" s="195">
        <f t="shared" si="23"/>
        <v>6.0399000000000003</v>
      </c>
      <c r="E156" s="196">
        <f t="shared" si="21"/>
        <v>1817.25</v>
      </c>
      <c r="F156" s="197">
        <f t="shared" si="22"/>
        <v>0</v>
      </c>
      <c r="G156" s="82"/>
      <c r="H156"/>
      <c r="I156"/>
      <c r="J156" s="14"/>
      <c r="K156" s="516"/>
      <c r="L156"/>
    </row>
    <row r="157" spans="1:24">
      <c r="A157" s="87"/>
      <c r="B157" s="588" t="s">
        <v>373</v>
      </c>
      <c r="C157" s="732"/>
      <c r="D157" s="203">
        <f t="shared" si="23"/>
        <v>6.0399000000000003</v>
      </c>
      <c r="E157" s="196">
        <f t="shared" si="21"/>
        <v>1817.25</v>
      </c>
      <c r="F157" s="197">
        <f t="shared" si="22"/>
        <v>0</v>
      </c>
      <c r="G157" s="82"/>
      <c r="H157"/>
      <c r="I157"/>
      <c r="J157" s="14"/>
      <c r="K157" s="516"/>
      <c r="L157"/>
    </row>
    <row r="158" spans="1:24">
      <c r="A158" s="87"/>
      <c r="B158" s="581" t="s">
        <v>406</v>
      </c>
      <c r="C158" s="732"/>
      <c r="D158" s="203">
        <f>+D157</f>
        <v>6.0399000000000003</v>
      </c>
      <c r="E158" s="196">
        <f t="shared" si="21"/>
        <v>1817.25</v>
      </c>
      <c r="F158" s="197">
        <f t="shared" si="22"/>
        <v>0</v>
      </c>
      <c r="G158" s="82"/>
      <c r="H158"/>
      <c r="I158"/>
      <c r="J158" s="14"/>
      <c r="K158" s="516"/>
      <c r="L158"/>
    </row>
    <row r="159" spans="1:24">
      <c r="A159" s="87"/>
      <c r="B159" s="581" t="s">
        <v>405</v>
      </c>
      <c r="C159" s="732"/>
      <c r="D159" s="203">
        <f>+D158</f>
        <v>6.0399000000000003</v>
      </c>
      <c r="E159" s="196">
        <f t="shared" si="21"/>
        <v>1817.25</v>
      </c>
      <c r="F159" s="197">
        <f t="shared" si="22"/>
        <v>0</v>
      </c>
      <c r="G159" s="478"/>
      <c r="H159"/>
      <c r="I159"/>
      <c r="J159" s="14"/>
      <c r="K159" s="516"/>
      <c r="L159"/>
    </row>
    <row r="160" spans="1:24">
      <c r="A160" s="87"/>
      <c r="B160" s="581" t="s">
        <v>409</v>
      </c>
      <c r="C160" s="732"/>
      <c r="D160" s="203">
        <f>+D159</f>
        <v>6.0399000000000003</v>
      </c>
      <c r="E160" s="196">
        <f t="shared" si="21"/>
        <v>1817.25</v>
      </c>
      <c r="F160" s="197">
        <f t="shared" si="22"/>
        <v>0</v>
      </c>
      <c r="G160" s="478"/>
      <c r="H160"/>
      <c r="I160"/>
      <c r="J160" s="14"/>
      <c r="K160" s="516"/>
      <c r="L160"/>
    </row>
    <row r="161" spans="1:12">
      <c r="A161" s="87"/>
      <c r="B161" s="581" t="s">
        <v>422</v>
      </c>
      <c r="C161" s="733"/>
      <c r="D161" s="203">
        <f>+D160</f>
        <v>6.0399000000000003</v>
      </c>
      <c r="E161" s="196">
        <f t="shared" si="21"/>
        <v>1817.25</v>
      </c>
      <c r="F161" s="197">
        <f t="shared" si="22"/>
        <v>0</v>
      </c>
      <c r="G161" s="478"/>
      <c r="H161"/>
      <c r="I161"/>
      <c r="J161" s="14"/>
      <c r="K161" s="516"/>
      <c r="L161"/>
    </row>
    <row r="162" spans="1:12">
      <c r="A162" s="87"/>
      <c r="B162" s="581" t="s">
        <v>433</v>
      </c>
      <c r="C162" s="733"/>
      <c r="D162" s="203">
        <f>+D161</f>
        <v>6.0399000000000003</v>
      </c>
      <c r="E162" s="196">
        <f t="shared" si="21"/>
        <v>1817.25</v>
      </c>
      <c r="F162" s="197">
        <f t="shared" si="22"/>
        <v>0</v>
      </c>
      <c r="G162" s="478"/>
      <c r="H162"/>
      <c r="I162"/>
      <c r="J162" s="14"/>
      <c r="K162" s="516"/>
      <c r="L162"/>
    </row>
    <row r="163" spans="1:12">
      <c r="A163" s="87"/>
      <c r="B163" s="581" t="s">
        <v>338</v>
      </c>
      <c r="C163" s="467"/>
      <c r="D163" s="195">
        <f>+D80</f>
        <v>6.0399000000000003</v>
      </c>
      <c r="E163" s="196">
        <f t="shared" si="21"/>
        <v>1817.25</v>
      </c>
      <c r="F163" s="197">
        <f t="shared" si="22"/>
        <v>0</v>
      </c>
      <c r="G163" s="478"/>
      <c r="H163"/>
      <c r="I163"/>
      <c r="J163" s="14"/>
      <c r="K163"/>
      <c r="L163"/>
    </row>
    <row r="164" spans="1:12">
      <c r="A164" s="87"/>
      <c r="B164" s="581" t="s">
        <v>370</v>
      </c>
      <c r="C164" s="467"/>
      <c r="D164" s="195">
        <f>+D163</f>
        <v>6.0399000000000003</v>
      </c>
      <c r="E164" s="196">
        <f t="shared" si="21"/>
        <v>1817.25</v>
      </c>
      <c r="F164" s="197">
        <f t="shared" si="22"/>
        <v>0</v>
      </c>
      <c r="G164" s="478"/>
      <c r="H164"/>
      <c r="I164"/>
      <c r="J164" s="14"/>
      <c r="K164"/>
      <c r="L164"/>
    </row>
    <row r="165" spans="1:12">
      <c r="A165" s="87"/>
      <c r="B165" s="581" t="s">
        <v>429</v>
      </c>
      <c r="C165" s="657"/>
      <c r="D165" s="195">
        <f>+D116</f>
        <v>6.0399000000000003</v>
      </c>
      <c r="E165" s="196">
        <f t="shared" si="21"/>
        <v>1817.25</v>
      </c>
      <c r="F165" s="197">
        <f t="shared" si="22"/>
        <v>0</v>
      </c>
      <c r="G165" s="478"/>
      <c r="H165"/>
      <c r="I165"/>
      <c r="J165" s="14"/>
      <c r="K165"/>
      <c r="L165"/>
    </row>
    <row r="166" spans="1:12">
      <c r="A166" s="87"/>
      <c r="B166" s="581" t="s">
        <v>431</v>
      </c>
      <c r="C166" s="657"/>
      <c r="D166" s="195">
        <f>+D165</f>
        <v>6.0399000000000003</v>
      </c>
      <c r="E166" s="196">
        <f t="shared" si="21"/>
        <v>1817.25</v>
      </c>
      <c r="F166" s="197">
        <f t="shared" si="22"/>
        <v>0</v>
      </c>
      <c r="G166" s="478"/>
      <c r="H166"/>
      <c r="I166"/>
      <c r="J166" s="14"/>
      <c r="K166"/>
      <c r="L166"/>
    </row>
    <row r="167" spans="1:12">
      <c r="A167" s="87"/>
      <c r="B167" s="581" t="s">
        <v>366</v>
      </c>
      <c r="C167" s="467"/>
      <c r="D167" s="195">
        <f>+D164</f>
        <v>6.0399000000000003</v>
      </c>
      <c r="E167" s="196">
        <f t="shared" si="21"/>
        <v>1817.25</v>
      </c>
      <c r="F167" s="197">
        <f t="shared" si="22"/>
        <v>0</v>
      </c>
      <c r="G167" s="478"/>
      <c r="H167"/>
      <c r="I167"/>
      <c r="J167" s="14"/>
      <c r="K167"/>
      <c r="L167"/>
    </row>
    <row r="168" spans="1:12">
      <c r="A168" s="87"/>
      <c r="B168" s="198" t="s">
        <v>391</v>
      </c>
      <c r="C168" s="467"/>
      <c r="D168" s="650">
        <f>+D115</f>
        <v>6.0399000000000003</v>
      </c>
      <c r="E168" s="196">
        <f t="shared" si="21"/>
        <v>1817.25</v>
      </c>
      <c r="F168" s="197">
        <f t="shared" si="22"/>
        <v>0</v>
      </c>
      <c r="G168" s="478"/>
      <c r="H168"/>
      <c r="I168"/>
      <c r="J168" s="14"/>
      <c r="K168"/>
      <c r="L168"/>
    </row>
    <row r="169" spans="1:12">
      <c r="A169" s="87"/>
      <c r="B169" s="198" t="s">
        <v>383</v>
      </c>
      <c r="C169" s="467"/>
      <c r="D169" s="195">
        <f>+D167</f>
        <v>6.0399000000000003</v>
      </c>
      <c r="E169" s="196">
        <f t="shared" si="21"/>
        <v>1817.25</v>
      </c>
      <c r="F169" s="197">
        <f t="shared" si="22"/>
        <v>0</v>
      </c>
      <c r="G169" s="478"/>
      <c r="H169"/>
      <c r="I169"/>
      <c r="J169" s="14"/>
      <c r="K169"/>
      <c r="L169"/>
    </row>
    <row r="170" spans="1:12">
      <c r="A170" s="87"/>
      <c r="B170" s="737" t="s">
        <v>485</v>
      </c>
      <c r="C170" s="467"/>
      <c r="D170" s="195">
        <f>+D169</f>
        <v>6.0399000000000003</v>
      </c>
      <c r="E170" s="196">
        <f>+E169</f>
        <v>1817.25</v>
      </c>
      <c r="F170" s="197">
        <f t="shared" si="22"/>
        <v>0</v>
      </c>
      <c r="G170" s="478"/>
      <c r="H170"/>
      <c r="I170"/>
      <c r="J170" s="14"/>
      <c r="K170"/>
      <c r="L170"/>
    </row>
    <row r="171" spans="1:12" ht="13.5" thickBot="1">
      <c r="A171" s="87"/>
      <c r="B171" s="693"/>
      <c r="C171" s="693"/>
      <c r="D171" s="693"/>
      <c r="E171" s="693"/>
      <c r="F171" s="693"/>
      <c r="G171" s="478"/>
      <c r="H171" s="55"/>
      <c r="I171"/>
      <c r="J171" s="14"/>
      <c r="K171"/>
      <c r="L171"/>
    </row>
    <row r="172" spans="1:12">
      <c r="B172" s="206" t="s">
        <v>423</v>
      </c>
      <c r="C172" s="466">
        <v>0</v>
      </c>
      <c r="D172" s="1036">
        <f>+D169</f>
        <v>6.0399000000000003</v>
      </c>
      <c r="E172" s="633">
        <f>+E169</f>
        <v>1817.25</v>
      </c>
      <c r="F172" s="207">
        <f>+C172*D172*E172</f>
        <v>0</v>
      </c>
      <c r="G172" s="82"/>
      <c r="H172" s="55"/>
      <c r="I172"/>
      <c r="J172" s="14"/>
      <c r="K172" s="54"/>
    </row>
    <row r="173" spans="1:12">
      <c r="B173" s="193" t="s">
        <v>151</v>
      </c>
      <c r="C173" s="467">
        <v>0</v>
      </c>
      <c r="D173" s="195">
        <f>+D172</f>
        <v>6.0399000000000003</v>
      </c>
      <c r="E173" s="196">
        <f>+E172</f>
        <v>1817.25</v>
      </c>
      <c r="F173" s="197">
        <f>+C173*D173*E173</f>
        <v>0</v>
      </c>
      <c r="G173" s="82"/>
      <c r="H173" s="55"/>
      <c r="I173" s="54"/>
      <c r="J173" s="14"/>
      <c r="K173" s="54"/>
    </row>
    <row r="174" spans="1:12">
      <c r="B174" s="481" t="s">
        <v>149</v>
      </c>
      <c r="C174" s="467">
        <v>0</v>
      </c>
      <c r="D174" s="195">
        <f>+D173</f>
        <v>6.0399000000000003</v>
      </c>
      <c r="E174" s="196">
        <f t="shared" ref="E174:E185" si="24">+E173</f>
        <v>1817.25</v>
      </c>
      <c r="F174" s="1098">
        <f>+C174*D174*E174-F192</f>
        <v>0</v>
      </c>
      <c r="G174" s="82"/>
      <c r="H174"/>
      <c r="I174"/>
      <c r="J174" s="14"/>
      <c r="K174" s="54"/>
    </row>
    <row r="175" spans="1:12">
      <c r="B175" s="479" t="str">
        <f>+B172</f>
        <v>EMGESA</v>
      </c>
      <c r="C175" s="480">
        <v>0</v>
      </c>
      <c r="D175" s="482"/>
      <c r="E175" s="196">
        <f t="shared" si="24"/>
        <v>1817.25</v>
      </c>
      <c r="F175" s="197">
        <f t="shared" ref="F175:F180" si="25">+C175*D175*E175</f>
        <v>0</v>
      </c>
      <c r="G175" s="82"/>
      <c r="H175"/>
      <c r="I175" s="54"/>
      <c r="J175" s="14"/>
      <c r="K175" s="54"/>
    </row>
    <row r="176" spans="1:12">
      <c r="B176" s="479" t="s">
        <v>151</v>
      </c>
      <c r="C176" s="480">
        <v>0</v>
      </c>
      <c r="D176" s="286"/>
      <c r="E176" s="196">
        <f t="shared" si="24"/>
        <v>1817.25</v>
      </c>
      <c r="F176" s="197">
        <f t="shared" si="25"/>
        <v>0</v>
      </c>
      <c r="G176" s="82"/>
      <c r="H176"/>
      <c r="I176"/>
      <c r="J176" s="14"/>
      <c r="K176" s="54"/>
    </row>
    <row r="177" spans="1:11">
      <c r="B177" s="479" t="s">
        <v>149</v>
      </c>
      <c r="C177" s="480"/>
      <c r="D177" s="286"/>
      <c r="E177" s="196">
        <f t="shared" si="24"/>
        <v>1817.25</v>
      </c>
      <c r="F177" s="197">
        <f t="shared" si="25"/>
        <v>0</v>
      </c>
      <c r="G177" s="82"/>
      <c r="H177"/>
      <c r="I177"/>
      <c r="J177" s="14"/>
      <c r="K177" s="54"/>
    </row>
    <row r="178" spans="1:11">
      <c r="B178" s="198" t="s">
        <v>132</v>
      </c>
      <c r="C178" s="467">
        <v>0</v>
      </c>
      <c r="D178" s="195">
        <f>+D174</f>
        <v>6.0399000000000003</v>
      </c>
      <c r="E178" s="196">
        <f t="shared" si="24"/>
        <v>1817.25</v>
      </c>
      <c r="F178" s="197">
        <f>+C178*D178*E178</f>
        <v>0</v>
      </c>
      <c r="G178" s="82"/>
      <c r="H178"/>
      <c r="I178"/>
      <c r="J178" s="14"/>
      <c r="K178" s="54"/>
    </row>
    <row r="179" spans="1:11" ht="15">
      <c r="B179" s="198" t="s">
        <v>443</v>
      </c>
      <c r="C179" s="1038">
        <v>0</v>
      </c>
      <c r="D179" s="195">
        <f>+D178</f>
        <v>6.0399000000000003</v>
      </c>
      <c r="E179" s="196">
        <f>+E178</f>
        <v>1817.25</v>
      </c>
      <c r="F179" s="905">
        <f>+C179*D179*E179</f>
        <v>0</v>
      </c>
      <c r="G179" s="1043"/>
      <c r="H179"/>
      <c r="I179" s="55"/>
      <c r="J179" s="14"/>
      <c r="K179" s="54"/>
    </row>
    <row r="180" spans="1:11">
      <c r="B180" s="198" t="s">
        <v>484</v>
      </c>
      <c r="C180" s="1038"/>
      <c r="D180" s="195">
        <f>+D174</f>
        <v>6.0399000000000003</v>
      </c>
      <c r="E180" s="196">
        <f>+E178</f>
        <v>1817.25</v>
      </c>
      <c r="F180" s="197">
        <f t="shared" si="25"/>
        <v>0</v>
      </c>
      <c r="G180" s="82"/>
      <c r="H180"/>
      <c r="I180"/>
      <c r="J180" s="14"/>
      <c r="K180" s="54"/>
    </row>
    <row r="181" spans="1:11">
      <c r="B181" s="198" t="s">
        <v>531</v>
      </c>
      <c r="C181" s="194">
        <f>+'INPUT VOL'!D181</f>
        <v>44006.903383500015</v>
      </c>
      <c r="D181" s="1035">
        <f>+D6</f>
        <v>4.2561999999999998</v>
      </c>
      <c r="E181" s="196">
        <f>+E180</f>
        <v>1817.25</v>
      </c>
      <c r="F181" s="197">
        <f>+C181*D181*E181</f>
        <v>340374890.56815463</v>
      </c>
      <c r="G181" s="738"/>
      <c r="H181"/>
      <c r="I181" s="14"/>
      <c r="J181" s="14"/>
      <c r="K181" s="54"/>
    </row>
    <row r="182" spans="1:11">
      <c r="B182" s="1073" t="s">
        <v>549</v>
      </c>
      <c r="C182" s="936">
        <v>133000</v>
      </c>
      <c r="D182" s="195">
        <f>+D8</f>
        <v>2.9</v>
      </c>
      <c r="E182" s="196">
        <f>+E180</f>
        <v>1817.25</v>
      </c>
      <c r="F182" s="197">
        <f>+C182*D182*E182</f>
        <v>700913325</v>
      </c>
      <c r="G182" s="82"/>
      <c r="H182"/>
      <c r="I182" s="14"/>
      <c r="J182" s="14"/>
      <c r="K182" s="54"/>
    </row>
    <row r="183" spans="1:11">
      <c r="B183" s="1073" t="s">
        <v>550</v>
      </c>
      <c r="C183" s="936">
        <v>37366</v>
      </c>
      <c r="D183" s="195">
        <f>+D7</f>
        <v>4.2561999999999998</v>
      </c>
      <c r="E183" s="196">
        <f>+E181</f>
        <v>1817.25</v>
      </c>
      <c r="F183" s="197">
        <f>+C183*D183*E183</f>
        <v>289010295.72869998</v>
      </c>
      <c r="G183" s="82"/>
      <c r="H183"/>
      <c r="I183" s="14"/>
      <c r="J183" s="14"/>
      <c r="K183" s="54"/>
    </row>
    <row r="184" spans="1:11">
      <c r="B184" s="1074" t="s">
        <v>551</v>
      </c>
      <c r="C184" s="936">
        <v>49327</v>
      </c>
      <c r="D184" s="195">
        <f>+D182</f>
        <v>2.9</v>
      </c>
      <c r="E184" s="196">
        <f>+E182</f>
        <v>1817.25</v>
      </c>
      <c r="F184" s="197">
        <f>+C184*D184*E184</f>
        <v>259954523.17499998</v>
      </c>
      <c r="G184" s="82"/>
      <c r="H184"/>
      <c r="I184" s="14"/>
      <c r="J184" s="14"/>
      <c r="K184" s="54"/>
    </row>
    <row r="185" spans="1:11" ht="13.5" thickBot="1">
      <c r="B185" s="1074" t="s">
        <v>552</v>
      </c>
      <c r="C185" s="936">
        <v>20514</v>
      </c>
      <c r="D185" s="195">
        <f>+D183</f>
        <v>4.2561999999999998</v>
      </c>
      <c r="E185" s="196">
        <f t="shared" si="24"/>
        <v>1817.25</v>
      </c>
      <c r="F185" s="197">
        <f>+C185*D185*E185</f>
        <v>158667162.8373</v>
      </c>
      <c r="G185" s="82"/>
      <c r="H185"/>
      <c r="I185" s="14"/>
      <c r="J185" s="14"/>
      <c r="K185" s="54"/>
    </row>
    <row r="186" spans="1:11" ht="13.5" thickBot="1">
      <c r="B186" s="349"/>
      <c r="C186" s="695"/>
      <c r="D186" s="696"/>
      <c r="E186" s="697"/>
      <c r="F186" s="694"/>
      <c r="G186" s="82"/>
      <c r="H186"/>
      <c r="I186" s="14"/>
      <c r="J186"/>
      <c r="K186" s="54"/>
    </row>
    <row r="187" spans="1:11">
      <c r="B187" s="686"/>
      <c r="C187" s="687"/>
      <c r="D187" s="205"/>
      <c r="E187" s="208"/>
      <c r="F187" s="687"/>
      <c r="G187" s="82"/>
      <c r="H187"/>
      <c r="I187" s="14"/>
      <c r="J187"/>
      <c r="K187" s="54"/>
    </row>
    <row r="188" spans="1:11">
      <c r="A188"/>
      <c r="B188" s="93" t="s">
        <v>127</v>
      </c>
      <c r="C188" s="96">
        <f>SUM(C13:C186)</f>
        <v>529486.97894455213</v>
      </c>
      <c r="D188" s="94"/>
      <c r="E188" s="95"/>
      <c r="F188" s="96">
        <f>SUM(F13:F186)</f>
        <v>4359848113.0019636</v>
      </c>
      <c r="G188" s="82"/>
      <c r="H188" s="55"/>
      <c r="I188"/>
      <c r="J188"/>
      <c r="K188"/>
    </row>
    <row r="189" spans="1:11">
      <c r="A189"/>
      <c r="B189" s="93" t="s">
        <v>388</v>
      </c>
      <c r="C189" s="96">
        <f>+C9</f>
        <v>529487</v>
      </c>
      <c r="D189" s="94"/>
      <c r="E189" s="95"/>
      <c r="F189" s="96">
        <f>+F9</f>
        <v>4359848113.022625</v>
      </c>
      <c r="G189" s="82"/>
      <c r="H189" s="55"/>
      <c r="I189" s="55"/>
      <c r="J189"/>
      <c r="K189"/>
    </row>
    <row r="190" spans="1:11">
      <c r="A190"/>
      <c r="B190" s="97" t="s">
        <v>4</v>
      </c>
      <c r="C190" s="98">
        <f>+C189-C188</f>
        <v>2.1055447869002819E-2</v>
      </c>
      <c r="D190" s="91"/>
      <c r="E190" s="92"/>
      <c r="F190" s="98">
        <f>+F189-F188</f>
        <v>2.0661354064941406E-2</v>
      </c>
      <c r="G190" s="82"/>
      <c r="H190" s="736"/>
      <c r="I190" s="55"/>
      <c r="J190"/>
      <c r="K190"/>
    </row>
    <row r="191" spans="1:11">
      <c r="A191"/>
      <c r="C191" s="324"/>
      <c r="E191" s="90"/>
      <c r="G191" s="82"/>
      <c r="H191"/>
      <c r="I191"/>
      <c r="J191"/>
      <c r="K191"/>
    </row>
    <row r="192" spans="1:11">
      <c r="B192"/>
      <c r="C192"/>
      <c r="D192"/>
      <c r="E192"/>
      <c r="F192" s="1083"/>
      <c r="G192"/>
      <c r="H192" s="617"/>
      <c r="I192"/>
      <c r="J192"/>
      <c r="K192"/>
    </row>
    <row r="193" spans="2:11">
      <c r="B193"/>
      <c r="C193"/>
      <c r="D193"/>
      <c r="E193"/>
      <c r="F193"/>
      <c r="G193"/>
      <c r="H193"/>
      <c r="I193"/>
      <c r="J193"/>
      <c r="K193"/>
    </row>
    <row r="194" spans="2:11">
      <c r="B194"/>
      <c r="C194"/>
      <c r="D194"/>
      <c r="E194"/>
      <c r="F194" s="1192">
        <v>-81191391.299999997</v>
      </c>
      <c r="G194"/>
      <c r="H194" s="617"/>
      <c r="I194"/>
      <c r="J194"/>
      <c r="K194"/>
    </row>
    <row r="195" spans="2:11">
      <c r="B195"/>
      <c r="C195"/>
      <c r="D195"/>
      <c r="E195"/>
      <c r="F195"/>
      <c r="G195"/>
      <c r="H195"/>
      <c r="I195"/>
      <c r="J195"/>
      <c r="K195"/>
    </row>
    <row r="196" spans="2:11">
      <c r="B196"/>
      <c r="C196"/>
      <c r="D196"/>
      <c r="E196"/>
      <c r="F196" s="1183"/>
      <c r="G196"/>
      <c r="H196" s="617"/>
      <c r="I196"/>
      <c r="J196"/>
      <c r="K196"/>
    </row>
    <row r="197" spans="2:11">
      <c r="B197"/>
      <c r="C197"/>
      <c r="D197"/>
      <c r="E197"/>
      <c r="F197"/>
      <c r="G197"/>
      <c r="H197"/>
      <c r="I197"/>
      <c r="J197"/>
      <c r="K197"/>
    </row>
    <row r="198" spans="2:11">
      <c r="B198"/>
      <c r="C198"/>
      <c r="D198"/>
      <c r="E198"/>
      <c r="F198"/>
      <c r="G198"/>
      <c r="H198"/>
    </row>
    <row r="199" spans="2:11">
      <c r="B199"/>
      <c r="C199"/>
      <c r="D199"/>
      <c r="E199"/>
      <c r="F199"/>
      <c r="G199"/>
      <c r="H199"/>
    </row>
    <row r="200" spans="2:11">
      <c r="B200"/>
      <c r="C200"/>
      <c r="D200"/>
      <c r="E200"/>
      <c r="F200"/>
      <c r="G200"/>
      <c r="H200"/>
    </row>
    <row r="201" spans="2:11">
      <c r="B201"/>
      <c r="C201"/>
      <c r="D201"/>
      <c r="E201"/>
      <c r="F201"/>
      <c r="G201"/>
      <c r="H201"/>
    </row>
    <row r="202" spans="2:11">
      <c r="B202"/>
      <c r="C202"/>
      <c r="D202"/>
      <c r="E202"/>
      <c r="F202"/>
      <c r="G202"/>
      <c r="H202"/>
    </row>
    <row r="203" spans="2:11">
      <c r="B203"/>
      <c r="C203"/>
      <c r="D203"/>
      <c r="E203"/>
      <c r="F203"/>
      <c r="G203"/>
      <c r="H203"/>
    </row>
    <row r="204" spans="2:11">
      <c r="B204"/>
      <c r="C204"/>
      <c r="D204"/>
      <c r="E204"/>
      <c r="F204"/>
      <c r="G204"/>
      <c r="H204"/>
    </row>
    <row r="205" spans="2:11">
      <c r="B205"/>
      <c r="C205"/>
      <c r="D205"/>
      <c r="E205"/>
      <c r="F205"/>
      <c r="G205"/>
      <c r="H205"/>
    </row>
    <row r="206" spans="2:11">
      <c r="B206"/>
      <c r="C206"/>
      <c r="D206"/>
      <c r="E206"/>
      <c r="F206"/>
      <c r="G206"/>
      <c r="H206"/>
    </row>
    <row r="207" spans="2:11">
      <c r="B207"/>
      <c r="C207"/>
      <c r="D207"/>
      <c r="E207"/>
      <c r="F207"/>
      <c r="G207"/>
      <c r="H207"/>
    </row>
    <row r="208" spans="2:11">
      <c r="B208"/>
      <c r="C208"/>
      <c r="D208"/>
      <c r="E208"/>
      <c r="F208"/>
      <c r="G208"/>
      <c r="H208"/>
    </row>
    <row r="209" spans="2:8">
      <c r="B209"/>
      <c r="C209"/>
      <c r="D209"/>
      <c r="E209"/>
      <c r="F209"/>
      <c r="G209"/>
      <c r="H209"/>
    </row>
    <row r="210" spans="2:8">
      <c r="B210"/>
      <c r="C210"/>
      <c r="D210"/>
      <c r="E210"/>
      <c r="F210"/>
      <c r="G210"/>
      <c r="H210"/>
    </row>
    <row r="211" spans="2:8">
      <c r="B211"/>
      <c r="C211"/>
      <c r="D211"/>
      <c r="E211"/>
      <c r="F211"/>
      <c r="G211"/>
      <c r="H211"/>
    </row>
    <row r="212" spans="2:8">
      <c r="B212"/>
      <c r="C212"/>
      <c r="D212"/>
      <c r="E212"/>
      <c r="F212"/>
      <c r="G212"/>
      <c r="H212"/>
    </row>
    <row r="213" spans="2:8">
      <c r="B213"/>
      <c r="C213"/>
      <c r="D213"/>
      <c r="E213"/>
      <c r="F213"/>
      <c r="G213"/>
      <c r="H213"/>
    </row>
    <row r="214" spans="2:8">
      <c r="B214"/>
      <c r="C214"/>
      <c r="D214"/>
      <c r="E214"/>
      <c r="F214"/>
      <c r="G214"/>
      <c r="H214"/>
    </row>
    <row r="215" spans="2:8">
      <c r="B215"/>
      <c r="C215"/>
      <c r="D215"/>
      <c r="E215"/>
      <c r="F215"/>
      <c r="G215"/>
      <c r="H215"/>
    </row>
    <row r="216" spans="2:8">
      <c r="B216"/>
      <c r="C216"/>
      <c r="D216"/>
      <c r="E216"/>
      <c r="F216"/>
      <c r="G216"/>
      <c r="H216"/>
    </row>
    <row r="217" spans="2:8">
      <c r="B217"/>
      <c r="C217"/>
      <c r="D217"/>
      <c r="E217"/>
      <c r="F217"/>
      <c r="G217"/>
      <c r="H217"/>
    </row>
    <row r="218" spans="2:8">
      <c r="B218"/>
      <c r="C218"/>
      <c r="D218"/>
      <c r="E218"/>
      <c r="F218"/>
      <c r="G218"/>
      <c r="H218"/>
    </row>
    <row r="219" spans="2:8">
      <c r="B219"/>
      <c r="C219"/>
      <c r="D219"/>
      <c r="E219"/>
      <c r="F219"/>
      <c r="G219"/>
      <c r="H219"/>
    </row>
    <row r="220" spans="2:8">
      <c r="B220"/>
      <c r="C220"/>
      <c r="D220"/>
      <c r="E220"/>
      <c r="F220"/>
      <c r="G220"/>
      <c r="H220"/>
    </row>
    <row r="221" spans="2:8">
      <c r="B221"/>
      <c r="C221"/>
      <c r="D221"/>
      <c r="E221"/>
      <c r="F221"/>
      <c r="G221"/>
      <c r="H221"/>
    </row>
    <row r="222" spans="2:8">
      <c r="B222"/>
      <c r="C222"/>
      <c r="D222"/>
      <c r="E222"/>
      <c r="F222"/>
      <c r="G222"/>
      <c r="H222"/>
    </row>
    <row r="223" spans="2:8">
      <c r="B223"/>
      <c r="C223"/>
      <c r="D223"/>
      <c r="E223"/>
      <c r="F223"/>
      <c r="G223"/>
      <c r="H223"/>
    </row>
    <row r="224" spans="2:8">
      <c r="B224"/>
      <c r="C224"/>
      <c r="D224"/>
      <c r="E224"/>
      <c r="F224"/>
      <c r="G224"/>
      <c r="H224"/>
    </row>
    <row r="225" spans="2:9">
      <c r="B225"/>
      <c r="C225"/>
      <c r="D225"/>
      <c r="E225"/>
      <c r="F225"/>
      <c r="G225"/>
      <c r="H225"/>
    </row>
    <row r="226" spans="2:9">
      <c r="B226"/>
      <c r="C226"/>
      <c r="D226"/>
      <c r="E226"/>
      <c r="F226"/>
      <c r="G226"/>
      <c r="H226"/>
    </row>
    <row r="227" spans="2:9">
      <c r="B227"/>
      <c r="C227"/>
      <c r="D227"/>
      <c r="E227"/>
      <c r="F227"/>
      <c r="G227"/>
      <c r="H227"/>
    </row>
    <row r="228" spans="2:9">
      <c r="B228"/>
      <c r="C228"/>
      <c r="D228"/>
      <c r="E228"/>
      <c r="F228"/>
      <c r="G228"/>
      <c r="H228"/>
    </row>
    <row r="229" spans="2:9">
      <c r="B229"/>
      <c r="C229"/>
      <c r="D229"/>
      <c r="E229"/>
      <c r="F229"/>
      <c r="G229"/>
      <c r="H229"/>
      <c r="I229" s="85">
        <f>+H227-D239</f>
        <v>0</v>
      </c>
    </row>
    <row r="230" spans="2:9">
      <c r="B230"/>
      <c r="C230"/>
      <c r="D230"/>
      <c r="E230"/>
      <c r="F230"/>
      <c r="G230"/>
      <c r="H230"/>
      <c r="I230" s="84">
        <v>159045</v>
      </c>
    </row>
    <row r="231" spans="2:9">
      <c r="B231"/>
      <c r="C231"/>
      <c r="D231"/>
      <c r="E231"/>
      <c r="F231"/>
      <c r="G231"/>
      <c r="H231"/>
      <c r="I231" s="85">
        <f>+I229+I230</f>
        <v>159045</v>
      </c>
    </row>
    <row r="232" spans="2:9">
      <c r="B232"/>
      <c r="C232"/>
      <c r="D232"/>
      <c r="E232"/>
      <c r="F232"/>
      <c r="G232"/>
      <c r="H232"/>
      <c r="I232" s="85"/>
    </row>
    <row r="233" spans="2:9">
      <c r="B233"/>
      <c r="C233"/>
      <c r="D233"/>
      <c r="E233"/>
      <c r="F233"/>
      <c r="G233"/>
      <c r="H233"/>
      <c r="I233" s="85"/>
    </row>
    <row r="234" spans="2:9">
      <c r="B234"/>
      <c r="C234"/>
      <c r="D234"/>
      <c r="E234"/>
      <c r="F234"/>
      <c r="G234"/>
      <c r="H234"/>
      <c r="I234" s="85"/>
    </row>
    <row r="235" spans="2:9">
      <c r="B235"/>
      <c r="C235"/>
      <c r="D235"/>
      <c r="E235"/>
      <c r="F235"/>
      <c r="G235"/>
      <c r="H235"/>
      <c r="I235" s="85"/>
    </row>
    <row r="236" spans="2:9">
      <c r="B236"/>
      <c r="C236"/>
      <c r="D236"/>
      <c r="E236"/>
      <c r="F236"/>
      <c r="G236"/>
      <c r="H236"/>
      <c r="I236" s="85"/>
    </row>
    <row r="237" spans="2:9">
      <c r="B237"/>
      <c r="C237"/>
      <c r="D237"/>
      <c r="E237"/>
      <c r="F237"/>
      <c r="G237"/>
      <c r="H237"/>
      <c r="I237" s="85"/>
    </row>
    <row r="238" spans="2:9">
      <c r="B238"/>
      <c r="C238"/>
      <c r="D238"/>
      <c r="E238"/>
      <c r="F238"/>
      <c r="G238"/>
      <c r="H238"/>
      <c r="I238" s="85"/>
    </row>
    <row r="239" spans="2:9">
      <c r="B239"/>
      <c r="C239"/>
      <c r="D239"/>
      <c r="E239"/>
      <c r="F239"/>
      <c r="G239"/>
      <c r="H239"/>
      <c r="I239" s="85"/>
    </row>
    <row r="240" spans="2:9">
      <c r="B240"/>
      <c r="C240"/>
      <c r="D240"/>
      <c r="E240"/>
      <c r="F240"/>
      <c r="G240"/>
      <c r="H240"/>
      <c r="I240" s="85"/>
    </row>
    <row r="241" spans="2:9">
      <c r="B241"/>
      <c r="C241"/>
      <c r="D241"/>
      <c r="E241"/>
      <c r="F241"/>
      <c r="G241"/>
      <c r="H241"/>
      <c r="I241" s="85"/>
    </row>
    <row r="242" spans="2:9">
      <c r="B242"/>
      <c r="C242"/>
      <c r="D242"/>
      <c r="E242"/>
      <c r="F242"/>
      <c r="G242"/>
      <c r="H242"/>
      <c r="I242" s="85"/>
    </row>
    <row r="243" spans="2:9">
      <c r="B243"/>
      <c r="C243"/>
      <c r="D243"/>
      <c r="E243"/>
      <c r="F243"/>
      <c r="G243"/>
      <c r="H243"/>
      <c r="I243" s="85"/>
    </row>
    <row r="244" spans="2:9">
      <c r="B244"/>
      <c r="C244"/>
      <c r="D244"/>
      <c r="E244"/>
      <c r="F244"/>
      <c r="G244"/>
      <c r="H244"/>
    </row>
    <row r="245" spans="2:9">
      <c r="B245"/>
      <c r="C245"/>
      <c r="D245"/>
      <c r="E245"/>
      <c r="F245"/>
      <c r="G245"/>
      <c r="H245"/>
    </row>
    <row r="246" spans="2:9">
      <c r="B246"/>
      <c r="C246"/>
      <c r="D246"/>
      <c r="E246"/>
      <c r="F246"/>
      <c r="G246"/>
      <c r="H246"/>
    </row>
    <row r="247" spans="2:9">
      <c r="B247"/>
      <c r="C247"/>
      <c r="D247"/>
      <c r="E247"/>
      <c r="F247"/>
      <c r="G247"/>
      <c r="H247"/>
    </row>
    <row r="248" spans="2:9">
      <c r="B248"/>
      <c r="C248"/>
      <c r="D248"/>
      <c r="E248"/>
      <c r="F248"/>
      <c r="G248"/>
      <c r="H248"/>
    </row>
    <row r="249" spans="2:9">
      <c r="B249"/>
      <c r="C249"/>
      <c r="D249"/>
      <c r="E249"/>
      <c r="F249"/>
      <c r="G249"/>
      <c r="H249"/>
    </row>
    <row r="250" spans="2:9">
      <c r="B250"/>
      <c r="C250"/>
      <c r="D250"/>
      <c r="E250"/>
      <c r="F250"/>
      <c r="G250"/>
      <c r="H250"/>
    </row>
    <row r="251" spans="2:9">
      <c r="B251"/>
      <c r="C251"/>
      <c r="D251"/>
      <c r="E251"/>
      <c r="F251"/>
      <c r="G251"/>
      <c r="H251"/>
    </row>
    <row r="252" spans="2:9">
      <c r="B252"/>
      <c r="C252"/>
      <c r="D252"/>
      <c r="E252"/>
      <c r="F252"/>
      <c r="G252"/>
      <c r="H252"/>
    </row>
    <row r="253" spans="2:9">
      <c r="B253"/>
      <c r="C253"/>
      <c r="D253"/>
      <c r="E253"/>
      <c r="F253"/>
      <c r="G253"/>
      <c r="H253"/>
    </row>
    <row r="254" spans="2:9">
      <c r="B254"/>
      <c r="C254"/>
      <c r="D254"/>
      <c r="E254"/>
      <c r="F254"/>
      <c r="G254"/>
      <c r="H254"/>
    </row>
    <row r="255" spans="2:9">
      <c r="B255"/>
      <c r="C255"/>
      <c r="D255"/>
      <c r="E255"/>
      <c r="F255"/>
      <c r="G255"/>
      <c r="H255"/>
    </row>
    <row r="256" spans="2:9">
      <c r="B256"/>
      <c r="C256"/>
      <c r="D256"/>
      <c r="E256"/>
      <c r="F256"/>
      <c r="G256"/>
      <c r="H256"/>
    </row>
    <row r="257" spans="2:8">
      <c r="B257"/>
      <c r="C257"/>
      <c r="D257"/>
      <c r="E257"/>
      <c r="F257"/>
      <c r="G257"/>
      <c r="H257"/>
    </row>
    <row r="258" spans="2:8">
      <c r="B258"/>
      <c r="C258"/>
      <c r="D258"/>
      <c r="E258"/>
      <c r="F258"/>
      <c r="G258"/>
      <c r="H258"/>
    </row>
    <row r="259" spans="2:8">
      <c r="B259"/>
      <c r="C259"/>
      <c r="D259"/>
      <c r="E259"/>
      <c r="F259"/>
      <c r="G259"/>
      <c r="H259"/>
    </row>
    <row r="260" spans="2:8">
      <c r="B260"/>
      <c r="C260"/>
      <c r="D260"/>
      <c r="E260"/>
      <c r="F260"/>
      <c r="G260"/>
      <c r="H260"/>
    </row>
    <row r="261" spans="2:8">
      <c r="B261"/>
      <c r="C261"/>
      <c r="D261"/>
      <c r="E261"/>
      <c r="F261"/>
      <c r="G261"/>
      <c r="H261"/>
    </row>
    <row r="262" spans="2:8">
      <c r="B262"/>
      <c r="C262"/>
      <c r="D262"/>
      <c r="E262"/>
      <c r="F262"/>
      <c r="G262"/>
      <c r="H262"/>
    </row>
    <row r="263" spans="2:8">
      <c r="B263"/>
      <c r="C263"/>
      <c r="D263"/>
      <c r="E263"/>
      <c r="F263"/>
      <c r="G263"/>
      <c r="H263"/>
    </row>
    <row r="264" spans="2:8">
      <c r="B264"/>
      <c r="C264"/>
      <c r="D264"/>
      <c r="E264"/>
      <c r="F264"/>
      <c r="G264"/>
      <c r="H264"/>
    </row>
    <row r="265" spans="2:8">
      <c r="B265"/>
      <c r="C265"/>
      <c r="D265"/>
      <c r="E265"/>
      <c r="F265"/>
      <c r="G265"/>
      <c r="H265"/>
    </row>
    <row r="266" spans="2:8">
      <c r="B266"/>
      <c r="C266"/>
      <c r="D266"/>
      <c r="E266"/>
      <c r="F266"/>
      <c r="G266"/>
      <c r="H266"/>
    </row>
    <row r="267" spans="2:8">
      <c r="B267"/>
      <c r="C267"/>
      <c r="D267"/>
      <c r="E267"/>
      <c r="F267"/>
      <c r="G267"/>
      <c r="H267"/>
    </row>
    <row r="268" spans="2:8">
      <c r="B268"/>
      <c r="C268"/>
      <c r="D268"/>
      <c r="E268"/>
      <c r="F268"/>
      <c r="G268"/>
      <c r="H268"/>
    </row>
    <row r="269" spans="2:8">
      <c r="B269"/>
      <c r="C269"/>
      <c r="D269"/>
      <c r="E269"/>
      <c r="F269"/>
      <c r="G269"/>
      <c r="H269"/>
    </row>
    <row r="270" spans="2:8">
      <c r="B270"/>
      <c r="C270"/>
      <c r="D270"/>
      <c r="E270"/>
      <c r="F270"/>
      <c r="G270"/>
      <c r="H270"/>
    </row>
    <row r="271" spans="2:8">
      <c r="B271"/>
      <c r="C271"/>
      <c r="D271"/>
      <c r="E271"/>
      <c r="F271"/>
      <c r="G271"/>
      <c r="H271"/>
    </row>
    <row r="272" spans="2:8">
      <c r="B272"/>
      <c r="C272"/>
      <c r="D272"/>
      <c r="E272"/>
      <c r="F272"/>
      <c r="G272"/>
      <c r="H272"/>
    </row>
    <row r="273" spans="2:8">
      <c r="B273"/>
      <c r="C273"/>
      <c r="D273"/>
      <c r="E273"/>
      <c r="F273"/>
      <c r="G273"/>
      <c r="H273"/>
    </row>
    <row r="274" spans="2:8">
      <c r="B274"/>
      <c r="C274"/>
      <c r="D274"/>
      <c r="E274"/>
      <c r="F274"/>
      <c r="G274"/>
      <c r="H274"/>
    </row>
    <row r="275" spans="2:8">
      <c r="B275"/>
      <c r="C275"/>
      <c r="D275"/>
      <c r="E275"/>
      <c r="F275"/>
      <c r="G275"/>
      <c r="H275"/>
    </row>
    <row r="276" spans="2:8">
      <c r="B276"/>
      <c r="C276"/>
      <c r="D276"/>
      <c r="E276"/>
      <c r="F276"/>
      <c r="G276"/>
      <c r="H276"/>
    </row>
    <row r="277" spans="2:8">
      <c r="B277"/>
      <c r="C277"/>
      <c r="D277"/>
      <c r="E277"/>
      <c r="F277"/>
      <c r="G277"/>
      <c r="H277"/>
    </row>
    <row r="278" spans="2:8">
      <c r="B278"/>
      <c r="C278"/>
      <c r="D278"/>
      <c r="E278"/>
      <c r="F278"/>
      <c r="G278"/>
      <c r="H278"/>
    </row>
    <row r="279" spans="2:8">
      <c r="B279"/>
      <c r="C279"/>
      <c r="D279"/>
      <c r="E279"/>
      <c r="F279"/>
      <c r="G279"/>
      <c r="H279"/>
    </row>
    <row r="280" spans="2:8">
      <c r="B280"/>
      <c r="C280"/>
      <c r="D280"/>
      <c r="E280"/>
      <c r="F280"/>
      <c r="G280"/>
      <c r="H280"/>
    </row>
    <row r="281" spans="2:8">
      <c r="B281"/>
      <c r="C281"/>
      <c r="D281"/>
      <c r="E281"/>
      <c r="F281"/>
      <c r="G281"/>
      <c r="H281"/>
    </row>
    <row r="282" spans="2:8">
      <c r="B282"/>
      <c r="C282"/>
      <c r="D282"/>
      <c r="E282"/>
      <c r="F282"/>
      <c r="G282"/>
      <c r="H282"/>
    </row>
    <row r="283" spans="2:8">
      <c r="B283"/>
      <c r="C283"/>
      <c r="D283"/>
      <c r="E283"/>
      <c r="F283"/>
      <c r="G283"/>
      <c r="H283"/>
    </row>
    <row r="284" spans="2:8">
      <c r="B284"/>
      <c r="C284"/>
      <c r="D284"/>
      <c r="E284"/>
      <c r="F284"/>
      <c r="G284"/>
      <c r="H284"/>
    </row>
    <row r="285" spans="2:8">
      <c r="B285"/>
      <c r="C285"/>
      <c r="D285"/>
      <c r="E285"/>
      <c r="F285"/>
      <c r="G285"/>
      <c r="H285"/>
    </row>
    <row r="286" spans="2:8">
      <c r="B286"/>
      <c r="C286"/>
      <c r="D286"/>
      <c r="E286"/>
      <c r="F286"/>
      <c r="G286"/>
      <c r="H286"/>
    </row>
    <row r="287" spans="2:8">
      <c r="B287"/>
      <c r="C287"/>
      <c r="D287"/>
      <c r="E287"/>
      <c r="F287"/>
      <c r="G287"/>
      <c r="H287"/>
    </row>
    <row r="288" spans="2:8">
      <c r="B288"/>
      <c r="C288"/>
      <c r="D288"/>
      <c r="E288"/>
      <c r="F288"/>
      <c r="G288"/>
      <c r="H288"/>
    </row>
    <row r="289" spans="2:8">
      <c r="B289"/>
      <c r="C289"/>
      <c r="D289"/>
      <c r="E289"/>
      <c r="F289"/>
      <c r="G289"/>
      <c r="H289"/>
    </row>
    <row r="290" spans="2:8">
      <c r="B290"/>
      <c r="C290"/>
      <c r="D290"/>
      <c r="E290"/>
      <c r="F290"/>
      <c r="G290"/>
      <c r="H290"/>
    </row>
    <row r="291" spans="2:8">
      <c r="B291"/>
      <c r="C291"/>
      <c r="D291"/>
      <c r="E291"/>
      <c r="F291"/>
      <c r="G291"/>
      <c r="H291"/>
    </row>
    <row r="292" spans="2:8">
      <c r="B292"/>
      <c r="C292"/>
      <c r="D292"/>
      <c r="E292"/>
      <c r="F292"/>
      <c r="G292"/>
      <c r="H292"/>
    </row>
    <row r="293" spans="2:8">
      <c r="B293"/>
      <c r="C293"/>
      <c r="D293"/>
      <c r="E293"/>
      <c r="F293"/>
      <c r="G293"/>
      <c r="H293"/>
    </row>
    <row r="294" spans="2:8">
      <c r="B294"/>
      <c r="C294"/>
      <c r="D294"/>
      <c r="E294"/>
      <c r="F294"/>
      <c r="G294"/>
      <c r="H294"/>
    </row>
    <row r="295" spans="2:8">
      <c r="B295"/>
      <c r="C295"/>
      <c r="D295"/>
      <c r="E295"/>
      <c r="F295"/>
      <c r="G295"/>
      <c r="H295"/>
    </row>
    <row r="296" spans="2:8">
      <c r="B296"/>
      <c r="C296"/>
      <c r="D296"/>
      <c r="E296"/>
      <c r="F296"/>
      <c r="G296"/>
      <c r="H296"/>
    </row>
    <row r="297" spans="2:8">
      <c r="B297"/>
      <c r="C297"/>
      <c r="D297"/>
      <c r="E297"/>
      <c r="F297"/>
      <c r="G297"/>
      <c r="H297"/>
    </row>
    <row r="298" spans="2:8">
      <c r="B298"/>
      <c r="C298"/>
      <c r="D298"/>
      <c r="E298"/>
      <c r="F298"/>
      <c r="G298"/>
      <c r="H298"/>
    </row>
    <row r="299" spans="2:8">
      <c r="B299"/>
      <c r="C299"/>
      <c r="D299"/>
      <c r="E299"/>
      <c r="F299"/>
      <c r="G299"/>
      <c r="H299"/>
    </row>
    <row r="300" spans="2:8">
      <c r="B300"/>
      <c r="C300"/>
      <c r="D300"/>
      <c r="E300"/>
      <c r="F300"/>
      <c r="G300"/>
      <c r="H300"/>
    </row>
    <row r="301" spans="2:8">
      <c r="B301"/>
      <c r="C301"/>
      <c r="D301"/>
      <c r="E301"/>
      <c r="F301"/>
      <c r="G301"/>
      <c r="H301"/>
    </row>
    <row r="302" spans="2:8">
      <c r="B302"/>
      <c r="C302"/>
      <c r="D302"/>
      <c r="E302"/>
      <c r="F302"/>
      <c r="G302"/>
      <c r="H302"/>
    </row>
    <row r="303" spans="2:8">
      <c r="B303"/>
      <c r="C303"/>
      <c r="D303"/>
      <c r="E303"/>
      <c r="F303"/>
      <c r="G303"/>
      <c r="H303"/>
    </row>
    <row r="304" spans="2:8">
      <c r="B304"/>
      <c r="C304"/>
      <c r="D304"/>
      <c r="E304"/>
      <c r="F304"/>
      <c r="G304"/>
      <c r="H304"/>
    </row>
    <row r="305" spans="2:8">
      <c r="B305"/>
      <c r="C305"/>
      <c r="D305"/>
      <c r="E305"/>
      <c r="F305"/>
      <c r="G305"/>
      <c r="H305"/>
    </row>
    <row r="306" spans="2:8">
      <c r="B306"/>
      <c r="C306"/>
      <c r="D306"/>
      <c r="E306"/>
      <c r="F306"/>
      <c r="G306"/>
      <c r="H306"/>
    </row>
    <row r="307" spans="2:8">
      <c r="B307"/>
      <c r="C307"/>
      <c r="D307"/>
      <c r="E307"/>
      <c r="F307"/>
      <c r="G307"/>
      <c r="H307"/>
    </row>
    <row r="308" spans="2:8">
      <c r="B308"/>
      <c r="C308"/>
      <c r="D308"/>
      <c r="E308"/>
      <c r="F308"/>
      <c r="G308"/>
      <c r="H308"/>
    </row>
    <row r="309" spans="2:8">
      <c r="B309"/>
      <c r="C309"/>
      <c r="D309"/>
      <c r="E309"/>
      <c r="F309"/>
      <c r="G309"/>
      <c r="H309"/>
    </row>
    <row r="310" spans="2:8">
      <c r="B310"/>
      <c r="C310"/>
      <c r="D310"/>
      <c r="E310"/>
      <c r="F310"/>
      <c r="G310"/>
      <c r="H310"/>
    </row>
    <row r="311" spans="2:8">
      <c r="B311"/>
      <c r="C311"/>
      <c r="D311"/>
      <c r="E311"/>
      <c r="F311"/>
      <c r="G311"/>
      <c r="H311"/>
    </row>
    <row r="312" spans="2:8">
      <c r="B312"/>
      <c r="C312"/>
      <c r="D312"/>
      <c r="E312"/>
      <c r="F312"/>
      <c r="G312"/>
      <c r="H312"/>
    </row>
    <row r="313" spans="2:8">
      <c r="B313"/>
      <c r="C313"/>
      <c r="D313"/>
      <c r="E313"/>
      <c r="F313"/>
      <c r="G313"/>
      <c r="H313"/>
    </row>
    <row r="314" spans="2:8">
      <c r="B314"/>
      <c r="C314"/>
      <c r="D314"/>
      <c r="E314"/>
      <c r="F314"/>
      <c r="G314"/>
      <c r="H314"/>
    </row>
    <row r="315" spans="2:8">
      <c r="B315"/>
      <c r="C315"/>
      <c r="D315"/>
      <c r="E315"/>
      <c r="F315"/>
      <c r="G315"/>
      <c r="H315"/>
    </row>
    <row r="316" spans="2:8">
      <c r="B316"/>
      <c r="C316"/>
      <c r="D316"/>
      <c r="E316"/>
      <c r="F316"/>
      <c r="G316"/>
      <c r="H316"/>
    </row>
    <row r="317" spans="2:8">
      <c r="B317"/>
      <c r="C317"/>
      <c r="D317"/>
      <c r="E317"/>
      <c r="F317"/>
      <c r="G317"/>
      <c r="H317"/>
    </row>
    <row r="318" spans="2:8">
      <c r="B318"/>
      <c r="C318"/>
      <c r="D318"/>
      <c r="E318"/>
      <c r="F318"/>
      <c r="G318"/>
      <c r="H318"/>
    </row>
    <row r="319" spans="2:8">
      <c r="B319"/>
      <c r="C319"/>
      <c r="D319"/>
      <c r="E319"/>
      <c r="F319"/>
      <c r="G319"/>
      <c r="H319"/>
    </row>
    <row r="320" spans="2:8">
      <c r="B320"/>
      <c r="C320"/>
      <c r="D320"/>
      <c r="E320"/>
      <c r="F320"/>
      <c r="G320"/>
      <c r="H320"/>
    </row>
    <row r="321" spans="2:8">
      <c r="B321"/>
      <c r="C321"/>
      <c r="D321"/>
      <c r="E321"/>
      <c r="F321"/>
      <c r="G321"/>
      <c r="H321"/>
    </row>
    <row r="322" spans="2:8">
      <c r="B322"/>
      <c r="C322"/>
      <c r="D322"/>
      <c r="E322"/>
      <c r="F322"/>
      <c r="G322"/>
      <c r="H322"/>
    </row>
    <row r="323" spans="2:8">
      <c r="B323"/>
      <c r="C323"/>
      <c r="D323"/>
      <c r="E323"/>
      <c r="F323"/>
      <c r="G323"/>
      <c r="H323"/>
    </row>
    <row r="324" spans="2:8">
      <c r="B324"/>
      <c r="C324"/>
      <c r="D324"/>
      <c r="E324"/>
      <c r="F324"/>
      <c r="G324"/>
      <c r="H324"/>
    </row>
    <row r="325" spans="2:8">
      <c r="B325"/>
      <c r="C325"/>
      <c r="D325"/>
      <c r="E325"/>
      <c r="F325"/>
      <c r="G325"/>
      <c r="H325"/>
    </row>
    <row r="326" spans="2:8">
      <c r="B326"/>
      <c r="C326"/>
      <c r="D326"/>
      <c r="E326"/>
      <c r="F326"/>
      <c r="G326"/>
      <c r="H326"/>
    </row>
    <row r="327" spans="2:8">
      <c r="B327"/>
      <c r="C327"/>
      <c r="D327"/>
      <c r="E327"/>
      <c r="F327"/>
      <c r="G327"/>
      <c r="H327"/>
    </row>
    <row r="328" spans="2:8">
      <c r="B328"/>
      <c r="C328"/>
      <c r="D328"/>
      <c r="E328"/>
      <c r="F328"/>
      <c r="G328"/>
      <c r="H328"/>
    </row>
    <row r="329" spans="2:8">
      <c r="B329"/>
      <c r="C329"/>
      <c r="D329"/>
      <c r="E329"/>
      <c r="F329"/>
      <c r="G329"/>
      <c r="H329"/>
    </row>
    <row r="330" spans="2:8">
      <c r="B330"/>
      <c r="C330"/>
      <c r="D330"/>
      <c r="E330"/>
      <c r="F330"/>
      <c r="G330"/>
      <c r="H330"/>
    </row>
    <row r="331" spans="2:8">
      <c r="B331"/>
      <c r="C331"/>
      <c r="D331"/>
      <c r="E331"/>
      <c r="F331"/>
      <c r="G331"/>
      <c r="H331"/>
    </row>
    <row r="332" spans="2:8">
      <c r="B332"/>
      <c r="C332"/>
      <c r="D332"/>
      <c r="E332"/>
      <c r="F332"/>
      <c r="G332"/>
      <c r="H332"/>
    </row>
    <row r="333" spans="2:8">
      <c r="B333"/>
      <c r="C333"/>
      <c r="D333"/>
      <c r="E333"/>
      <c r="F333"/>
      <c r="G333"/>
      <c r="H333"/>
    </row>
    <row r="334" spans="2:8">
      <c r="B334"/>
      <c r="C334"/>
      <c r="D334"/>
      <c r="E334"/>
      <c r="F334"/>
      <c r="G334"/>
      <c r="H334"/>
    </row>
    <row r="335" spans="2:8">
      <c r="B335"/>
      <c r="C335"/>
      <c r="D335"/>
      <c r="E335"/>
      <c r="F335"/>
      <c r="G335"/>
      <c r="H335"/>
    </row>
    <row r="336" spans="2:8">
      <c r="B336"/>
      <c r="C336"/>
      <c r="D336"/>
      <c r="E336"/>
      <c r="F336"/>
      <c r="G336"/>
      <c r="H336"/>
    </row>
    <row r="337" spans="2:8">
      <c r="B337"/>
      <c r="C337"/>
      <c r="D337"/>
      <c r="E337"/>
      <c r="F337"/>
      <c r="G337"/>
      <c r="H337"/>
    </row>
    <row r="338" spans="2:8">
      <c r="B338"/>
      <c r="C338"/>
      <c r="D338"/>
      <c r="E338"/>
      <c r="F338"/>
      <c r="G338"/>
      <c r="H338"/>
    </row>
    <row r="339" spans="2:8">
      <c r="B339"/>
      <c r="C339"/>
      <c r="D339"/>
      <c r="E339"/>
      <c r="F339"/>
      <c r="G339"/>
      <c r="H339"/>
    </row>
    <row r="340" spans="2:8">
      <c r="B340"/>
      <c r="C340"/>
      <c r="D340"/>
      <c r="E340"/>
      <c r="F340"/>
      <c r="G340"/>
      <c r="H340"/>
    </row>
    <row r="341" spans="2:8">
      <c r="B341"/>
      <c r="C341"/>
      <c r="D341"/>
      <c r="E341"/>
      <c r="F341"/>
      <c r="G341"/>
      <c r="H341"/>
    </row>
    <row r="342" spans="2:8">
      <c r="B342"/>
      <c r="C342"/>
      <c r="D342"/>
      <c r="E342"/>
      <c r="F342"/>
      <c r="G342"/>
      <c r="H342"/>
    </row>
    <row r="343" spans="2:8">
      <c r="B343"/>
      <c r="C343"/>
      <c r="D343"/>
      <c r="E343"/>
      <c r="F343"/>
      <c r="G343"/>
      <c r="H343"/>
    </row>
    <row r="344" spans="2:8">
      <c r="B344"/>
      <c r="C344"/>
      <c r="D344"/>
      <c r="E344"/>
      <c r="F344"/>
      <c r="G344"/>
      <c r="H344"/>
    </row>
    <row r="345" spans="2:8">
      <c r="B345"/>
      <c r="C345"/>
      <c r="D345"/>
      <c r="E345"/>
      <c r="F345"/>
      <c r="G345"/>
      <c r="H345"/>
    </row>
    <row r="346" spans="2:8">
      <c r="B346"/>
      <c r="C346"/>
      <c r="D346"/>
      <c r="E346"/>
      <c r="F346"/>
      <c r="G346"/>
      <c r="H346"/>
    </row>
    <row r="347" spans="2:8">
      <c r="B347"/>
      <c r="C347"/>
      <c r="D347"/>
      <c r="E347"/>
      <c r="F347"/>
      <c r="G347"/>
      <c r="H347"/>
    </row>
    <row r="348" spans="2:8">
      <c r="B348"/>
      <c r="C348"/>
      <c r="D348"/>
      <c r="E348"/>
      <c r="F348"/>
      <c r="G348"/>
      <c r="H348"/>
    </row>
    <row r="349" spans="2:8">
      <c r="B349"/>
      <c r="C349"/>
      <c r="D349"/>
      <c r="E349"/>
      <c r="F349"/>
      <c r="G349"/>
      <c r="H349"/>
    </row>
    <row r="350" spans="2:8">
      <c r="B350"/>
      <c r="C350"/>
      <c r="D350"/>
      <c r="E350"/>
      <c r="F350"/>
      <c r="G350"/>
      <c r="H350"/>
    </row>
    <row r="351" spans="2:8">
      <c r="B351"/>
      <c r="C351"/>
      <c r="D351"/>
      <c r="E351"/>
      <c r="F351"/>
      <c r="G351"/>
      <c r="H351"/>
    </row>
    <row r="352" spans="2:8">
      <c r="B352"/>
      <c r="C352"/>
      <c r="D352"/>
      <c r="E352"/>
      <c r="F352"/>
      <c r="G352"/>
      <c r="H352"/>
    </row>
    <row r="353" spans="2:8">
      <c r="B353"/>
      <c r="C353"/>
      <c r="D353"/>
      <c r="E353"/>
      <c r="F353"/>
      <c r="G353"/>
      <c r="H353"/>
    </row>
    <row r="354" spans="2:8">
      <c r="B354"/>
      <c r="C354"/>
      <c r="D354"/>
      <c r="E354"/>
      <c r="F354"/>
      <c r="G354"/>
      <c r="H354"/>
    </row>
    <row r="355" spans="2:8">
      <c r="B355"/>
      <c r="C355"/>
      <c r="D355"/>
      <c r="E355"/>
      <c r="F355"/>
      <c r="G355"/>
      <c r="H355"/>
    </row>
    <row r="356" spans="2:8">
      <c r="B356"/>
      <c r="C356"/>
      <c r="D356"/>
      <c r="E356"/>
      <c r="F356"/>
      <c r="G356"/>
      <c r="H356"/>
    </row>
    <row r="357" spans="2:8">
      <c r="B357"/>
      <c r="C357"/>
      <c r="D357"/>
      <c r="E357"/>
      <c r="F357"/>
      <c r="G357"/>
      <c r="H357"/>
    </row>
    <row r="358" spans="2:8">
      <c r="B358"/>
      <c r="C358"/>
      <c r="D358"/>
      <c r="E358"/>
      <c r="F358"/>
      <c r="G358"/>
      <c r="H358"/>
    </row>
    <row r="359" spans="2:8">
      <c r="B359"/>
      <c r="C359"/>
      <c r="D359"/>
      <c r="E359"/>
      <c r="F359"/>
      <c r="G359"/>
      <c r="H359"/>
    </row>
    <row r="360" spans="2:8">
      <c r="B360"/>
      <c r="C360"/>
      <c r="D360"/>
      <c r="E360"/>
      <c r="F360"/>
      <c r="G360"/>
      <c r="H360"/>
    </row>
    <row r="361" spans="2:8">
      <c r="B361"/>
      <c r="C361"/>
      <c r="D361"/>
      <c r="E361"/>
      <c r="F361"/>
      <c r="G361"/>
      <c r="H361"/>
    </row>
    <row r="362" spans="2:8">
      <c r="B362"/>
      <c r="C362"/>
      <c r="D362"/>
      <c r="E362"/>
      <c r="F362"/>
      <c r="G362"/>
      <c r="H362"/>
    </row>
    <row r="363" spans="2:8">
      <c r="B363"/>
      <c r="C363"/>
      <c r="D363"/>
      <c r="E363"/>
      <c r="F363"/>
      <c r="G363"/>
      <c r="H363"/>
    </row>
    <row r="364" spans="2:8">
      <c r="B364"/>
      <c r="C364"/>
      <c r="D364"/>
      <c r="E364"/>
      <c r="F364"/>
      <c r="G364"/>
      <c r="H364"/>
    </row>
    <row r="365" spans="2:8">
      <c r="B365"/>
      <c r="C365"/>
      <c r="D365"/>
      <c r="E365"/>
      <c r="F365"/>
      <c r="G365"/>
      <c r="H365"/>
    </row>
    <row r="366" spans="2:8">
      <c r="B366"/>
      <c r="C366"/>
      <c r="D366"/>
      <c r="E366"/>
      <c r="F366"/>
      <c r="G366"/>
      <c r="H366"/>
    </row>
    <row r="367" spans="2:8">
      <c r="B367"/>
      <c r="C367"/>
      <c r="D367"/>
      <c r="E367"/>
      <c r="F367"/>
      <c r="G367"/>
      <c r="H367"/>
    </row>
    <row r="368" spans="2:8">
      <c r="B368"/>
      <c r="C368"/>
      <c r="D368"/>
      <c r="E368"/>
      <c r="F368"/>
      <c r="G368"/>
      <c r="H368"/>
    </row>
    <row r="369" spans="2:8">
      <c r="B369"/>
      <c r="C369"/>
      <c r="D369"/>
      <c r="E369"/>
      <c r="F369"/>
      <c r="G369"/>
      <c r="H369"/>
    </row>
    <row r="370" spans="2:8">
      <c r="B370"/>
      <c r="C370"/>
      <c r="D370"/>
      <c r="E370"/>
      <c r="F370"/>
      <c r="G370"/>
      <c r="H370"/>
    </row>
    <row r="371" spans="2:8">
      <c r="B371"/>
      <c r="C371"/>
      <c r="D371"/>
      <c r="E371"/>
      <c r="F371"/>
      <c r="G371"/>
      <c r="H371"/>
    </row>
    <row r="372" spans="2:8">
      <c r="B372"/>
      <c r="C372"/>
      <c r="D372"/>
      <c r="E372"/>
      <c r="F372"/>
      <c r="G372"/>
      <c r="H372"/>
    </row>
    <row r="373" spans="2:8">
      <c r="B373"/>
      <c r="C373"/>
      <c r="D373"/>
      <c r="E373"/>
      <c r="F373"/>
      <c r="G373"/>
      <c r="H373"/>
    </row>
    <row r="374" spans="2:8">
      <c r="B374"/>
      <c r="C374"/>
      <c r="D374"/>
      <c r="E374"/>
      <c r="F374"/>
      <c r="G374"/>
      <c r="H374"/>
    </row>
    <row r="375" spans="2:8">
      <c r="B375"/>
      <c r="C375"/>
      <c r="D375"/>
      <c r="E375"/>
      <c r="F375"/>
      <c r="G375"/>
      <c r="H375"/>
    </row>
    <row r="376" spans="2:8">
      <c r="B376"/>
      <c r="C376"/>
      <c r="D376"/>
      <c r="E376"/>
      <c r="F376"/>
      <c r="G376"/>
      <c r="H376"/>
    </row>
    <row r="377" spans="2:8">
      <c r="B377"/>
      <c r="C377"/>
      <c r="D377"/>
      <c r="E377"/>
      <c r="F377"/>
      <c r="G377"/>
      <c r="H377"/>
    </row>
    <row r="378" spans="2:8">
      <c r="B378"/>
      <c r="C378"/>
      <c r="D378"/>
      <c r="E378"/>
      <c r="F378"/>
      <c r="G378"/>
      <c r="H378"/>
    </row>
    <row r="379" spans="2:8">
      <c r="B379"/>
      <c r="C379"/>
      <c r="D379"/>
      <c r="E379"/>
      <c r="F379"/>
      <c r="G379"/>
      <c r="H379"/>
    </row>
    <row r="380" spans="2:8">
      <c r="B380"/>
      <c r="C380"/>
      <c r="D380"/>
      <c r="E380"/>
      <c r="F380"/>
      <c r="G380"/>
      <c r="H380"/>
    </row>
    <row r="381" spans="2:8">
      <c r="B381"/>
      <c r="C381"/>
      <c r="D381"/>
      <c r="E381"/>
      <c r="F381"/>
      <c r="G381"/>
      <c r="H381"/>
    </row>
    <row r="382" spans="2:8">
      <c r="B382"/>
      <c r="C382"/>
      <c r="D382"/>
      <c r="E382"/>
      <c r="F382"/>
      <c r="G382"/>
      <c r="H382"/>
    </row>
    <row r="383" spans="2:8">
      <c r="B383"/>
      <c r="C383"/>
      <c r="D383"/>
      <c r="E383"/>
      <c r="F383"/>
      <c r="G383"/>
      <c r="H383"/>
    </row>
    <row r="384" spans="2:8">
      <c r="B384"/>
      <c r="C384"/>
      <c r="D384"/>
      <c r="E384"/>
      <c r="F384"/>
      <c r="G384"/>
      <c r="H384"/>
    </row>
    <row r="385" spans="2:8">
      <c r="B385"/>
      <c r="C385"/>
      <c r="D385"/>
      <c r="E385"/>
      <c r="F385"/>
      <c r="G385"/>
      <c r="H385"/>
    </row>
    <row r="386" spans="2:8">
      <c r="B386"/>
      <c r="C386"/>
      <c r="D386"/>
      <c r="E386"/>
      <c r="F386"/>
      <c r="G386"/>
      <c r="H386"/>
    </row>
    <row r="387" spans="2:8">
      <c r="B387"/>
      <c r="C387"/>
      <c r="D387"/>
      <c r="E387"/>
      <c r="F387"/>
      <c r="G387"/>
      <c r="H387"/>
    </row>
    <row r="388" spans="2:8">
      <c r="B388"/>
      <c r="C388"/>
      <c r="D388"/>
      <c r="E388"/>
      <c r="F388"/>
      <c r="G388"/>
      <c r="H388"/>
    </row>
    <row r="389" spans="2:8">
      <c r="B389"/>
      <c r="C389"/>
      <c r="D389"/>
      <c r="E389"/>
      <c r="F389"/>
      <c r="G389"/>
      <c r="H389"/>
    </row>
    <row r="390" spans="2:8">
      <c r="B390"/>
      <c r="C390"/>
      <c r="D390"/>
      <c r="E390"/>
      <c r="F390"/>
      <c r="G390"/>
      <c r="H390"/>
    </row>
    <row r="391" spans="2:8">
      <c r="B391"/>
      <c r="C391"/>
      <c r="D391"/>
      <c r="E391"/>
      <c r="F391"/>
      <c r="G391"/>
      <c r="H391"/>
    </row>
    <row r="392" spans="2:8">
      <c r="B392"/>
      <c r="C392"/>
      <c r="D392"/>
      <c r="E392"/>
      <c r="F392"/>
      <c r="G392"/>
      <c r="H392"/>
    </row>
    <row r="393" spans="2:8">
      <c r="B393"/>
      <c r="C393"/>
      <c r="D393"/>
      <c r="E393"/>
      <c r="F393"/>
      <c r="G393"/>
      <c r="H393"/>
    </row>
    <row r="394" spans="2:8">
      <c r="B394"/>
      <c r="C394"/>
      <c r="D394"/>
      <c r="E394"/>
      <c r="F394"/>
      <c r="G394"/>
      <c r="H394"/>
    </row>
    <row r="395" spans="2:8">
      <c r="B395"/>
      <c r="C395"/>
      <c r="D395"/>
      <c r="E395"/>
      <c r="F395"/>
      <c r="G395"/>
      <c r="H395"/>
    </row>
    <row r="396" spans="2:8">
      <c r="B396"/>
      <c r="C396"/>
      <c r="D396"/>
      <c r="E396"/>
      <c r="F396"/>
      <c r="G396"/>
      <c r="H396"/>
    </row>
    <row r="397" spans="2:8">
      <c r="B397"/>
      <c r="C397"/>
      <c r="D397"/>
      <c r="E397"/>
      <c r="F397"/>
      <c r="G397"/>
      <c r="H397"/>
    </row>
    <row r="398" spans="2:8">
      <c r="B398"/>
      <c r="C398"/>
      <c r="D398"/>
      <c r="E398"/>
      <c r="F398"/>
      <c r="G398"/>
      <c r="H398"/>
    </row>
    <row r="399" spans="2:8">
      <c r="B399"/>
      <c r="C399"/>
      <c r="D399"/>
      <c r="E399"/>
      <c r="F399"/>
      <c r="G399"/>
      <c r="H399"/>
    </row>
    <row r="400" spans="2:8">
      <c r="B400"/>
      <c r="C400"/>
      <c r="D400"/>
      <c r="E400"/>
      <c r="F400"/>
      <c r="G400"/>
      <c r="H400"/>
    </row>
    <row r="401" spans="2:8">
      <c r="B401"/>
      <c r="C401"/>
      <c r="D401"/>
      <c r="E401"/>
      <c r="F401"/>
      <c r="G401"/>
      <c r="H401"/>
    </row>
    <row r="402" spans="2:8">
      <c r="B402"/>
      <c r="C402"/>
      <c r="D402"/>
      <c r="E402"/>
      <c r="F402"/>
      <c r="G402"/>
      <c r="H402"/>
    </row>
    <row r="403" spans="2:8">
      <c r="B403"/>
      <c r="C403"/>
      <c r="D403"/>
      <c r="E403"/>
      <c r="F403"/>
      <c r="G403"/>
      <c r="H403"/>
    </row>
    <row r="404" spans="2:8">
      <c r="B404"/>
      <c r="C404"/>
      <c r="D404"/>
      <c r="E404"/>
      <c r="F404"/>
      <c r="G404"/>
      <c r="H404"/>
    </row>
    <row r="405" spans="2:8">
      <c r="B405"/>
      <c r="C405"/>
      <c r="D405"/>
      <c r="E405"/>
      <c r="F405"/>
      <c r="G405"/>
      <c r="H405"/>
    </row>
    <row r="406" spans="2:8">
      <c r="B406"/>
      <c r="C406"/>
      <c r="D406"/>
      <c r="E406"/>
      <c r="F406"/>
      <c r="G406"/>
      <c r="H406"/>
    </row>
    <row r="407" spans="2:8">
      <c r="B407"/>
      <c r="C407"/>
      <c r="D407"/>
      <c r="E407"/>
      <c r="F407"/>
      <c r="G407"/>
      <c r="H407"/>
    </row>
    <row r="408" spans="2:8">
      <c r="B408"/>
      <c r="C408"/>
      <c r="D408"/>
      <c r="E408"/>
      <c r="F408"/>
      <c r="G408"/>
      <c r="H408"/>
    </row>
    <row r="409" spans="2:8">
      <c r="B409"/>
      <c r="C409"/>
      <c r="D409"/>
      <c r="E409"/>
      <c r="F409"/>
      <c r="G409"/>
      <c r="H409"/>
    </row>
    <row r="410" spans="2:8">
      <c r="B410"/>
      <c r="C410"/>
      <c r="D410"/>
      <c r="E410"/>
      <c r="F410"/>
      <c r="G410"/>
      <c r="H410"/>
    </row>
    <row r="411" spans="2:8">
      <c r="B411"/>
      <c r="C411"/>
      <c r="D411"/>
      <c r="E411"/>
      <c r="F411"/>
      <c r="G411"/>
      <c r="H411"/>
    </row>
    <row r="412" spans="2:8">
      <c r="B412"/>
      <c r="C412"/>
      <c r="D412"/>
      <c r="E412"/>
      <c r="F412"/>
      <c r="G412"/>
      <c r="H412"/>
    </row>
    <row r="413" spans="2:8">
      <c r="B413"/>
      <c r="C413"/>
      <c r="D413"/>
      <c r="E413"/>
      <c r="F413"/>
      <c r="G413"/>
      <c r="H413"/>
    </row>
    <row r="414" spans="2:8">
      <c r="B414"/>
      <c r="C414"/>
      <c r="D414"/>
      <c r="E414"/>
      <c r="F414"/>
      <c r="G414"/>
      <c r="H414"/>
    </row>
    <row r="415" spans="2:8">
      <c r="B415"/>
      <c r="C415"/>
      <c r="D415"/>
      <c r="E415"/>
      <c r="F415"/>
      <c r="G415"/>
      <c r="H415"/>
    </row>
    <row r="416" spans="2:8">
      <c r="B416"/>
      <c r="C416"/>
      <c r="D416"/>
      <c r="E416"/>
      <c r="F416"/>
      <c r="G416"/>
      <c r="H416"/>
    </row>
    <row r="417" spans="2:8">
      <c r="B417"/>
      <c r="C417"/>
      <c r="D417"/>
      <c r="E417"/>
      <c r="F417"/>
      <c r="G417"/>
      <c r="H417"/>
    </row>
    <row r="418" spans="2:8">
      <c r="B418"/>
      <c r="C418"/>
      <c r="D418"/>
      <c r="E418"/>
      <c r="F418"/>
      <c r="G418"/>
      <c r="H418"/>
    </row>
    <row r="419" spans="2:8">
      <c r="B419"/>
      <c r="C419"/>
      <c r="D419"/>
      <c r="E419"/>
      <c r="F419"/>
      <c r="G419"/>
      <c r="H419"/>
    </row>
    <row r="420" spans="2:8">
      <c r="B420"/>
      <c r="C420"/>
      <c r="D420"/>
      <c r="E420"/>
      <c r="F420"/>
      <c r="G420"/>
      <c r="H420"/>
    </row>
    <row r="421" spans="2:8">
      <c r="B421"/>
      <c r="C421"/>
      <c r="D421"/>
      <c r="E421"/>
      <c r="F421"/>
      <c r="G421"/>
      <c r="H421"/>
    </row>
    <row r="422" spans="2:8">
      <c r="B422"/>
      <c r="C422"/>
      <c r="D422"/>
      <c r="E422"/>
      <c r="F422"/>
      <c r="G422"/>
      <c r="H422"/>
    </row>
    <row r="423" spans="2:8">
      <c r="B423"/>
      <c r="C423"/>
      <c r="D423"/>
      <c r="E423"/>
      <c r="F423"/>
      <c r="G423"/>
      <c r="H423"/>
    </row>
    <row r="424" spans="2:8">
      <c r="B424"/>
      <c r="C424"/>
      <c r="D424"/>
      <c r="E424"/>
      <c r="F424"/>
      <c r="G424"/>
      <c r="H424"/>
    </row>
    <row r="425" spans="2:8">
      <c r="B425"/>
      <c r="C425"/>
      <c r="D425"/>
      <c r="E425"/>
      <c r="F425"/>
      <c r="G425"/>
      <c r="H425"/>
    </row>
    <row r="426" spans="2:8">
      <c r="B426"/>
      <c r="C426"/>
      <c r="D426"/>
      <c r="E426"/>
      <c r="F426"/>
      <c r="G426"/>
      <c r="H426"/>
    </row>
    <row r="427" spans="2:8">
      <c r="B427"/>
      <c r="C427"/>
      <c r="D427"/>
      <c r="E427"/>
      <c r="F427"/>
      <c r="G427"/>
      <c r="H427"/>
    </row>
    <row r="428" spans="2:8">
      <c r="B428"/>
      <c r="C428"/>
      <c r="D428"/>
      <c r="E428"/>
      <c r="F428"/>
      <c r="G428"/>
      <c r="H428"/>
    </row>
    <row r="429" spans="2:8">
      <c r="B429"/>
      <c r="C429"/>
      <c r="D429"/>
      <c r="E429"/>
      <c r="F429"/>
      <c r="G429"/>
      <c r="H429"/>
    </row>
    <row r="430" spans="2:8">
      <c r="B430"/>
      <c r="C430"/>
      <c r="D430"/>
      <c r="E430"/>
      <c r="F430"/>
      <c r="G430"/>
      <c r="H430"/>
    </row>
    <row r="431" spans="2:8">
      <c r="B431"/>
      <c r="C431"/>
      <c r="D431"/>
      <c r="E431"/>
      <c r="F431"/>
      <c r="G431"/>
      <c r="H431"/>
    </row>
    <row r="432" spans="2:8">
      <c r="B432"/>
      <c r="C432"/>
      <c r="D432"/>
      <c r="E432"/>
      <c r="F432"/>
      <c r="G432"/>
      <c r="H432"/>
    </row>
    <row r="433" spans="2:8">
      <c r="B433"/>
      <c r="C433"/>
      <c r="D433"/>
      <c r="E433"/>
      <c r="F433"/>
      <c r="G433"/>
      <c r="H433"/>
    </row>
    <row r="434" spans="2:8">
      <c r="B434"/>
      <c r="C434"/>
      <c r="D434"/>
      <c r="E434"/>
      <c r="F434"/>
      <c r="G434"/>
      <c r="H434"/>
    </row>
    <row r="435" spans="2:8">
      <c r="B435"/>
      <c r="C435"/>
      <c r="D435"/>
      <c r="E435"/>
      <c r="F435"/>
      <c r="G435"/>
      <c r="H435"/>
    </row>
    <row r="436" spans="2:8">
      <c r="B436"/>
      <c r="C436"/>
      <c r="D436"/>
      <c r="E436"/>
      <c r="F436"/>
      <c r="G436"/>
      <c r="H436"/>
    </row>
    <row r="437" spans="2:8">
      <c r="B437"/>
      <c r="C437"/>
      <c r="D437"/>
      <c r="E437"/>
      <c r="F437"/>
      <c r="G437"/>
      <c r="H437"/>
    </row>
    <row r="438" spans="2:8">
      <c r="B438"/>
      <c r="C438"/>
      <c r="D438"/>
      <c r="E438"/>
      <c r="F438"/>
      <c r="G438"/>
      <c r="H438"/>
    </row>
    <row r="439" spans="2:8">
      <c r="B439"/>
      <c r="C439"/>
      <c r="D439"/>
      <c r="E439"/>
      <c r="F439"/>
      <c r="G439"/>
      <c r="H439"/>
    </row>
    <row r="440" spans="2:8">
      <c r="B440"/>
      <c r="C440"/>
      <c r="D440"/>
      <c r="E440"/>
      <c r="F440"/>
      <c r="G440"/>
      <c r="H440"/>
    </row>
    <row r="441" spans="2:8">
      <c r="B441"/>
      <c r="C441"/>
      <c r="D441"/>
      <c r="E441"/>
      <c r="F441"/>
      <c r="G441"/>
      <c r="H441"/>
    </row>
    <row r="442" spans="2:8">
      <c r="B442"/>
      <c r="C442"/>
      <c r="D442"/>
      <c r="E442"/>
      <c r="F442"/>
      <c r="G442"/>
    </row>
    <row r="443" spans="2:8">
      <c r="B443"/>
      <c r="C443"/>
      <c r="D443"/>
      <c r="E443"/>
      <c r="F443"/>
      <c r="G443"/>
    </row>
    <row r="444" spans="2:8">
      <c r="B444"/>
      <c r="C444"/>
      <c r="D444"/>
      <c r="E444"/>
      <c r="F444"/>
    </row>
    <row r="445" spans="2:8">
      <c r="B445"/>
      <c r="C445"/>
      <c r="D445"/>
      <c r="E445"/>
      <c r="F445"/>
    </row>
    <row r="446" spans="2:8">
      <c r="B446"/>
      <c r="C446"/>
      <c r="D446"/>
      <c r="E446"/>
      <c r="F446"/>
    </row>
    <row r="447" spans="2:8">
      <c r="B447"/>
      <c r="C447"/>
      <c r="D447"/>
      <c r="E447"/>
      <c r="F447"/>
    </row>
    <row r="448" spans="2:8">
      <c r="B448"/>
      <c r="C448"/>
      <c r="D448"/>
      <c r="E448"/>
      <c r="F448"/>
    </row>
    <row r="449" spans="2:6">
      <c r="B449"/>
      <c r="C449"/>
      <c r="D449"/>
      <c r="E449"/>
      <c r="F449"/>
    </row>
    <row r="450" spans="2:6">
      <c r="B450"/>
      <c r="C450"/>
      <c r="D450"/>
      <c r="E450"/>
      <c r="F450"/>
    </row>
    <row r="451" spans="2:6">
      <c r="B451"/>
      <c r="C451"/>
      <c r="D451"/>
      <c r="E451"/>
      <c r="F451"/>
    </row>
    <row r="452" spans="2:6">
      <c r="B452"/>
      <c r="C452"/>
      <c r="D452"/>
      <c r="E452"/>
      <c r="F452"/>
    </row>
    <row r="453" spans="2:6">
      <c r="B453"/>
      <c r="C453"/>
      <c r="D453"/>
      <c r="E453"/>
      <c r="F453"/>
    </row>
    <row r="454" spans="2:6">
      <c r="B454"/>
      <c r="C454"/>
      <c r="D454"/>
      <c r="E454"/>
      <c r="F454"/>
    </row>
    <row r="455" spans="2:6">
      <c r="B455"/>
      <c r="C455"/>
      <c r="D455"/>
      <c r="E455"/>
      <c r="F455"/>
    </row>
    <row r="456" spans="2:6">
      <c r="B456"/>
      <c r="C456"/>
      <c r="D456"/>
      <c r="E456"/>
      <c r="F456"/>
    </row>
    <row r="457" spans="2:6">
      <c r="B457"/>
      <c r="C457"/>
      <c r="D457"/>
    </row>
    <row r="458" spans="2:6">
      <c r="B458"/>
      <c r="C458"/>
      <c r="D458"/>
    </row>
  </sheetData>
  <phoneticPr fontId="0" type="noConversion"/>
  <printOptions horizontalCentered="1"/>
  <pageMargins left="0.75" right="0.75" top="0.19685039370078741" bottom="1" header="0" footer="0"/>
  <pageSetup scale="80" orientation="portrait" r:id="rId1"/>
  <headerFooter alignWithMargins="0"/>
  <rowBreaks count="1" manualBreakCount="1">
    <brk id="78" max="16383" man="1"/>
  </rowBreaks>
  <ignoredErrors>
    <ignoredError sqref="D134 C48:D48 C25:D25 C58:D59 C49 C60:C63 D86:D94 D127 D96:D100 D166:D169 E156:E169 D172:E173 F171:F173 B175 D156:D162 F20 D20:E20 D103:D104 E58:F62 C66 F66 F123:F124 E124 D125:F125 D139:D142 F126:F142 E127:E142 D143:F143 D144:D153 F144:F153 E145:E153 D154:F154 C39:D40 F47 C47 E102:F120 D106:D120 D121:F122 E54:F56 C54:D56 C57 F57 F155:F169 D170:F170 E85:F100 D13:F19 D22:D23 C13:C21 C26:E26 D27:E27 E22:F25 C67:F83 E184:F185 D29:D38 C27:C38 E29:F31 C64:F65 D63:E63 F181:F182 C181:D181 D174:E174 E179 D179:D180 F27:F28 E28 C22:C24 C41:F43 E32:F40 E183:F183 D182:D185 E178 E175 E176 E177 F178:F179 C50:D51 E48:F51 C53 F53 C52:F52 D53:E53 D44:D47 E44:F46 C44:C46" unlockedFormula="1"/>
    <ignoredError sqref="D24 D105 D135:D138 D126:E126 D49 D28 D60:D62 D85 D128:D129 D130:D133 D95 D163:D165 D123:E123 D21:E21 D66:E66 D124 E144 D155 E155 E47 D57 E57 E181:E182 E180 F180 D178 F177 F174:F176 F26" formula="1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X460"/>
  <sheetViews>
    <sheetView showGridLines="0" tabSelected="1" zoomScale="90" workbookViewId="0">
      <pane ySplit="12" topLeftCell="A133" activePane="bottomLeft" state="frozen"/>
      <selection pane="bottomLeft" activeCell="I6" sqref="I6"/>
    </sheetView>
  </sheetViews>
  <sheetFormatPr baseColWidth="10" defaultColWidth="9.85546875" defaultRowHeight="12.75"/>
  <cols>
    <col min="1" max="1" width="3.140625" style="84" customWidth="1"/>
    <col min="2" max="2" width="27.28515625" style="84" customWidth="1"/>
    <col min="3" max="3" width="18" style="84" customWidth="1"/>
    <col min="4" max="4" width="15.140625" style="84" customWidth="1"/>
    <col min="5" max="5" width="14.85546875" style="84" customWidth="1"/>
    <col min="6" max="6" width="19" style="84" customWidth="1"/>
    <col min="7" max="7" width="2.140625" style="84" customWidth="1"/>
    <col min="8" max="8" width="17.85546875" style="84" customWidth="1"/>
    <col min="9" max="9" width="13.7109375" style="84" customWidth="1"/>
    <col min="10" max="10" width="14.28515625" style="84" customWidth="1"/>
    <col min="11" max="11" width="13.42578125" style="84" customWidth="1"/>
    <col min="12" max="12" width="17.7109375" style="84" customWidth="1"/>
    <col min="13" max="13" width="12" style="84" customWidth="1"/>
    <col min="14" max="14" width="16.7109375" style="84" customWidth="1"/>
    <col min="15" max="17" width="9.85546875" style="84" customWidth="1"/>
    <col min="18" max="18" width="13.28515625" style="84" customWidth="1"/>
    <col min="19" max="19" width="12.85546875" style="84" customWidth="1"/>
    <col min="20" max="20" width="9.85546875" style="84" customWidth="1"/>
    <col min="21" max="21" width="12.140625" style="84" customWidth="1"/>
    <col min="22" max="16384" width="9.85546875" style="84"/>
  </cols>
  <sheetData>
    <row r="1" spans="2:24" ht="15.75" customHeight="1">
      <c r="B1" s="128" t="s">
        <v>0</v>
      </c>
      <c r="D1" s="14"/>
      <c r="E1"/>
      <c r="F1" s="209" t="str">
        <f>+TOTAL!F2</f>
        <v>OCTUBRE 2012</v>
      </c>
    </row>
    <row r="2" spans="2:24" ht="13.5" thickBot="1">
      <c r="B2" s="86" t="s">
        <v>110</v>
      </c>
      <c r="D2" s="14"/>
      <c r="E2" s="54"/>
      <c r="F2" s="356"/>
    </row>
    <row r="3" spans="2:24">
      <c r="B3" s="184"/>
      <c r="C3" s="184"/>
      <c r="D3" s="185" t="s">
        <v>9</v>
      </c>
      <c r="E3" s="329" t="s">
        <v>11</v>
      </c>
      <c r="F3" s="187"/>
      <c r="G3" s="87"/>
      <c r="N3" s="82"/>
      <c r="O3" s="82"/>
      <c r="P3" s="353"/>
    </row>
    <row r="4" spans="2:24" ht="13.5" thickBot="1">
      <c r="B4" s="189"/>
      <c r="C4" s="189" t="s">
        <v>7</v>
      </c>
      <c r="D4" s="190" t="s">
        <v>109</v>
      </c>
      <c r="E4" s="189" t="s">
        <v>142</v>
      </c>
      <c r="F4" s="192" t="s">
        <v>9</v>
      </c>
      <c r="G4" s="88"/>
      <c r="H4" s="14">
        <f>SUM(C13:C75)</f>
        <v>139330.61875278936</v>
      </c>
      <c r="J4" s="327"/>
      <c r="K4" s="356"/>
      <c r="L4" s="85"/>
      <c r="N4" s="126"/>
      <c r="O4" s="82"/>
      <c r="P4" s="252"/>
      <c r="U4" s="327"/>
      <c r="X4" s="327"/>
    </row>
    <row r="5" spans="2:24">
      <c r="B5" s="84" t="s">
        <v>401</v>
      </c>
      <c r="C5" s="1089">
        <f>784300-C6-C7</f>
        <v>505565</v>
      </c>
      <c r="D5" s="889">
        <v>6.0399000000000003</v>
      </c>
      <c r="E5" s="14">
        <f>+C5*D5</f>
        <v>3053562.0435000001</v>
      </c>
      <c r="F5" s="648">
        <f>+E5*E13-H10</f>
        <v>5549085623.550375</v>
      </c>
      <c r="G5" s="89"/>
      <c r="H5" s="14">
        <f>SUM(F13:F75)/E13</f>
        <v>841543.38351436879</v>
      </c>
      <c r="J5" s="327"/>
      <c r="K5" s="356"/>
      <c r="L5" s="85"/>
      <c r="N5" s="508"/>
      <c r="O5" s="508"/>
      <c r="P5" s="350"/>
      <c r="Q5" s="354"/>
      <c r="U5" s="327"/>
      <c r="W5" s="324"/>
      <c r="X5" s="327"/>
    </row>
    <row r="6" spans="2:24">
      <c r="B6" s="84" t="s">
        <v>402</v>
      </c>
      <c r="C6" s="631">
        <v>186000</v>
      </c>
      <c r="D6" s="75">
        <v>4.3711000000000002</v>
      </c>
      <c r="E6" s="296">
        <f>+C6*D6</f>
        <v>813024.60000000009</v>
      </c>
      <c r="F6" s="14">
        <f>+E6*E13</f>
        <v>1477468954.3500001</v>
      </c>
      <c r="G6" s="89"/>
      <c r="H6" s="251">
        <f>+H5*E75</f>
        <v>1529294713.6914866</v>
      </c>
      <c r="I6"/>
      <c r="J6" s="327"/>
      <c r="K6" s="356"/>
      <c r="L6" s="85"/>
      <c r="N6" s="327"/>
      <c r="P6" s="350"/>
      <c r="Q6" s="354"/>
      <c r="R6" s="55"/>
      <c r="S6" s="328"/>
      <c r="T6" s="85"/>
      <c r="U6" s="327"/>
      <c r="V6" s="327"/>
      <c r="W6" s="324"/>
      <c r="X6" s="327"/>
    </row>
    <row r="7" spans="2:24">
      <c r="B7" s="55" t="str">
        <f>+B6</f>
        <v>Interrumpible</v>
      </c>
      <c r="C7" s="1031">
        <v>92735</v>
      </c>
      <c r="D7" s="75">
        <f>+D5*(1-38%)</f>
        <v>3.7447380000000003</v>
      </c>
      <c r="E7" s="296">
        <f>+C7*D7</f>
        <v>347268.27843000001</v>
      </c>
      <c r="F7" s="14">
        <f>+E7*E14</f>
        <v>631073278.97691751</v>
      </c>
      <c r="G7" s="82"/>
      <c r="I7" s="596"/>
      <c r="J7" s="55"/>
      <c r="K7"/>
      <c r="L7"/>
      <c r="M7"/>
      <c r="Q7" s="355"/>
      <c r="R7" s="328"/>
      <c r="S7" s="510"/>
      <c r="V7" s="85"/>
      <c r="W7" s="324"/>
      <c r="X7" s="327"/>
    </row>
    <row r="8" spans="2:24">
      <c r="B8" s="55"/>
      <c r="C8" s="632">
        <f>SUM(C5:C7)</f>
        <v>784300</v>
      </c>
      <c r="D8" s="675">
        <f>+E8/(C6+C7+C5)</f>
        <v>5.3727590487441033</v>
      </c>
      <c r="E8" s="676">
        <f>+E6+E7+E5</f>
        <v>4213854.9219300002</v>
      </c>
      <c r="F8" s="677">
        <f>SUM(F5:F7)</f>
        <v>7657627856.8772926</v>
      </c>
      <c r="G8" s="82"/>
      <c r="H8" s="1173">
        <f>5523664438+530964570+1306461993</f>
        <v>7361091001</v>
      </c>
      <c r="I8" s="596"/>
      <c r="J8" s="55"/>
      <c r="K8"/>
      <c r="L8"/>
      <c r="M8"/>
      <c r="Q8" s="355"/>
      <c r="R8" s="328"/>
      <c r="S8" s="510"/>
      <c r="V8" s="85"/>
      <c r="W8" s="324"/>
      <c r="X8" s="327"/>
    </row>
    <row r="9" spans="2:24">
      <c r="B9" s="55"/>
      <c r="C9" s="941"/>
      <c r="D9" s="942"/>
      <c r="E9" s="943"/>
      <c r="F9" s="944"/>
      <c r="G9" s="82"/>
      <c r="H9" s="54">
        <f>+H8-F8</f>
        <v>-296536855.87729263</v>
      </c>
      <c r="I9" s="596"/>
      <c r="J9" s="55"/>
      <c r="K9"/>
      <c r="L9"/>
      <c r="M9"/>
      <c r="Q9" s="355"/>
      <c r="R9" s="328"/>
      <c r="S9" s="510"/>
      <c r="V9" s="85"/>
      <c r="W9" s="324"/>
      <c r="X9" s="327"/>
    </row>
    <row r="10" spans="2:24" ht="13.5" thickBot="1">
      <c r="B10" s="514">
        <f>+EcopeGj!C10</f>
        <v>2.1055447869002819E-2</v>
      </c>
      <c r="C10" s="514">
        <f>+C187</f>
        <v>34430.240584834013</v>
      </c>
      <c r="D10" s="514"/>
      <c r="E10" s="513"/>
      <c r="F10" s="515"/>
      <c r="G10" s="82"/>
      <c r="H10" s="1046"/>
      <c r="I10" s="55"/>
      <c r="J10"/>
      <c r="K10"/>
      <c r="L10"/>
      <c r="M10"/>
      <c r="Q10" s="252"/>
      <c r="U10" s="327"/>
      <c r="V10" s="327"/>
      <c r="W10" s="324"/>
      <c r="X10" s="327"/>
    </row>
    <row r="11" spans="2:24" ht="13.5" thickTop="1">
      <c r="B11" s="183" t="s">
        <v>2</v>
      </c>
      <c r="C11" s="184"/>
      <c r="D11" s="185" t="s">
        <v>9</v>
      </c>
      <c r="E11" s="186"/>
      <c r="F11" s="187"/>
      <c r="G11" s="82"/>
      <c r="H11"/>
      <c r="I11"/>
      <c r="J11"/>
      <c r="K11"/>
      <c r="L11"/>
      <c r="M11"/>
      <c r="P11" s="252"/>
      <c r="Q11" s="252"/>
      <c r="S11" s="14"/>
      <c r="W11" s="324"/>
      <c r="X11" s="327"/>
    </row>
    <row r="12" spans="2:24" ht="13.5" thickBot="1">
      <c r="B12" s="188"/>
      <c r="C12" s="189" t="s">
        <v>7</v>
      </c>
      <c r="D12" s="190" t="s">
        <v>109</v>
      </c>
      <c r="E12" s="191" t="s">
        <v>111</v>
      </c>
      <c r="F12" s="192" t="s">
        <v>9</v>
      </c>
      <c r="G12" s="82"/>
      <c r="H12"/>
      <c r="I12"/>
      <c r="J12"/>
      <c r="K12"/>
      <c r="L12"/>
      <c r="M12"/>
      <c r="O12" s="328"/>
      <c r="P12" s="350"/>
      <c r="Q12" s="354"/>
      <c r="S12" s="85"/>
      <c r="U12" s="327"/>
      <c r="W12" s="324"/>
      <c r="X12" s="327"/>
    </row>
    <row r="13" spans="2:24">
      <c r="B13" s="200" t="s">
        <v>37</v>
      </c>
      <c r="C13" s="466">
        <f>+'INPUT VOL'!G4</f>
        <v>9228.7131192000052</v>
      </c>
      <c r="D13" s="342">
        <f>+D5</f>
        <v>6.0399000000000003</v>
      </c>
      <c r="E13" s="201">
        <f>+'INPUT II'!F7</f>
        <v>1817.25</v>
      </c>
      <c r="F13" s="197">
        <f t="shared" ref="F13:F52" si="0">+C13*D13*E13</f>
        <v>101294431.56394032</v>
      </c>
      <c r="G13" s="82"/>
      <c r="H13"/>
      <c r="I13"/>
      <c r="J13" s="14"/>
      <c r="K13"/>
      <c r="L13"/>
      <c r="M13"/>
      <c r="O13" s="328"/>
      <c r="P13" s="350"/>
      <c r="Q13" s="354"/>
      <c r="R13" s="356"/>
      <c r="S13" s="510"/>
      <c r="W13" s="324"/>
      <c r="X13" s="327"/>
    </row>
    <row r="14" spans="2:24">
      <c r="B14" s="193" t="s">
        <v>38</v>
      </c>
      <c r="C14" s="467">
        <f>+'INPUT VOL'!G5</f>
        <v>6003.9878180000005</v>
      </c>
      <c r="D14" s="195">
        <f t="shared" ref="D14:E18" si="1">+D13</f>
        <v>6.0399000000000003</v>
      </c>
      <c r="E14" s="196">
        <f t="shared" si="1"/>
        <v>1817.25</v>
      </c>
      <c r="F14" s="197">
        <f t="shared" si="0"/>
        <v>65899819.973367199</v>
      </c>
      <c r="G14" s="82"/>
      <c r="H14"/>
      <c r="I14"/>
      <c r="J14" s="14"/>
      <c r="K14"/>
      <c r="L14"/>
      <c r="M14"/>
      <c r="P14" s="252"/>
      <c r="Q14" s="252"/>
      <c r="W14" s="324"/>
      <c r="X14" s="327"/>
    </row>
    <row r="15" spans="2:24">
      <c r="B15" s="193" t="s">
        <v>51</v>
      </c>
      <c r="C15" s="467">
        <f>+'INPUT VOL'!G6</f>
        <v>701.06729210963249</v>
      </c>
      <c r="D15" s="195">
        <f t="shared" si="1"/>
        <v>6.0399000000000003</v>
      </c>
      <c r="E15" s="196">
        <f t="shared" si="1"/>
        <v>1817.25</v>
      </c>
      <c r="F15" s="197">
        <f t="shared" si="0"/>
        <v>7694920.3995271679</v>
      </c>
      <c r="G15" s="82"/>
      <c r="H15"/>
      <c r="I15"/>
      <c r="J15" s="14"/>
      <c r="K15"/>
      <c r="L15"/>
      <c r="M15"/>
      <c r="N15"/>
      <c r="S15" s="327"/>
      <c r="W15" s="324"/>
      <c r="X15" s="327"/>
    </row>
    <row r="16" spans="2:24">
      <c r="B16" s="193" t="s">
        <v>55</v>
      </c>
      <c r="C16" s="467">
        <f>+'INPUT VOL'!G7</f>
        <v>422.46849600000002</v>
      </c>
      <c r="D16" s="195">
        <f t="shared" si="1"/>
        <v>6.0399000000000003</v>
      </c>
      <c r="E16" s="196">
        <f t="shared" si="1"/>
        <v>1817.25</v>
      </c>
      <c r="F16" s="197">
        <f t="shared" si="0"/>
        <v>4637017.7080228049</v>
      </c>
      <c r="G16" s="82"/>
      <c r="H16"/>
      <c r="I16"/>
      <c r="J16" s="14"/>
      <c r="K16"/>
      <c r="L16"/>
      <c r="M16"/>
      <c r="N16"/>
      <c r="W16" s="324"/>
      <c r="X16" s="327"/>
    </row>
    <row r="17" spans="2:24">
      <c r="B17" s="193" t="s">
        <v>56</v>
      </c>
      <c r="C17" s="467">
        <f>+'INPUT VOL'!G8</f>
        <v>2515.740020781398</v>
      </c>
      <c r="D17" s="195">
        <f t="shared" si="1"/>
        <v>6.0399000000000003</v>
      </c>
      <c r="E17" s="196">
        <f t="shared" si="1"/>
        <v>1817.25</v>
      </c>
      <c r="F17" s="197">
        <f t="shared" si="0"/>
        <v>27612783.285845298</v>
      </c>
      <c r="G17" s="82"/>
      <c r="H17"/>
      <c r="I17"/>
      <c r="J17" s="14"/>
      <c r="K17"/>
      <c r="L17"/>
      <c r="M17"/>
      <c r="N17"/>
      <c r="W17" s="324"/>
      <c r="X17" s="327"/>
    </row>
    <row r="18" spans="2:24">
      <c r="B18" s="193" t="s">
        <v>504</v>
      </c>
      <c r="C18" s="467"/>
      <c r="D18" s="195">
        <f t="shared" si="1"/>
        <v>6.0399000000000003</v>
      </c>
      <c r="E18" s="196">
        <f t="shared" si="1"/>
        <v>1817.25</v>
      </c>
      <c r="F18" s="197">
        <f>+C18*D18*E18</f>
        <v>0</v>
      </c>
      <c r="G18" s="82"/>
      <c r="H18"/>
      <c r="I18"/>
      <c r="J18" s="14"/>
      <c r="K18"/>
      <c r="L18"/>
      <c r="M18"/>
      <c r="N18"/>
      <c r="W18" s="324"/>
      <c r="X18" s="327"/>
    </row>
    <row r="19" spans="2:24">
      <c r="B19" s="193" t="s">
        <v>57</v>
      </c>
      <c r="C19" s="467">
        <f>+'INPUT VOL'!G10</f>
        <v>14929.904567846155</v>
      </c>
      <c r="D19" s="195">
        <f>+D17</f>
        <v>6.0399000000000003</v>
      </c>
      <c r="E19" s="196">
        <f>+E17</f>
        <v>1817.25</v>
      </c>
      <c r="F19" s="197">
        <f t="shared" si="0"/>
        <v>163870756.08163971</v>
      </c>
      <c r="G19" s="82"/>
      <c r="H19"/>
      <c r="I19"/>
      <c r="J19" s="14"/>
      <c r="K19"/>
      <c r="L19"/>
      <c r="M19"/>
      <c r="N19"/>
      <c r="W19" s="324"/>
      <c r="X19" s="327"/>
    </row>
    <row r="20" spans="2:24">
      <c r="B20" s="193" t="s">
        <v>58</v>
      </c>
      <c r="C20" s="467">
        <f>+'INPUT VOL'!G11</f>
        <v>10600.766505230766</v>
      </c>
      <c r="D20" s="195">
        <f t="shared" ref="D20:E29" si="2">+D19</f>
        <v>6.0399000000000003</v>
      </c>
      <c r="E20" s="196">
        <f t="shared" si="2"/>
        <v>1817.25</v>
      </c>
      <c r="F20" s="197">
        <f t="shared" si="0"/>
        <v>116354100.88275573</v>
      </c>
      <c r="G20" s="82"/>
      <c r="H20"/>
      <c r="I20"/>
      <c r="J20" s="14"/>
      <c r="K20"/>
      <c r="L20"/>
      <c r="M20"/>
      <c r="W20" s="324"/>
      <c r="X20" s="327"/>
    </row>
    <row r="21" spans="2:24">
      <c r="B21" s="692" t="s">
        <v>185</v>
      </c>
      <c r="C21" s="467">
        <f>+'INPUT VOL'!G151</f>
        <v>20562.753477999999</v>
      </c>
      <c r="D21" s="195">
        <f t="shared" si="2"/>
        <v>6.0399000000000003</v>
      </c>
      <c r="E21" s="196">
        <f t="shared" si="2"/>
        <v>1817.25</v>
      </c>
      <c r="F21" s="197">
        <f t="shared" si="0"/>
        <v>225696952.33131301</v>
      </c>
      <c r="G21" s="82"/>
      <c r="H21"/>
      <c r="I21"/>
      <c r="J21" s="14"/>
      <c r="K21"/>
      <c r="L21"/>
      <c r="M21"/>
      <c r="W21" s="324"/>
      <c r="X21" s="327"/>
    </row>
    <row r="22" spans="2:24">
      <c r="B22" s="193" t="s">
        <v>178</v>
      </c>
      <c r="C22" s="936">
        <f>+'INPUT VOL'!G12-48481-7640</f>
        <v>19465.168087461541</v>
      </c>
      <c r="D22" s="195">
        <f>+D20</f>
        <v>6.0399000000000003</v>
      </c>
      <c r="E22" s="196">
        <f>+E20</f>
        <v>1817.25</v>
      </c>
      <c r="F22" s="905">
        <f>+C22*D22*E22-F189</f>
        <v>213649846.00224382</v>
      </c>
      <c r="G22" s="82"/>
      <c r="H22"/>
      <c r="I22"/>
      <c r="J22" s="14"/>
      <c r="K22"/>
      <c r="L22"/>
      <c r="M22"/>
      <c r="O22" s="327"/>
      <c r="W22" s="324"/>
      <c r="X22" s="327"/>
    </row>
    <row r="23" spans="2:24">
      <c r="B23" s="193" t="s">
        <v>179</v>
      </c>
      <c r="C23" s="467">
        <f>+'INPUT VOL'!G13</f>
        <v>1158.6383796</v>
      </c>
      <c r="D23" s="195">
        <f t="shared" si="2"/>
        <v>6.0399000000000003</v>
      </c>
      <c r="E23" s="196">
        <f t="shared" si="2"/>
        <v>1817.25</v>
      </c>
      <c r="F23" s="197">
        <f t="shared" si="0"/>
        <v>12717224.442222191</v>
      </c>
      <c r="G23" s="82"/>
      <c r="H23"/>
      <c r="I23"/>
      <c r="J23" s="14"/>
      <c r="K23"/>
      <c r="L23"/>
      <c r="M23"/>
      <c r="N23" s="327"/>
      <c r="O23" s="327"/>
      <c r="R23" s="85"/>
      <c r="W23" s="324"/>
      <c r="X23" s="327"/>
    </row>
    <row r="24" spans="2:24">
      <c r="B24" s="193" t="s">
        <v>180</v>
      </c>
      <c r="C24" s="467">
        <f>+'INPUT VOL'!G14</f>
        <v>209.99896000000004</v>
      </c>
      <c r="D24" s="195">
        <f t="shared" si="2"/>
        <v>6.0399000000000003</v>
      </c>
      <c r="E24" s="196">
        <f t="shared" si="2"/>
        <v>1817.25</v>
      </c>
      <c r="F24" s="197">
        <f t="shared" si="0"/>
        <v>2304950.3227013946</v>
      </c>
      <c r="G24" s="82"/>
      <c r="H24"/>
      <c r="I24"/>
      <c r="J24" s="14"/>
      <c r="K24"/>
      <c r="L24"/>
      <c r="M24"/>
      <c r="N24" s="327"/>
      <c r="W24" s="324"/>
      <c r="X24" s="327"/>
    </row>
    <row r="25" spans="2:24">
      <c r="B25" s="193" t="s">
        <v>59</v>
      </c>
      <c r="C25" s="467">
        <f>+'INPUT VOL'!G16</f>
        <v>12838.240379400948</v>
      </c>
      <c r="D25" s="195">
        <f>+D20</f>
        <v>6.0399000000000003</v>
      </c>
      <c r="E25" s="196">
        <f t="shared" si="2"/>
        <v>1817.25</v>
      </c>
      <c r="F25" s="197">
        <f t="shared" si="0"/>
        <v>140912632.64074394</v>
      </c>
      <c r="G25" s="82"/>
      <c r="H25"/>
      <c r="I25"/>
      <c r="J25" s="14"/>
      <c r="K25"/>
      <c r="L25"/>
      <c r="M25"/>
      <c r="W25" s="324"/>
      <c r="X25" s="327"/>
    </row>
    <row r="26" spans="2:24">
      <c r="B26" s="193" t="s">
        <v>60</v>
      </c>
      <c r="C26" s="936">
        <f>+'INPUT VOL'!G17-13192</f>
        <v>4.4396153842171771E-2</v>
      </c>
      <c r="D26" s="195">
        <f>+D25</f>
        <v>6.0399000000000003</v>
      </c>
      <c r="E26" s="196">
        <f t="shared" si="2"/>
        <v>1817.25</v>
      </c>
      <c r="F26" s="197">
        <f t="shared" si="0"/>
        <v>487.29255194985041</v>
      </c>
      <c r="G26" s="82"/>
      <c r="H26" s="327"/>
      <c r="I26"/>
      <c r="J26" s="14"/>
      <c r="K26"/>
      <c r="L26"/>
      <c r="M26"/>
      <c r="W26" s="324"/>
      <c r="X26" s="327"/>
    </row>
    <row r="27" spans="2:24">
      <c r="B27" s="199" t="s">
        <v>13</v>
      </c>
      <c r="C27" s="936">
        <f>+'INPUT VOL'!G39-36523.7</f>
        <v>-1.9399999997403938E-2</v>
      </c>
      <c r="D27" s="195">
        <f>+D26</f>
        <v>6.0399000000000003</v>
      </c>
      <c r="E27" s="196">
        <f t="shared" si="2"/>
        <v>1817.25</v>
      </c>
      <c r="F27" s="197">
        <f>+C27*D27*E27+H27</f>
        <v>-3.4560506505613375E-2</v>
      </c>
      <c r="G27" s="82"/>
      <c r="H27" s="1039">
        <v>212.9</v>
      </c>
      <c r="I27"/>
      <c r="J27" s="14"/>
      <c r="K27"/>
      <c r="W27" s="324"/>
      <c r="X27" s="327"/>
    </row>
    <row r="28" spans="2:24">
      <c r="B28" s="199" t="s">
        <v>351</v>
      </c>
      <c r="C28" s="936">
        <f>+'INPUT VOL'!G40-20455</f>
        <v>-2.5399999998626299E-2</v>
      </c>
      <c r="D28" s="195">
        <f>+D27</f>
        <v>6.0399000000000003</v>
      </c>
      <c r="E28" s="196">
        <f t="shared" si="2"/>
        <v>1817.25</v>
      </c>
      <c r="F28" s="197">
        <f>+C28*D28*E28-212.7+H28</f>
        <v>9.3898300777368604E-3</v>
      </c>
      <c r="G28" s="82"/>
      <c r="H28" s="1039">
        <v>491.5</v>
      </c>
      <c r="I28"/>
      <c r="J28" s="14"/>
      <c r="K28"/>
      <c r="W28" s="324"/>
      <c r="X28" s="327"/>
    </row>
    <row r="29" spans="2:24">
      <c r="B29" s="199" t="s">
        <v>14</v>
      </c>
      <c r="C29" s="936">
        <f>+'INPUT VOL'!G41-9573.5</f>
        <v>-1.8000000000029104E-2</v>
      </c>
      <c r="D29" s="195">
        <f>+D27</f>
        <v>6.0399000000000003</v>
      </c>
      <c r="E29" s="196">
        <f t="shared" si="2"/>
        <v>1817.25</v>
      </c>
      <c r="F29" s="197">
        <f>+C29*D29*E29+H29</f>
        <v>3.18510496805402E-2</v>
      </c>
      <c r="G29" s="82"/>
      <c r="H29" s="1039">
        <v>197.6</v>
      </c>
      <c r="I29"/>
      <c r="J29" s="14"/>
      <c r="K29"/>
      <c r="W29" s="324"/>
      <c r="X29" s="327"/>
    </row>
    <row r="30" spans="2:24">
      <c r="B30" s="199" t="s">
        <v>15</v>
      </c>
      <c r="C30" s="936"/>
      <c r="D30" s="195">
        <f t="shared" ref="D30:E45" si="3">+D29</f>
        <v>6.0399000000000003</v>
      </c>
      <c r="E30" s="196">
        <f t="shared" si="3"/>
        <v>1817.25</v>
      </c>
      <c r="F30" s="197">
        <f t="shared" si="0"/>
        <v>0</v>
      </c>
      <c r="G30" s="82"/>
      <c r="H30"/>
      <c r="I30"/>
      <c r="J30" s="14"/>
      <c r="K30"/>
      <c r="W30" s="324"/>
      <c r="X30" s="327"/>
    </row>
    <row r="31" spans="2:24">
      <c r="B31" s="199" t="s">
        <v>16</v>
      </c>
      <c r="C31" s="936"/>
      <c r="D31" s="195">
        <f t="shared" si="3"/>
        <v>6.0399000000000003</v>
      </c>
      <c r="E31" s="196">
        <f t="shared" si="3"/>
        <v>1817.25</v>
      </c>
      <c r="F31" s="197">
        <f t="shared" si="0"/>
        <v>0</v>
      </c>
      <c r="G31" s="82"/>
      <c r="H31"/>
      <c r="I31"/>
      <c r="J31" s="14"/>
      <c r="K31"/>
      <c r="W31" s="324"/>
      <c r="X31" s="327"/>
    </row>
    <row r="32" spans="2:24">
      <c r="B32" s="199" t="s">
        <v>17</v>
      </c>
      <c r="C32" s="936"/>
      <c r="D32" s="195">
        <f t="shared" si="3"/>
        <v>6.0399000000000003</v>
      </c>
      <c r="E32" s="196">
        <f t="shared" si="3"/>
        <v>1817.25</v>
      </c>
      <c r="F32" s="197">
        <f t="shared" si="0"/>
        <v>0</v>
      </c>
      <c r="G32" s="82"/>
      <c r="H32"/>
      <c r="I32"/>
      <c r="J32" s="14"/>
      <c r="K32"/>
      <c r="W32" s="324"/>
      <c r="X32" s="327"/>
    </row>
    <row r="33" spans="2:24">
      <c r="B33" s="199" t="s">
        <v>18</v>
      </c>
      <c r="C33" s="936"/>
      <c r="D33" s="195">
        <f t="shared" si="3"/>
        <v>6.0399000000000003</v>
      </c>
      <c r="E33" s="196">
        <f t="shared" si="3"/>
        <v>1817.25</v>
      </c>
      <c r="F33" s="197">
        <f t="shared" si="0"/>
        <v>0</v>
      </c>
      <c r="G33" s="82"/>
      <c r="H33"/>
      <c r="I33"/>
      <c r="J33" s="14"/>
      <c r="K33"/>
      <c r="W33" s="324"/>
      <c r="X33" s="327"/>
    </row>
    <row r="34" spans="2:24">
      <c r="B34" s="581" t="s">
        <v>19</v>
      </c>
      <c r="C34" s="936"/>
      <c r="D34" s="195">
        <f t="shared" si="3"/>
        <v>6.0399000000000003</v>
      </c>
      <c r="E34" s="196">
        <f t="shared" si="3"/>
        <v>1817.25</v>
      </c>
      <c r="F34" s="197">
        <f t="shared" si="0"/>
        <v>0</v>
      </c>
      <c r="G34" s="82"/>
      <c r="H34"/>
      <c r="I34"/>
      <c r="J34" s="14"/>
      <c r="K34"/>
      <c r="W34" s="324"/>
      <c r="X34" s="327"/>
    </row>
    <row r="35" spans="2:24">
      <c r="B35" s="199" t="s">
        <v>20</v>
      </c>
      <c r="C35" s="936"/>
      <c r="D35" s="195">
        <f t="shared" si="3"/>
        <v>6.0399000000000003</v>
      </c>
      <c r="E35" s="196">
        <f t="shared" si="3"/>
        <v>1817.25</v>
      </c>
      <c r="F35" s="197">
        <f t="shared" si="0"/>
        <v>0</v>
      </c>
      <c r="G35" s="82"/>
      <c r="H35"/>
      <c r="I35"/>
      <c r="J35" s="14"/>
      <c r="K35"/>
      <c r="W35" s="324"/>
      <c r="X35" s="327"/>
    </row>
    <row r="36" spans="2:24">
      <c r="B36" s="199" t="s">
        <v>21</v>
      </c>
      <c r="C36" s="936"/>
      <c r="D36" s="195">
        <f t="shared" si="3"/>
        <v>6.0399000000000003</v>
      </c>
      <c r="E36" s="196">
        <f t="shared" si="3"/>
        <v>1817.25</v>
      </c>
      <c r="F36" s="197">
        <f t="shared" si="0"/>
        <v>0</v>
      </c>
      <c r="G36" s="82"/>
      <c r="H36"/>
      <c r="I36"/>
      <c r="J36" s="14"/>
      <c r="K36"/>
      <c r="W36" s="324"/>
      <c r="X36" s="327"/>
    </row>
    <row r="37" spans="2:24">
      <c r="B37" s="199" t="s">
        <v>22</v>
      </c>
      <c r="C37" s="936"/>
      <c r="D37" s="195">
        <f t="shared" si="3"/>
        <v>6.0399000000000003</v>
      </c>
      <c r="E37" s="196">
        <f t="shared" si="3"/>
        <v>1817.25</v>
      </c>
      <c r="F37" s="197">
        <f t="shared" si="0"/>
        <v>0</v>
      </c>
      <c r="G37" s="82"/>
      <c r="H37"/>
      <c r="I37"/>
      <c r="J37" s="14"/>
      <c r="K37"/>
      <c r="W37" s="324"/>
      <c r="X37" s="327"/>
    </row>
    <row r="38" spans="2:24">
      <c r="B38" s="199" t="s">
        <v>23</v>
      </c>
      <c r="C38" s="936"/>
      <c r="D38" s="195">
        <f t="shared" si="3"/>
        <v>6.0399000000000003</v>
      </c>
      <c r="E38" s="196">
        <f t="shared" si="3"/>
        <v>1817.25</v>
      </c>
      <c r="F38" s="197">
        <f t="shared" si="0"/>
        <v>0</v>
      </c>
      <c r="G38" s="82"/>
      <c r="H38"/>
      <c r="I38"/>
      <c r="J38" s="14"/>
      <c r="K38"/>
      <c r="W38" s="324"/>
      <c r="X38" s="327"/>
    </row>
    <row r="39" spans="2:24">
      <c r="B39" s="199" t="s">
        <v>24</v>
      </c>
      <c r="C39" s="936"/>
      <c r="D39" s="195">
        <f t="shared" si="3"/>
        <v>6.0399000000000003</v>
      </c>
      <c r="E39" s="196">
        <f t="shared" si="3"/>
        <v>1817.25</v>
      </c>
      <c r="F39" s="197">
        <f t="shared" si="0"/>
        <v>0</v>
      </c>
      <c r="G39" s="82"/>
      <c r="H39"/>
      <c r="I39"/>
      <c r="J39" s="14"/>
      <c r="K39"/>
      <c r="W39" s="324"/>
      <c r="X39" s="327"/>
    </row>
    <row r="40" spans="2:24">
      <c r="B40" s="199" t="s">
        <v>25</v>
      </c>
      <c r="C40" s="467"/>
      <c r="D40" s="195">
        <f t="shared" si="3"/>
        <v>6.0399000000000003</v>
      </c>
      <c r="E40" s="196">
        <f t="shared" si="3"/>
        <v>1817.25</v>
      </c>
      <c r="F40" s="197">
        <f t="shared" si="0"/>
        <v>0</v>
      </c>
      <c r="G40" s="82"/>
      <c r="H40"/>
      <c r="I40"/>
      <c r="J40" s="14"/>
      <c r="K40"/>
      <c r="W40" s="324"/>
      <c r="X40" s="327"/>
    </row>
    <row r="41" spans="2:24">
      <c r="B41" s="199" t="s">
        <v>190</v>
      </c>
      <c r="C41" s="467"/>
      <c r="D41" s="195">
        <f t="shared" si="3"/>
        <v>6.0399000000000003</v>
      </c>
      <c r="E41" s="196">
        <f t="shared" si="3"/>
        <v>1817.25</v>
      </c>
      <c r="F41" s="197">
        <f t="shared" si="0"/>
        <v>0</v>
      </c>
      <c r="G41" s="82"/>
      <c r="H41"/>
      <c r="I41"/>
      <c r="J41" s="14"/>
      <c r="K41"/>
      <c r="W41" s="324"/>
      <c r="X41" s="327"/>
    </row>
    <row r="42" spans="2:24">
      <c r="B42" s="904" t="s">
        <v>479</v>
      </c>
      <c r="C42" s="467"/>
      <c r="D42" s="195">
        <f t="shared" si="3"/>
        <v>6.0399000000000003</v>
      </c>
      <c r="E42" s="196">
        <f t="shared" si="3"/>
        <v>1817.25</v>
      </c>
      <c r="F42" s="905">
        <f t="shared" si="0"/>
        <v>0</v>
      </c>
      <c r="G42" s="82"/>
      <c r="H42"/>
      <c r="I42"/>
      <c r="J42" s="14"/>
      <c r="K42"/>
      <c r="W42" s="324"/>
      <c r="X42" s="327"/>
    </row>
    <row r="43" spans="2:24">
      <c r="B43" s="199" t="s">
        <v>215</v>
      </c>
      <c r="C43" s="467"/>
      <c r="D43" s="195">
        <f>+D41</f>
        <v>6.0399000000000003</v>
      </c>
      <c r="E43" s="196">
        <f>+E41</f>
        <v>1817.25</v>
      </c>
      <c r="F43" s="197">
        <f t="shared" si="0"/>
        <v>0</v>
      </c>
      <c r="G43" s="82"/>
      <c r="H43"/>
      <c r="I43"/>
      <c r="J43" s="14"/>
      <c r="K43"/>
      <c r="L43"/>
      <c r="M43"/>
      <c r="N43"/>
      <c r="W43" s="324"/>
      <c r="X43" s="327"/>
    </row>
    <row r="44" spans="2:24">
      <c r="B44" s="202" t="s">
        <v>350</v>
      </c>
      <c r="C44" s="467"/>
      <c r="D44" s="195">
        <f t="shared" si="3"/>
        <v>6.0399000000000003</v>
      </c>
      <c r="E44" s="196">
        <f t="shared" si="3"/>
        <v>1817.25</v>
      </c>
      <c r="F44" s="197">
        <f>+C44*D44*E44</f>
        <v>0</v>
      </c>
      <c r="G44" s="82"/>
      <c r="H44"/>
      <c r="I44"/>
      <c r="J44" s="14"/>
      <c r="K44"/>
      <c r="L44"/>
      <c r="M44"/>
      <c r="N44"/>
      <c r="W44" s="324"/>
      <c r="X44" s="327"/>
    </row>
    <row r="45" spans="2:24">
      <c r="B45" s="199" t="s">
        <v>26</v>
      </c>
      <c r="C45" s="467"/>
      <c r="D45" s="195">
        <f>+D40</f>
        <v>6.0399000000000003</v>
      </c>
      <c r="E45" s="196">
        <f t="shared" si="3"/>
        <v>1817.25</v>
      </c>
      <c r="F45" s="197">
        <f t="shared" si="0"/>
        <v>0</v>
      </c>
      <c r="G45" s="82"/>
      <c r="H45"/>
      <c r="I45"/>
      <c r="J45" s="14"/>
      <c r="K45"/>
      <c r="L45"/>
      <c r="M45"/>
      <c r="N45"/>
      <c r="W45" s="324"/>
      <c r="X45" s="327"/>
    </row>
    <row r="46" spans="2:24">
      <c r="B46" s="199" t="s">
        <v>27</v>
      </c>
      <c r="C46" s="467"/>
      <c r="D46" s="195">
        <f t="shared" ref="D46:E51" si="4">+D45</f>
        <v>6.0399000000000003</v>
      </c>
      <c r="E46" s="196">
        <f t="shared" si="4"/>
        <v>1817.25</v>
      </c>
      <c r="F46" s="197">
        <f t="shared" si="0"/>
        <v>0</v>
      </c>
      <c r="G46" s="82"/>
      <c r="H46"/>
      <c r="I46"/>
      <c r="J46" s="14"/>
      <c r="K46"/>
      <c r="L46"/>
      <c r="M46"/>
      <c r="N46"/>
      <c r="W46" s="324"/>
      <c r="X46" s="327"/>
    </row>
    <row r="47" spans="2:24">
      <c r="B47" s="199" t="s">
        <v>28</v>
      </c>
      <c r="C47" s="467"/>
      <c r="D47" s="195">
        <f t="shared" si="4"/>
        <v>6.0399000000000003</v>
      </c>
      <c r="E47" s="196">
        <f t="shared" si="4"/>
        <v>1817.25</v>
      </c>
      <c r="F47" s="197">
        <f t="shared" si="0"/>
        <v>0</v>
      </c>
      <c r="G47" s="82"/>
      <c r="H47"/>
      <c r="I47"/>
      <c r="J47" s="14"/>
      <c r="K47"/>
      <c r="L47"/>
      <c r="M47"/>
      <c r="N47"/>
      <c r="W47" s="324"/>
      <c r="X47" s="327"/>
    </row>
    <row r="48" spans="2:24">
      <c r="B48" s="199" t="s">
        <v>29</v>
      </c>
      <c r="C48" s="467"/>
      <c r="D48" s="195">
        <f t="shared" si="4"/>
        <v>6.0399000000000003</v>
      </c>
      <c r="E48" s="196">
        <f t="shared" si="4"/>
        <v>1817.25</v>
      </c>
      <c r="F48" s="197">
        <f t="shared" si="0"/>
        <v>0</v>
      </c>
      <c r="G48" s="82"/>
      <c r="H48"/>
      <c r="I48"/>
      <c r="J48" s="14"/>
      <c r="K48"/>
      <c r="L48"/>
      <c r="M48"/>
      <c r="N48"/>
      <c r="W48" s="324"/>
      <c r="X48" s="327"/>
    </row>
    <row r="49" spans="2:24">
      <c r="B49" s="199" t="s">
        <v>30</v>
      </c>
      <c r="C49" s="467"/>
      <c r="D49" s="195">
        <f t="shared" si="4"/>
        <v>6.0399000000000003</v>
      </c>
      <c r="E49" s="196">
        <f t="shared" si="4"/>
        <v>1817.25</v>
      </c>
      <c r="F49" s="197">
        <f t="shared" si="0"/>
        <v>0</v>
      </c>
      <c r="G49" s="82"/>
      <c r="H49"/>
      <c r="I49"/>
      <c r="J49" s="14"/>
      <c r="K49"/>
      <c r="L49"/>
      <c r="M49"/>
      <c r="N49"/>
      <c r="W49" s="324"/>
      <c r="X49" s="327"/>
    </row>
    <row r="50" spans="2:24">
      <c r="B50" s="199" t="s">
        <v>31</v>
      </c>
      <c r="C50" s="467"/>
      <c r="D50" s="195">
        <f t="shared" si="4"/>
        <v>6.0399000000000003</v>
      </c>
      <c r="E50" s="196">
        <f t="shared" si="4"/>
        <v>1817.25</v>
      </c>
      <c r="F50" s="197">
        <f t="shared" si="0"/>
        <v>0</v>
      </c>
      <c r="G50" s="157"/>
      <c r="H50"/>
      <c r="I50"/>
      <c r="J50" s="14"/>
      <c r="K50"/>
      <c r="L50"/>
      <c r="M50"/>
      <c r="N50"/>
      <c r="W50" s="324"/>
      <c r="X50" s="327"/>
    </row>
    <row r="51" spans="2:24">
      <c r="B51" s="199" t="s">
        <v>32</v>
      </c>
      <c r="C51" s="467"/>
      <c r="D51" s="195">
        <f t="shared" si="4"/>
        <v>6.0399000000000003</v>
      </c>
      <c r="E51" s="196">
        <f t="shared" si="4"/>
        <v>1817.25</v>
      </c>
      <c r="F51" s="197">
        <f t="shared" si="0"/>
        <v>0</v>
      </c>
      <c r="G51" s="157"/>
      <c r="H51"/>
      <c r="I51"/>
      <c r="J51" s="14"/>
      <c r="K51"/>
      <c r="L51"/>
      <c r="M51"/>
      <c r="N51"/>
      <c r="W51" s="324"/>
      <c r="X51" s="327"/>
    </row>
    <row r="52" spans="2:24">
      <c r="B52" s="199" t="s">
        <v>33</v>
      </c>
      <c r="C52" s="467"/>
      <c r="D52" s="195">
        <f>+D51</f>
        <v>6.0399000000000003</v>
      </c>
      <c r="E52" s="196">
        <f>+E51</f>
        <v>1817.25</v>
      </c>
      <c r="F52" s="197">
        <f t="shared" si="0"/>
        <v>0</v>
      </c>
      <c r="G52" s="157"/>
      <c r="H52"/>
      <c r="I52"/>
      <c r="J52" s="14"/>
      <c r="K52"/>
      <c r="L52"/>
      <c r="M52"/>
      <c r="N52"/>
      <c r="W52" s="324"/>
      <c r="X52" s="327"/>
    </row>
    <row r="53" spans="2:24">
      <c r="B53" s="199" t="s">
        <v>52</v>
      </c>
      <c r="C53" s="467"/>
      <c r="D53" s="195">
        <f>+D52</f>
        <v>6.0399000000000003</v>
      </c>
      <c r="E53" s="196">
        <f t="shared" ref="E53:E59" si="5">+E52</f>
        <v>1817.25</v>
      </c>
      <c r="F53" s="197">
        <f t="shared" ref="F53:F58" si="6">+C53*D53*E53</f>
        <v>0</v>
      </c>
      <c r="G53" s="157"/>
      <c r="H53"/>
      <c r="I53"/>
      <c r="J53" s="14"/>
      <c r="K53"/>
      <c r="L53"/>
      <c r="M53"/>
      <c r="N53"/>
      <c r="W53" s="324"/>
      <c r="X53" s="327"/>
    </row>
    <row r="54" spans="2:24">
      <c r="B54" s="199" t="s">
        <v>342</v>
      </c>
      <c r="C54" s="467"/>
      <c r="D54" s="195">
        <f>+D53</f>
        <v>6.0399000000000003</v>
      </c>
      <c r="E54" s="196">
        <f t="shared" si="5"/>
        <v>1817.25</v>
      </c>
      <c r="F54" s="197">
        <f t="shared" si="6"/>
        <v>0</v>
      </c>
      <c r="G54" s="157"/>
      <c r="H54"/>
      <c r="I54"/>
      <c r="J54" s="14"/>
      <c r="K54"/>
      <c r="L54"/>
      <c r="M54"/>
      <c r="N54"/>
      <c r="W54" s="324"/>
      <c r="X54" s="327"/>
    </row>
    <row r="55" spans="2:24">
      <c r="B55" s="199" t="s">
        <v>54</v>
      </c>
      <c r="C55" s="467"/>
      <c r="D55" s="195">
        <f>+D53</f>
        <v>6.0399000000000003</v>
      </c>
      <c r="E55" s="196">
        <f t="shared" si="5"/>
        <v>1817.25</v>
      </c>
      <c r="F55" s="197">
        <f t="shared" si="6"/>
        <v>0</v>
      </c>
      <c r="G55" s="157"/>
      <c r="H55"/>
      <c r="I55"/>
      <c r="J55" s="14"/>
      <c r="K55"/>
      <c r="L55"/>
      <c r="M55"/>
      <c r="N55"/>
      <c r="W55" s="324"/>
      <c r="X55" s="327"/>
    </row>
    <row r="56" spans="2:24">
      <c r="B56" s="581" t="s">
        <v>150</v>
      </c>
      <c r="C56" s="628"/>
      <c r="D56" s="195">
        <f>+D55</f>
        <v>6.0399000000000003</v>
      </c>
      <c r="E56" s="196">
        <f t="shared" si="5"/>
        <v>1817.25</v>
      </c>
      <c r="F56" s="197">
        <f t="shared" si="6"/>
        <v>0</v>
      </c>
      <c r="G56" s="157"/>
      <c r="H56"/>
      <c r="I56"/>
      <c r="J56" s="14"/>
      <c r="K56"/>
      <c r="L56"/>
      <c r="M56"/>
      <c r="N56"/>
      <c r="W56" s="324"/>
      <c r="X56" s="327"/>
    </row>
    <row r="57" spans="2:24">
      <c r="B57" s="202" t="s">
        <v>61</v>
      </c>
      <c r="C57" s="936">
        <f>+'INPUT VOL'!G73</f>
        <v>14533.974253005081</v>
      </c>
      <c r="D57" s="195">
        <f>+D55</f>
        <v>6.0399000000000003</v>
      </c>
      <c r="E57" s="196">
        <f t="shared" si="5"/>
        <v>1817.25</v>
      </c>
      <c r="F57" s="197">
        <f t="shared" si="6"/>
        <v>159525021.66962072</v>
      </c>
      <c r="G57" s="157"/>
      <c r="H57"/>
      <c r="I57"/>
      <c r="J57" s="14"/>
      <c r="K57"/>
      <c r="L57"/>
      <c r="M57"/>
      <c r="N57"/>
      <c r="W57" s="324"/>
      <c r="X57" s="327"/>
    </row>
    <row r="58" spans="2:24">
      <c r="B58" s="202" t="s">
        <v>217</v>
      </c>
      <c r="C58" s="936">
        <f>+'INPUT VOL'!G74</f>
        <v>26159.215800000002</v>
      </c>
      <c r="D58" s="195">
        <f>+D57</f>
        <v>6.0399000000000003</v>
      </c>
      <c r="E58" s="196">
        <f t="shared" si="5"/>
        <v>1817.25</v>
      </c>
      <c r="F58" s="197">
        <f t="shared" si="6"/>
        <v>287123769.08831078</v>
      </c>
      <c r="G58" s="157"/>
      <c r="H58"/>
      <c r="I58"/>
      <c r="J58" s="14"/>
      <c r="K58"/>
      <c r="L58"/>
      <c r="M58"/>
      <c r="N58"/>
      <c r="W58" s="324"/>
      <c r="X58" s="327"/>
    </row>
    <row r="59" spans="2:24">
      <c r="B59" s="198" t="s">
        <v>34</v>
      </c>
      <c r="C59" s="467"/>
      <c r="D59" s="195">
        <f>+D58</f>
        <v>6.0399000000000003</v>
      </c>
      <c r="E59" s="196">
        <f t="shared" si="5"/>
        <v>1817.25</v>
      </c>
      <c r="F59" s="197">
        <f t="shared" ref="F59:F75" si="7">+C59*D59*E59</f>
        <v>0</v>
      </c>
      <c r="G59" s="157"/>
      <c r="H59"/>
      <c r="I59"/>
      <c r="J59" s="14"/>
      <c r="K59"/>
      <c r="L59"/>
      <c r="M59"/>
      <c r="N59"/>
      <c r="W59" s="324"/>
      <c r="X59" s="327"/>
    </row>
    <row r="60" spans="2:24">
      <c r="B60" s="885" t="s">
        <v>468</v>
      </c>
      <c r="C60" s="467"/>
      <c r="D60" s="195">
        <f>+D59</f>
        <v>6.0399000000000003</v>
      </c>
      <c r="E60" s="196">
        <f>+E59</f>
        <v>1817.25</v>
      </c>
      <c r="F60" s="197">
        <f t="shared" si="7"/>
        <v>0</v>
      </c>
      <c r="G60" s="157"/>
      <c r="H60"/>
      <c r="I60"/>
      <c r="J60" s="14"/>
      <c r="K60"/>
      <c r="L60"/>
      <c r="M60"/>
      <c r="N60"/>
      <c r="W60" s="324"/>
      <c r="X60" s="327"/>
    </row>
    <row r="61" spans="2:24">
      <c r="B61" s="198" t="s">
        <v>35</v>
      </c>
      <c r="C61" s="467"/>
      <c r="D61" s="195">
        <f>+D59</f>
        <v>6.0399000000000003</v>
      </c>
      <c r="E61" s="196">
        <f>+E59</f>
        <v>1817.25</v>
      </c>
      <c r="F61" s="197">
        <f t="shared" si="7"/>
        <v>0</v>
      </c>
      <c r="G61" s="157"/>
      <c r="H61"/>
      <c r="I61"/>
      <c r="J61" s="14"/>
      <c r="K61"/>
      <c r="L61"/>
      <c r="M61"/>
      <c r="N61"/>
      <c r="W61" s="324"/>
      <c r="X61" s="327"/>
    </row>
    <row r="62" spans="2:24">
      <c r="B62" s="198" t="s">
        <v>36</v>
      </c>
      <c r="C62" s="467"/>
      <c r="D62" s="195">
        <f t="shared" ref="D62:E75" si="8">+D61</f>
        <v>6.0399000000000003</v>
      </c>
      <c r="E62" s="196">
        <f t="shared" si="8"/>
        <v>1817.25</v>
      </c>
      <c r="F62" s="197">
        <f t="shared" si="7"/>
        <v>0</v>
      </c>
      <c r="G62" s="157"/>
      <c r="H62"/>
      <c r="I62"/>
      <c r="J62" s="14"/>
      <c r="K62"/>
      <c r="L62"/>
      <c r="M62"/>
      <c r="N62"/>
      <c r="W62" s="324"/>
      <c r="X62" s="327"/>
    </row>
    <row r="63" spans="2:24">
      <c r="B63" s="198" t="s">
        <v>39</v>
      </c>
      <c r="C63" s="467"/>
      <c r="D63" s="195">
        <f t="shared" si="8"/>
        <v>6.0399000000000003</v>
      </c>
      <c r="E63" s="196">
        <f t="shared" si="8"/>
        <v>1817.25</v>
      </c>
      <c r="F63" s="197">
        <f t="shared" si="7"/>
        <v>0</v>
      </c>
      <c r="G63" s="157"/>
      <c r="H63"/>
      <c r="I63"/>
      <c r="J63" s="14"/>
      <c r="K63"/>
      <c r="L63"/>
      <c r="M63"/>
      <c r="N63"/>
      <c r="W63" s="324"/>
      <c r="X63" s="327"/>
    </row>
    <row r="64" spans="2:24">
      <c r="B64" s="198" t="s">
        <v>40</v>
      </c>
      <c r="C64" s="467"/>
      <c r="D64" s="195">
        <f t="shared" si="8"/>
        <v>6.0399000000000003</v>
      </c>
      <c r="E64" s="196">
        <f t="shared" si="8"/>
        <v>1817.25</v>
      </c>
      <c r="F64" s="197">
        <f t="shared" si="7"/>
        <v>0</v>
      </c>
      <c r="G64" s="157"/>
      <c r="H64"/>
      <c r="I64"/>
      <c r="J64" s="14"/>
      <c r="K64"/>
      <c r="L64"/>
      <c r="M64"/>
      <c r="N64"/>
      <c r="W64" s="324"/>
      <c r="X64" s="327"/>
    </row>
    <row r="65" spans="2:24">
      <c r="B65" s="198" t="s">
        <v>41</v>
      </c>
      <c r="C65" s="467"/>
      <c r="D65" s="195">
        <f t="shared" si="8"/>
        <v>6.0399000000000003</v>
      </c>
      <c r="E65" s="196">
        <f t="shared" si="8"/>
        <v>1817.25</v>
      </c>
      <c r="F65" s="197">
        <f t="shared" si="7"/>
        <v>0</v>
      </c>
      <c r="G65" s="157"/>
      <c r="H65"/>
      <c r="I65"/>
      <c r="J65" s="14"/>
      <c r="K65"/>
      <c r="L65"/>
      <c r="M65"/>
      <c r="N65"/>
      <c r="W65" s="324"/>
      <c r="X65" s="327"/>
    </row>
    <row r="66" spans="2:24">
      <c r="B66" s="198" t="s">
        <v>42</v>
      </c>
      <c r="C66" s="467"/>
      <c r="D66" s="195">
        <f t="shared" si="8"/>
        <v>6.0399000000000003</v>
      </c>
      <c r="E66" s="196">
        <f t="shared" si="8"/>
        <v>1817.25</v>
      </c>
      <c r="F66" s="197">
        <f t="shared" si="7"/>
        <v>0</v>
      </c>
      <c r="G66" s="157"/>
      <c r="H66"/>
      <c r="I66"/>
      <c r="J66" s="14"/>
      <c r="K66"/>
      <c r="L66"/>
      <c r="M66"/>
      <c r="N66"/>
      <c r="W66" s="324"/>
      <c r="X66" s="327"/>
    </row>
    <row r="67" spans="2:24">
      <c r="B67" s="198" t="s">
        <v>43</v>
      </c>
      <c r="C67" s="467"/>
      <c r="D67" s="195">
        <f t="shared" si="8"/>
        <v>6.0399000000000003</v>
      </c>
      <c r="E67" s="196">
        <f t="shared" si="8"/>
        <v>1817.25</v>
      </c>
      <c r="F67" s="197">
        <f t="shared" si="7"/>
        <v>0</v>
      </c>
      <c r="G67" s="157"/>
      <c r="H67"/>
      <c r="I67"/>
      <c r="J67" s="14"/>
      <c r="K67"/>
      <c r="L67"/>
      <c r="M67"/>
      <c r="N67"/>
      <c r="W67" s="324"/>
      <c r="X67" s="327"/>
    </row>
    <row r="68" spans="2:24">
      <c r="B68" s="198" t="s">
        <v>44</v>
      </c>
      <c r="C68" s="467"/>
      <c r="D68" s="195">
        <f t="shared" si="8"/>
        <v>6.0399000000000003</v>
      </c>
      <c r="E68" s="196">
        <f t="shared" si="8"/>
        <v>1817.25</v>
      </c>
      <c r="F68" s="197">
        <f t="shared" si="7"/>
        <v>0</v>
      </c>
      <c r="G68" s="157"/>
      <c r="H68"/>
      <c r="I68"/>
      <c r="J68"/>
      <c r="K68"/>
      <c r="L68"/>
      <c r="M68"/>
      <c r="N68"/>
      <c r="W68" s="324"/>
    </row>
    <row r="69" spans="2:24">
      <c r="B69" s="198" t="s">
        <v>45</v>
      </c>
      <c r="C69" s="467"/>
      <c r="D69" s="195">
        <f t="shared" si="8"/>
        <v>6.0399000000000003</v>
      </c>
      <c r="E69" s="196">
        <f t="shared" si="8"/>
        <v>1817.25</v>
      </c>
      <c r="F69" s="197">
        <f t="shared" si="7"/>
        <v>0</v>
      </c>
      <c r="G69" s="82"/>
      <c r="H69"/>
      <c r="I69"/>
      <c r="J69" s="14"/>
      <c r="K69"/>
      <c r="L69"/>
      <c r="M69"/>
      <c r="N69"/>
    </row>
    <row r="70" spans="2:24">
      <c r="B70" s="198" t="s">
        <v>46</v>
      </c>
      <c r="C70" s="658"/>
      <c r="D70" s="650">
        <f t="shared" si="8"/>
        <v>6.0399000000000003</v>
      </c>
      <c r="E70" s="196">
        <f t="shared" si="8"/>
        <v>1817.25</v>
      </c>
      <c r="F70" s="197">
        <f t="shared" si="7"/>
        <v>0</v>
      </c>
      <c r="G70" s="82"/>
      <c r="H70"/>
      <c r="I70"/>
      <c r="J70" s="14"/>
      <c r="K70"/>
      <c r="L70"/>
      <c r="M70"/>
      <c r="N70"/>
    </row>
    <row r="71" spans="2:24">
      <c r="B71" s="198" t="s">
        <v>47</v>
      </c>
      <c r="C71" s="467"/>
      <c r="D71" s="195">
        <f t="shared" si="8"/>
        <v>6.0399000000000003</v>
      </c>
      <c r="E71" s="196">
        <f t="shared" si="8"/>
        <v>1817.25</v>
      </c>
      <c r="F71" s="197">
        <f t="shared" si="7"/>
        <v>0</v>
      </c>
      <c r="G71" s="82"/>
      <c r="H71"/>
      <c r="I71"/>
      <c r="J71" s="14"/>
      <c r="K71"/>
      <c r="L71"/>
      <c r="M71"/>
      <c r="N71"/>
    </row>
    <row r="72" spans="2:24">
      <c r="B72" s="198" t="s">
        <v>48</v>
      </c>
      <c r="C72" s="467"/>
      <c r="D72" s="195">
        <f t="shared" si="8"/>
        <v>6.0399000000000003</v>
      </c>
      <c r="E72" s="196">
        <f t="shared" si="8"/>
        <v>1817.25</v>
      </c>
      <c r="F72" s="197">
        <f t="shared" si="7"/>
        <v>0</v>
      </c>
      <c r="G72" s="82"/>
      <c r="H72"/>
      <c r="I72"/>
      <c r="J72" s="14"/>
      <c r="K72"/>
      <c r="L72"/>
      <c r="M72"/>
      <c r="N72"/>
    </row>
    <row r="73" spans="2:24">
      <c r="B73" s="198" t="s">
        <v>49</v>
      </c>
      <c r="C73" s="467"/>
      <c r="D73" s="195">
        <f t="shared" si="8"/>
        <v>6.0399000000000003</v>
      </c>
      <c r="E73" s="196">
        <f t="shared" si="8"/>
        <v>1817.25</v>
      </c>
      <c r="F73" s="197">
        <f t="shared" si="7"/>
        <v>0</v>
      </c>
      <c r="G73" s="82"/>
      <c r="H73" s="325"/>
      <c r="I73"/>
      <c r="J73" s="14"/>
      <c r="K73" s="453"/>
    </row>
    <row r="74" spans="2:24">
      <c r="B74" s="198" t="s">
        <v>50</v>
      </c>
      <c r="C74" s="467"/>
      <c r="D74" s="195">
        <f t="shared" si="8"/>
        <v>6.0399000000000003</v>
      </c>
      <c r="E74" s="196">
        <f t="shared" si="8"/>
        <v>1817.25</v>
      </c>
      <c r="F74" s="197">
        <f t="shared" si="7"/>
        <v>0</v>
      </c>
      <c r="G74" s="82"/>
      <c r="H74"/>
      <c r="I74"/>
      <c r="J74" s="14"/>
      <c r="K74" s="453"/>
      <c r="W74" s="324"/>
      <c r="X74" s="327"/>
    </row>
    <row r="75" spans="2:24">
      <c r="B75" s="454" t="s">
        <v>53</v>
      </c>
      <c r="C75" s="582"/>
      <c r="D75" s="195">
        <f t="shared" si="8"/>
        <v>6.0399000000000003</v>
      </c>
      <c r="E75" s="196">
        <f t="shared" si="8"/>
        <v>1817.25</v>
      </c>
      <c r="F75" s="583">
        <f t="shared" si="7"/>
        <v>0</v>
      </c>
      <c r="G75" s="82"/>
      <c r="H75"/>
      <c r="I75"/>
      <c r="J75" s="14"/>
      <c r="K75" s="453"/>
    </row>
    <row r="76" spans="2:24">
      <c r="B76" s="681"/>
      <c r="C76" s="682"/>
      <c r="D76" s="683"/>
      <c r="E76" s="684"/>
      <c r="F76" s="685"/>
      <c r="G76" s="82"/>
      <c r="J76" s="14"/>
      <c r="K76" s="453"/>
    </row>
    <row r="77" spans="2:24">
      <c r="B77" s="198" t="s">
        <v>64</v>
      </c>
      <c r="C77" s="1062">
        <f>+'INPUT VOL'!G20</f>
        <v>37802.901020000005</v>
      </c>
      <c r="D77" s="1174">
        <f>+D13*(1-5%)</f>
        <v>5.7379049999999996</v>
      </c>
      <c r="E77" s="196">
        <f>+E75</f>
        <v>1817.25</v>
      </c>
      <c r="F77" s="197">
        <f t="shared" ref="F77:F86" si="9">+C77*D77*E77</f>
        <v>394178706.69379967</v>
      </c>
      <c r="G77" s="82"/>
      <c r="H77"/>
      <c r="J77" s="14"/>
      <c r="K77" s="453"/>
    </row>
    <row r="78" spans="2:24">
      <c r="B78" s="198" t="s">
        <v>65</v>
      </c>
      <c r="C78" s="194">
        <f>+'INPUT VOL'!G21</f>
        <v>4482.9000000000005</v>
      </c>
      <c r="D78" s="1174">
        <f>+D77</f>
        <v>5.7379049999999996</v>
      </c>
      <c r="E78" s="196">
        <f>+E77</f>
        <v>1817.25</v>
      </c>
      <c r="F78" s="197">
        <f t="shared" si="9"/>
        <v>46744130.121197626</v>
      </c>
      <c r="G78" s="82"/>
      <c r="H78"/>
      <c r="I78"/>
      <c r="J78" s="14"/>
      <c r="K78" s="453"/>
    </row>
    <row r="79" spans="2:24">
      <c r="B79" s="198" t="s">
        <v>66</v>
      </c>
      <c r="C79" s="194">
        <f>+'INPUT VOL'!G22</f>
        <v>4682.1400000000003</v>
      </c>
      <c r="D79" s="1174">
        <f t="shared" ref="D79:E91" si="10">+D78</f>
        <v>5.7379049999999996</v>
      </c>
      <c r="E79" s="196">
        <f t="shared" si="10"/>
        <v>1817.25</v>
      </c>
      <c r="F79" s="197">
        <f t="shared" si="9"/>
        <v>48821647.015473075</v>
      </c>
      <c r="G79" s="82"/>
      <c r="H79"/>
      <c r="I79"/>
      <c r="J79" s="14"/>
      <c r="K79" s="453"/>
    </row>
    <row r="80" spans="2:24">
      <c r="B80" s="198" t="s">
        <v>67</v>
      </c>
      <c r="C80" s="194">
        <f>+'INPUT VOL'!G23</f>
        <v>0</v>
      </c>
      <c r="D80" s="1174">
        <f t="shared" si="10"/>
        <v>5.7379049999999996</v>
      </c>
      <c r="E80" s="196">
        <f t="shared" si="10"/>
        <v>1817.25</v>
      </c>
      <c r="F80" s="197">
        <f t="shared" si="9"/>
        <v>0</v>
      </c>
      <c r="G80" s="82"/>
      <c r="H80"/>
      <c r="I80"/>
      <c r="J80" s="14"/>
      <c r="K80" s="453"/>
    </row>
    <row r="81" spans="2:24">
      <c r="B81" s="198" t="s">
        <v>68</v>
      </c>
      <c r="C81" s="194">
        <f>+'INPUT VOL'!G24</f>
        <v>684.84794153870223</v>
      </c>
      <c r="D81" s="1174">
        <f t="shared" si="10"/>
        <v>5.7379049999999996</v>
      </c>
      <c r="E81" s="196">
        <f t="shared" si="10"/>
        <v>1817.25</v>
      </c>
      <c r="F81" s="197">
        <f t="shared" si="9"/>
        <v>7141051.8397732358</v>
      </c>
      <c r="G81" s="82"/>
      <c r="H81"/>
      <c r="I81"/>
      <c r="J81" s="14"/>
      <c r="K81" s="453"/>
    </row>
    <row r="82" spans="2:24">
      <c r="B82" s="198" t="s">
        <v>571</v>
      </c>
      <c r="C82" s="1062">
        <f>+'INPUT VOL'!G25-C176</f>
        <v>7139.7864734615387</v>
      </c>
      <c r="D82" s="1203">
        <f>+D81-0.2023</f>
        <v>5.5356049999999994</v>
      </c>
      <c r="E82" s="196">
        <f t="shared" si="10"/>
        <v>1817.25</v>
      </c>
      <c r="F82" s="197">
        <f>+C82*D82*E82+2285906.9</f>
        <v>74109147.162916511</v>
      </c>
      <c r="G82" s="82"/>
      <c r="H82" s="75"/>
      <c r="I82"/>
      <c r="J82" s="14"/>
      <c r="K82" s="453"/>
    </row>
    <row r="83" spans="2:24">
      <c r="B83" s="198" t="s">
        <v>70</v>
      </c>
      <c r="C83" s="194">
        <f>+'INPUT VOL'!G26</f>
        <v>90.654200000000003</v>
      </c>
      <c r="D83" s="1174">
        <f>+D81</f>
        <v>5.7379049999999996</v>
      </c>
      <c r="E83" s="196">
        <f t="shared" si="10"/>
        <v>1817.25</v>
      </c>
      <c r="F83" s="197">
        <f t="shared" si="9"/>
        <v>945270.18689532962</v>
      </c>
      <c r="G83" s="82"/>
      <c r="H83"/>
      <c r="I83"/>
      <c r="J83" s="14"/>
      <c r="K83" s="453"/>
    </row>
    <row r="84" spans="2:24">
      <c r="B84" s="198" t="s">
        <v>72</v>
      </c>
      <c r="C84" s="194">
        <f>+'INPUT VOL'!G28</f>
        <v>0</v>
      </c>
      <c r="D84" s="1174">
        <f>+D83</f>
        <v>5.7379049999999996</v>
      </c>
      <c r="E84" s="196">
        <f>+E83</f>
        <v>1817.25</v>
      </c>
      <c r="F84" s="197">
        <f t="shared" si="9"/>
        <v>0</v>
      </c>
      <c r="G84" s="82"/>
      <c r="H84"/>
      <c r="I84"/>
      <c r="J84" s="14"/>
      <c r="K84" s="453"/>
    </row>
    <row r="85" spans="2:24">
      <c r="B85" s="198" t="s">
        <v>73</v>
      </c>
      <c r="C85" s="194">
        <f>+'INPUT VOL'!G29</f>
        <v>293.87900000000002</v>
      </c>
      <c r="D85" s="1174">
        <f t="shared" si="10"/>
        <v>5.7379049999999996</v>
      </c>
      <c r="E85" s="196">
        <f t="shared" si="10"/>
        <v>1817.25</v>
      </c>
      <c r="F85" s="197">
        <f t="shared" si="9"/>
        <v>3064337.4190562889</v>
      </c>
      <c r="G85" s="82"/>
      <c r="H85"/>
      <c r="I85"/>
      <c r="J85" s="14"/>
      <c r="K85" s="453"/>
    </row>
    <row r="86" spans="2:24">
      <c r="B86" s="198" t="s">
        <v>216</v>
      </c>
      <c r="C86" s="194">
        <f>+'INPUT VOL'!G31</f>
        <v>323.36652000000004</v>
      </c>
      <c r="D86" s="1174">
        <f>+D85</f>
        <v>5.7379049999999996</v>
      </c>
      <c r="E86" s="196">
        <f t="shared" si="10"/>
        <v>1817.25</v>
      </c>
      <c r="F86" s="197">
        <f t="shared" si="9"/>
        <v>3371809.9194090557</v>
      </c>
      <c r="G86" s="82"/>
      <c r="H86"/>
      <c r="I86"/>
      <c r="J86" s="14"/>
      <c r="K86" s="453"/>
    </row>
    <row r="87" spans="2:24">
      <c r="B87" s="198" t="s">
        <v>75</v>
      </c>
      <c r="C87" s="194">
        <f>+'INPUT VOL'!G33</f>
        <v>0</v>
      </c>
      <c r="D87" s="1174">
        <f>+D86</f>
        <v>5.7379049999999996</v>
      </c>
      <c r="E87" s="196">
        <f t="shared" si="10"/>
        <v>1817.25</v>
      </c>
      <c r="F87" s="197">
        <f>+C87*D87*E87</f>
        <v>0</v>
      </c>
      <c r="G87" s="82"/>
      <c r="H87"/>
      <c r="I87"/>
      <c r="J87" s="14"/>
      <c r="K87" s="453"/>
    </row>
    <row r="88" spans="2:24">
      <c r="B88" s="198" t="s">
        <v>77</v>
      </c>
      <c r="C88" s="194">
        <f>+'INPUT VOL'!G34</f>
        <v>0</v>
      </c>
      <c r="D88" s="1174">
        <f t="shared" si="10"/>
        <v>5.7379049999999996</v>
      </c>
      <c r="E88" s="196">
        <f t="shared" si="10"/>
        <v>1817.25</v>
      </c>
      <c r="F88" s="197">
        <f>+C88*D88*E88</f>
        <v>0</v>
      </c>
      <c r="G88" s="82"/>
      <c r="H88"/>
      <c r="I88"/>
      <c r="J88" s="14"/>
      <c r="K88" s="453"/>
    </row>
    <row r="89" spans="2:24">
      <c r="B89" s="198" t="s">
        <v>78</v>
      </c>
      <c r="C89" s="194">
        <f>+'INPUT VOL'!G35</f>
        <v>0</v>
      </c>
      <c r="D89" s="1174">
        <f t="shared" si="10"/>
        <v>5.7379049999999996</v>
      </c>
      <c r="E89" s="196">
        <f t="shared" si="10"/>
        <v>1817.25</v>
      </c>
      <c r="F89" s="197">
        <f>+C89*D89*E89</f>
        <v>0</v>
      </c>
      <c r="G89" s="82"/>
      <c r="H89"/>
      <c r="I89"/>
      <c r="J89" s="14"/>
      <c r="K89" s="453"/>
    </row>
    <row r="90" spans="2:24">
      <c r="B90" s="198" t="s">
        <v>79</v>
      </c>
      <c r="C90" s="194">
        <f>+'INPUT VOL'!G36</f>
        <v>7591.5065214285714</v>
      </c>
      <c r="D90" s="1174">
        <f t="shared" si="10"/>
        <v>5.7379049999999996</v>
      </c>
      <c r="E90" s="196">
        <f t="shared" si="10"/>
        <v>1817.25</v>
      </c>
      <c r="F90" s="197">
        <f>+C90*D90*E90</f>
        <v>79158216.478970632</v>
      </c>
      <c r="G90" s="82"/>
      <c r="H90" s="75"/>
      <c r="I90"/>
      <c r="J90" s="14"/>
      <c r="K90" s="453"/>
    </row>
    <row r="91" spans="2:24">
      <c r="B91" s="198" t="s">
        <v>424</v>
      </c>
      <c r="C91" s="678">
        <f>+'INPUT VOL'!G37</f>
        <v>1245.8365572562698</v>
      </c>
      <c r="D91" s="1176">
        <f t="shared" si="10"/>
        <v>5.7379049999999996</v>
      </c>
      <c r="E91" s="196">
        <f t="shared" si="10"/>
        <v>1817.25</v>
      </c>
      <c r="F91" s="583">
        <f>+C91*D91*E91</f>
        <v>12990596.74365521</v>
      </c>
      <c r="G91" s="82"/>
      <c r="H91"/>
      <c r="I91"/>
      <c r="J91" s="14"/>
      <c r="K91" s="453"/>
    </row>
    <row r="92" spans="2:24" ht="13.5" thickBot="1">
      <c r="B92" s="688"/>
      <c r="C92" s="689"/>
      <c r="D92" s="690"/>
      <c r="E92" s="684"/>
      <c r="F92" s="691"/>
      <c r="G92" s="82"/>
      <c r="H92"/>
      <c r="I92"/>
      <c r="J92" s="14"/>
      <c r="K92" s="453"/>
    </row>
    <row r="93" spans="2:24">
      <c r="B93" s="198" t="s">
        <v>415</v>
      </c>
      <c r="C93" s="1005">
        <f>+'INPUT VOL'!G102-ECOP!C5-ECOP!I5</f>
        <v>37250.143562812773</v>
      </c>
      <c r="D93" s="1003">
        <f>+D6</f>
        <v>4.3711000000000002</v>
      </c>
      <c r="E93" s="204">
        <f>+E91</f>
        <v>1817.25</v>
      </c>
      <c r="F93" s="643">
        <f t="shared" ref="F93:F115" si="11">+C93*D93*E93</f>
        <v>295892100.31793749</v>
      </c>
      <c r="G93" s="82"/>
      <c r="H93"/>
      <c r="I93"/>
      <c r="J93" s="14"/>
      <c r="K93"/>
      <c r="L93"/>
      <c r="W93" s="324"/>
      <c r="X93" s="327"/>
    </row>
    <row r="94" spans="2:24">
      <c r="B94" s="198" t="s">
        <v>454</v>
      </c>
      <c r="C94" s="1006">
        <f>+'INPUT VOL'!G105-ECOP!I8-ECOP!C8-'E2'!C8</f>
        <v>37058.640000000007</v>
      </c>
      <c r="D94" s="1004">
        <f>+D93</f>
        <v>4.3711000000000002</v>
      </c>
      <c r="E94" s="196">
        <f>+E93</f>
        <v>1817.25</v>
      </c>
      <c r="F94" s="197">
        <f t="shared" si="11"/>
        <v>294370914.46469402</v>
      </c>
      <c r="G94" s="82"/>
      <c r="H94"/>
      <c r="I94"/>
      <c r="J94" s="14"/>
      <c r="K94"/>
      <c r="L94"/>
      <c r="W94" s="324"/>
      <c r="X94" s="327"/>
    </row>
    <row r="95" spans="2:24">
      <c r="B95" s="198" t="s">
        <v>85</v>
      </c>
      <c r="C95" s="1006">
        <f>+'INPUT VOL'!G103-C97-ECOP!C6</f>
        <v>41104.208200000001</v>
      </c>
      <c r="D95" s="1004">
        <f>+D94</f>
        <v>4.3711000000000002</v>
      </c>
      <c r="E95" s="196">
        <f t="shared" ref="E95:E112" si="12">+E94</f>
        <v>1817.25</v>
      </c>
      <c r="F95" s="197">
        <f t="shared" si="11"/>
        <v>326506405.96042311</v>
      </c>
      <c r="G95" s="82"/>
      <c r="H95"/>
      <c r="I95"/>
      <c r="J95" s="14"/>
      <c r="K95"/>
      <c r="L95"/>
      <c r="W95" s="324"/>
      <c r="X95" s="327"/>
    </row>
    <row r="96" spans="2:24">
      <c r="B96" s="692" t="s">
        <v>71</v>
      </c>
      <c r="C96" s="1006">
        <f>+'INPUT VOL'!G27</f>
        <v>2667.9251357692297</v>
      </c>
      <c r="D96" s="1004">
        <f>+D93</f>
        <v>4.3711000000000002</v>
      </c>
      <c r="E96" s="196">
        <f>+E95</f>
        <v>1817.25</v>
      </c>
      <c r="F96" s="197">
        <f>+C96*D96*E96</f>
        <v>21192347.100156158</v>
      </c>
      <c r="G96" s="82"/>
      <c r="H96"/>
      <c r="I96"/>
      <c r="J96" s="14"/>
      <c r="K96"/>
      <c r="L96"/>
      <c r="W96" s="324"/>
      <c r="X96" s="327"/>
    </row>
    <row r="97" spans="2:24">
      <c r="B97" s="692" t="s">
        <v>434</v>
      </c>
      <c r="C97" s="658"/>
      <c r="D97" s="650"/>
      <c r="E97" s="196">
        <f>+E96</f>
        <v>1817.25</v>
      </c>
      <c r="F97" s="197">
        <f t="shared" si="11"/>
        <v>0</v>
      </c>
      <c r="G97" s="82"/>
      <c r="H97"/>
      <c r="I97"/>
      <c r="J97" s="14"/>
      <c r="K97"/>
      <c r="L97"/>
      <c r="W97" s="324"/>
      <c r="X97" s="327"/>
    </row>
    <row r="98" spans="2:24">
      <c r="B98" s="198" t="s">
        <v>399</v>
      </c>
      <c r="C98" s="1006">
        <f>+'INPUT VOL'!G104</f>
        <v>44474.783731865457</v>
      </c>
      <c r="D98" s="1004">
        <f>+D95</f>
        <v>4.3711000000000002</v>
      </c>
      <c r="E98" s="196">
        <f t="shared" si="12"/>
        <v>1817.25</v>
      </c>
      <c r="F98" s="197">
        <f t="shared" si="11"/>
        <v>353280173.20033145</v>
      </c>
      <c r="G98" s="82"/>
      <c r="H98"/>
      <c r="I98"/>
      <c r="J98" s="14"/>
      <c r="K98"/>
      <c r="L98"/>
      <c r="W98" s="324"/>
      <c r="X98" s="327"/>
    </row>
    <row r="99" spans="2:24">
      <c r="B99" s="1181" t="s">
        <v>554</v>
      </c>
      <c r="C99" s="1182">
        <f>+'INPUT VOL'!D183</f>
        <v>48399.414271009759</v>
      </c>
      <c r="D99" s="1004">
        <f>+D98</f>
        <v>4.3711000000000002</v>
      </c>
      <c r="E99" s="196">
        <f t="shared" si="12"/>
        <v>1817.25</v>
      </c>
      <c r="F99" s="197">
        <f t="shared" si="11"/>
        <v>384455010.72118956</v>
      </c>
      <c r="G99" s="82"/>
      <c r="H99"/>
      <c r="I99"/>
      <c r="J99" s="14"/>
      <c r="K99"/>
      <c r="L99"/>
      <c r="W99" s="324"/>
      <c r="X99" s="327"/>
    </row>
    <row r="100" spans="2:24">
      <c r="B100" s="698" t="s">
        <v>177</v>
      </c>
      <c r="C100" s="1006">
        <f>+'INPUT VOL'!G69</f>
        <v>0</v>
      </c>
      <c r="D100" s="1004">
        <f>+D98</f>
        <v>4.3711000000000002</v>
      </c>
      <c r="E100" s="196">
        <f>+E99</f>
        <v>1817.25</v>
      </c>
      <c r="F100" s="197">
        <f>+C100*D100*E100</f>
        <v>0</v>
      </c>
      <c r="G100" s="82"/>
      <c r="H100"/>
      <c r="I100"/>
      <c r="J100" s="14"/>
      <c r="K100"/>
      <c r="L100"/>
      <c r="W100" s="324"/>
      <c r="X100" s="327"/>
    </row>
    <row r="101" spans="2:24">
      <c r="B101" s="698" t="s">
        <v>455</v>
      </c>
      <c r="C101" s="1006">
        <f>+'INPUT VOL'!G70</f>
        <v>3949.9330000000004</v>
      </c>
      <c r="D101" s="1004">
        <f>+D100</f>
        <v>4.3711000000000002</v>
      </c>
      <c r="E101" s="196">
        <f>+E100</f>
        <v>1817.25</v>
      </c>
      <c r="F101" s="197">
        <f>+C101*D101*E101</f>
        <v>31375824.619691182</v>
      </c>
      <c r="G101" s="82"/>
      <c r="H101"/>
      <c r="I101"/>
      <c r="J101" s="14"/>
      <c r="K101"/>
      <c r="L101"/>
      <c r="W101" s="324"/>
      <c r="X101" s="327"/>
    </row>
    <row r="102" spans="2:24">
      <c r="B102" s="198" t="s">
        <v>76</v>
      </c>
      <c r="C102" s="657">
        <f>+'INPUT VOL'!G106-GDO!C10-'E2'!C5</f>
        <v>20361.627203944823</v>
      </c>
      <c r="D102" s="1176">
        <f>+D91</f>
        <v>5.7379049999999996</v>
      </c>
      <c r="E102" s="196">
        <f>+E101</f>
        <v>1817.25</v>
      </c>
      <c r="F102" s="197">
        <f t="shared" si="11"/>
        <v>212314919.2488153</v>
      </c>
      <c r="G102" s="82"/>
      <c r="H102"/>
      <c r="I102"/>
      <c r="J102" s="14"/>
      <c r="K102"/>
      <c r="L102"/>
      <c r="W102" s="324"/>
      <c r="X102" s="327"/>
    </row>
    <row r="103" spans="2:24">
      <c r="B103" s="198" t="s">
        <v>343</v>
      </c>
      <c r="C103" s="582">
        <f>+'INPUT VOL'!G107</f>
        <v>0</v>
      </c>
      <c r="D103" s="1176">
        <f t="shared" ref="D103:D114" si="13">+D102</f>
        <v>5.7379049999999996</v>
      </c>
      <c r="E103" s="196">
        <f t="shared" si="12"/>
        <v>1817.25</v>
      </c>
      <c r="F103" s="583">
        <f t="shared" si="11"/>
        <v>0</v>
      </c>
      <c r="G103" s="82"/>
      <c r="H103"/>
      <c r="I103"/>
      <c r="J103" s="14"/>
      <c r="K103"/>
      <c r="L103"/>
      <c r="W103" s="324"/>
      <c r="X103" s="327"/>
    </row>
    <row r="104" spans="2:24">
      <c r="B104" s="198" t="s">
        <v>389</v>
      </c>
      <c r="C104" s="582">
        <f>+'INPUT VOL'!G108</f>
        <v>111.07286635515982</v>
      </c>
      <c r="D104" s="1176">
        <f t="shared" si="13"/>
        <v>5.7379049999999996</v>
      </c>
      <c r="E104" s="196">
        <f t="shared" si="12"/>
        <v>1817.25</v>
      </c>
      <c r="F104" s="583">
        <f t="shared" si="11"/>
        <v>1158179.865230093</v>
      </c>
      <c r="G104" s="82"/>
      <c r="H104"/>
      <c r="I104"/>
      <c r="J104" s="14"/>
      <c r="K104"/>
      <c r="L104"/>
      <c r="W104" s="324"/>
      <c r="X104" s="327"/>
    </row>
    <row r="105" spans="2:24">
      <c r="B105" s="198" t="s">
        <v>413</v>
      </c>
      <c r="C105" s="582">
        <f>+'INPUT VOL'!G109</f>
        <v>1.6249859677488263</v>
      </c>
      <c r="D105" s="1176">
        <f t="shared" si="13"/>
        <v>5.7379049999999996</v>
      </c>
      <c r="E105" s="196">
        <f t="shared" si="12"/>
        <v>1817.25</v>
      </c>
      <c r="F105" s="583">
        <f t="shared" si="11"/>
        <v>16944.066457331501</v>
      </c>
      <c r="G105" s="82"/>
      <c r="H105"/>
      <c r="I105" s="54"/>
      <c r="J105" s="14"/>
      <c r="K105"/>
      <c r="L105"/>
      <c r="W105" s="324"/>
      <c r="X105" s="327"/>
    </row>
    <row r="106" spans="2:24">
      <c r="B106" s="198" t="s">
        <v>414</v>
      </c>
      <c r="C106" s="582">
        <f>+'INPUT VOL'!G110</f>
        <v>0</v>
      </c>
      <c r="D106" s="1176">
        <f t="shared" si="13"/>
        <v>5.7379049999999996</v>
      </c>
      <c r="E106" s="196">
        <f t="shared" si="12"/>
        <v>1817.25</v>
      </c>
      <c r="F106" s="583">
        <f t="shared" si="11"/>
        <v>0</v>
      </c>
      <c r="G106" s="82"/>
      <c r="H106"/>
      <c r="I106" s="54"/>
      <c r="J106" s="14"/>
      <c r="K106"/>
      <c r="L106"/>
      <c r="W106" s="324"/>
      <c r="X106" s="327"/>
    </row>
    <row r="107" spans="2:24">
      <c r="B107" s="198" t="s">
        <v>445</v>
      </c>
      <c r="C107" s="467">
        <f>+'INPUT VOL'!G146</f>
        <v>2798.6993750000001</v>
      </c>
      <c r="D107" s="1176">
        <f t="shared" si="13"/>
        <v>5.7379049999999996</v>
      </c>
      <c r="E107" s="196">
        <f t="shared" si="12"/>
        <v>1817.25</v>
      </c>
      <c r="F107" s="197">
        <f t="shared" si="11"/>
        <v>29182620.124275461</v>
      </c>
      <c r="G107" s="82"/>
      <c r="H107"/>
      <c r="I107" s="54"/>
      <c r="J107" s="14"/>
      <c r="K107"/>
      <c r="L107"/>
      <c r="W107" s="324"/>
      <c r="X107" s="327"/>
    </row>
    <row r="108" spans="2:24">
      <c r="B108" s="198" t="s">
        <v>360</v>
      </c>
      <c r="C108" s="1093">
        <f>+'INPUT VOL'!G93-C177</f>
        <v>30784.172088715306</v>
      </c>
      <c r="D108" s="1202">
        <f>+D107-0.443</f>
        <v>5.294905</v>
      </c>
      <c r="E108" s="196">
        <f t="shared" si="12"/>
        <v>1817.25</v>
      </c>
      <c r="F108" s="197">
        <f t="shared" si="11"/>
        <v>296210417.43492454</v>
      </c>
      <c r="G108" s="82"/>
      <c r="H108" s="75"/>
      <c r="I108" s="54"/>
      <c r="J108" s="14"/>
      <c r="K108"/>
      <c r="L108"/>
      <c r="W108" s="324"/>
      <c r="X108" s="327"/>
    </row>
    <row r="109" spans="2:24">
      <c r="B109" s="198" t="s">
        <v>394</v>
      </c>
      <c r="C109" s="1093">
        <f>+'INPUT VOL'!D140-C175</f>
        <v>15977.378808967451</v>
      </c>
      <c r="D109" s="1202">
        <f>+D107-0.3227</f>
        <v>5.4152049999999994</v>
      </c>
      <c r="E109" s="196">
        <f t="shared" si="12"/>
        <v>1817.25</v>
      </c>
      <c r="F109" s="197">
        <f t="shared" si="11"/>
        <v>157229890.3866142</v>
      </c>
      <c r="G109" s="82"/>
      <c r="H109" s="75"/>
      <c r="I109" s="54"/>
      <c r="J109" s="14"/>
      <c r="K109"/>
      <c r="L109"/>
      <c r="W109" s="324"/>
      <c r="X109" s="327"/>
    </row>
    <row r="110" spans="2:24">
      <c r="B110" s="198" t="s">
        <v>428</v>
      </c>
      <c r="C110" s="1062">
        <f>+'INPUT VOL'!G95-'E2'!C6</f>
        <v>30551.246247752249</v>
      </c>
      <c r="D110" s="1176">
        <f>+D107</f>
        <v>5.7379049999999996</v>
      </c>
      <c r="E110" s="196">
        <f t="shared" si="12"/>
        <v>1817.25</v>
      </c>
      <c r="F110" s="197">
        <f t="shared" si="11"/>
        <v>318564195.04554683</v>
      </c>
      <c r="G110" s="82"/>
      <c r="H110"/>
      <c r="I110"/>
      <c r="J110" s="14"/>
      <c r="K110" s="55"/>
      <c r="L110"/>
      <c r="W110" s="324"/>
      <c r="X110" s="327"/>
    </row>
    <row r="111" spans="2:24">
      <c r="B111" s="198" t="s">
        <v>453</v>
      </c>
      <c r="C111" s="194">
        <f>+'INPUT VOL'!G30</f>
        <v>5977.2000000000007</v>
      </c>
      <c r="D111" s="1176">
        <f t="shared" si="13"/>
        <v>5.7379049999999996</v>
      </c>
      <c r="E111" s="196">
        <f t="shared" si="12"/>
        <v>1817.25</v>
      </c>
      <c r="F111" s="197">
        <f t="shared" si="11"/>
        <v>62325506.828263499</v>
      </c>
      <c r="G111" s="82"/>
      <c r="H111"/>
      <c r="I111"/>
      <c r="J111" s="14"/>
      <c r="K111" s="55"/>
      <c r="L111"/>
      <c r="W111" s="324"/>
      <c r="X111" s="327"/>
    </row>
    <row r="112" spans="2:24">
      <c r="B112" s="698" t="s">
        <v>144</v>
      </c>
      <c r="C112" s="1063">
        <f>+'INPUT VOL'!G71</f>
        <v>14605.288200000001</v>
      </c>
      <c r="D112" s="1176">
        <f t="shared" si="13"/>
        <v>5.7379049999999996</v>
      </c>
      <c r="E112" s="196">
        <f t="shared" si="12"/>
        <v>1817.25</v>
      </c>
      <c r="F112" s="197">
        <f t="shared" si="11"/>
        <v>152292375.93486184</v>
      </c>
      <c r="G112" s="82"/>
      <c r="H112"/>
      <c r="I112"/>
      <c r="J112" s="14"/>
      <c r="K112" s="55"/>
      <c r="L112"/>
      <c r="W112" s="324"/>
      <c r="X112" s="327"/>
    </row>
    <row r="113" spans="2:24">
      <c r="B113" s="698" t="s">
        <v>143</v>
      </c>
      <c r="C113" s="1063">
        <f>+'INPUT VOL'!D160</f>
        <v>9852.4180000000015</v>
      </c>
      <c r="D113" s="1176">
        <f t="shared" si="13"/>
        <v>5.7379049999999996</v>
      </c>
      <c r="E113" s="196">
        <f>+E112</f>
        <v>1817.25</v>
      </c>
      <c r="F113" s="197">
        <f t="shared" si="11"/>
        <v>102733210.42192101</v>
      </c>
      <c r="G113" s="82"/>
      <c r="H113"/>
      <c r="I113"/>
      <c r="J113" s="14"/>
      <c r="K113" s="55"/>
      <c r="L113"/>
      <c r="W113" s="324"/>
      <c r="X113" s="327"/>
    </row>
    <row r="114" spans="2:24">
      <c r="B114" s="698" t="s">
        <v>480</v>
      </c>
      <c r="C114" s="733">
        <f>+'INPUT VOL'!G159</f>
        <v>2524.1392771103078</v>
      </c>
      <c r="D114" s="1176">
        <f t="shared" si="13"/>
        <v>5.7379049999999996</v>
      </c>
      <c r="E114" s="907">
        <f>+E113</f>
        <v>1817.25</v>
      </c>
      <c r="F114" s="197">
        <f t="shared" si="11"/>
        <v>26319724.913174491</v>
      </c>
      <c r="G114" s="82"/>
      <c r="H114"/>
      <c r="I114"/>
      <c r="J114" s="14"/>
      <c r="K114" s="55"/>
      <c r="L114"/>
      <c r="W114" s="324"/>
      <c r="X114" s="327"/>
    </row>
    <row r="115" spans="2:24">
      <c r="B115" s="698" t="s">
        <v>481</v>
      </c>
      <c r="C115" s="733">
        <f>+'INPUT VOL'!D169</f>
        <v>2433.3263029188734</v>
      </c>
      <c r="D115" s="1176">
        <f t="shared" ref="D115:E116" si="14">+D114</f>
        <v>5.7379049999999996</v>
      </c>
      <c r="E115" s="907">
        <f t="shared" si="14"/>
        <v>1817.25</v>
      </c>
      <c r="F115" s="197">
        <f t="shared" si="11"/>
        <v>25372799.154782072</v>
      </c>
      <c r="G115" s="82"/>
      <c r="H115"/>
      <c r="I115"/>
      <c r="J115" s="14"/>
      <c r="K115"/>
      <c r="L115"/>
      <c r="W115" s="324"/>
      <c r="X115" s="327"/>
    </row>
    <row r="116" spans="2:24">
      <c r="B116" s="698" t="s">
        <v>509</v>
      </c>
      <c r="C116" s="733">
        <f>+'INPUT VOL'!G162</f>
        <v>8282.4788138309796</v>
      </c>
      <c r="D116" s="1176">
        <f t="shared" si="14"/>
        <v>5.7379049999999996</v>
      </c>
      <c r="E116" s="907">
        <f t="shared" si="14"/>
        <v>1817.25</v>
      </c>
      <c r="F116" s="197">
        <f t="shared" ref="F116:F121" si="15">+C116*D116*E116</f>
        <v>86363128.198214963</v>
      </c>
      <c r="G116" s="82"/>
      <c r="H116"/>
      <c r="I116"/>
      <c r="J116" s="14"/>
      <c r="K116"/>
      <c r="L116"/>
      <c r="W116" s="324"/>
      <c r="X116" s="327"/>
    </row>
    <row r="117" spans="2:24" ht="13.5" thickBot="1">
      <c r="B117" s="1186" t="s">
        <v>589</v>
      </c>
      <c r="C117" s="733">
        <f>+'INPUT VOL'!D196</f>
        <v>2589.8266293430056</v>
      </c>
      <c r="D117" s="1184">
        <f>+D116</f>
        <v>5.7379049999999996</v>
      </c>
      <c r="E117" s="907">
        <f>+E116</f>
        <v>1817.25</v>
      </c>
      <c r="F117" s="1185">
        <f t="shared" si="15"/>
        <v>27004660.588759977</v>
      </c>
      <c r="G117" s="82"/>
      <c r="H117"/>
      <c r="I117"/>
      <c r="J117" s="14"/>
      <c r="K117"/>
      <c r="L117"/>
      <c r="W117" s="324"/>
      <c r="X117" s="327"/>
    </row>
    <row r="118" spans="2:24" ht="13.5" thickTop="1">
      <c r="B118" s="584" t="s">
        <v>62</v>
      </c>
      <c r="C118" s="734">
        <f>+'INPUT VOL'!G112-'INPUT II'!M36</f>
        <v>3662.6361572506962</v>
      </c>
      <c r="D118" s="585">
        <f>+D75</f>
        <v>6.0399000000000003</v>
      </c>
      <c r="E118" s="586">
        <f>+E111</f>
        <v>1817.25</v>
      </c>
      <c r="F118" s="587">
        <f t="shared" si="15"/>
        <v>40201124.77029784</v>
      </c>
      <c r="G118" s="82"/>
      <c r="H118" s="54"/>
      <c r="I118"/>
      <c r="J118" s="14"/>
      <c r="K118" s="14"/>
      <c r="L118"/>
      <c r="W118" s="324"/>
      <c r="X118" s="327"/>
    </row>
    <row r="119" spans="2:24">
      <c r="B119" s="193" t="s">
        <v>63</v>
      </c>
      <c r="C119" s="735">
        <f>+'INPUT VOL'!G113</f>
        <v>3849.8828624657399</v>
      </c>
      <c r="D119" s="195">
        <f>+D118</f>
        <v>6.0399000000000003</v>
      </c>
      <c r="E119" s="196">
        <f t="shared" ref="E119:E166" si="16">+E118</f>
        <v>1817.25</v>
      </c>
      <c r="F119" s="197">
        <f t="shared" si="15"/>
        <v>42256346.156204648</v>
      </c>
      <c r="G119" s="82"/>
      <c r="H119" s="54"/>
      <c r="I119"/>
      <c r="J119" s="14"/>
      <c r="K119" s="14"/>
      <c r="L119"/>
      <c r="W119" s="324"/>
      <c r="X119" s="327"/>
    </row>
    <row r="120" spans="2:24">
      <c r="B120" s="198" t="s">
        <v>467</v>
      </c>
      <c r="C120" s="735">
        <f>+'INPUT VOL'!G154</f>
        <v>1287.5308280859631</v>
      </c>
      <c r="D120" s="195">
        <f>+D119</f>
        <v>6.0399000000000003</v>
      </c>
      <c r="E120" s="196">
        <f>+E119</f>
        <v>1817.25</v>
      </c>
      <c r="F120" s="197">
        <f t="shared" si="15"/>
        <v>14131949.023389133</v>
      </c>
      <c r="G120" s="82"/>
      <c r="H120" s="54"/>
      <c r="I120"/>
      <c r="J120" s="14"/>
      <c r="K120" s="14"/>
      <c r="L120"/>
      <c r="W120" s="324"/>
      <c r="X120" s="327"/>
    </row>
    <row r="121" spans="2:24">
      <c r="B121" s="885" t="s">
        <v>508</v>
      </c>
      <c r="C121" s="735">
        <f>+'INPUT VOL'!G161</f>
        <v>6995.9546884612273</v>
      </c>
      <c r="D121" s="195">
        <f>+D120</f>
        <v>6.0399000000000003</v>
      </c>
      <c r="E121" s="196">
        <f>+E120</f>
        <v>1817.25</v>
      </c>
      <c r="F121" s="197">
        <f t="shared" si="15"/>
        <v>76787656.552075475</v>
      </c>
      <c r="G121" s="82"/>
      <c r="H121" s="54"/>
      <c r="I121"/>
      <c r="J121" s="14"/>
      <c r="K121" s="14"/>
      <c r="L121"/>
      <c r="W121" s="324"/>
      <c r="X121" s="327"/>
    </row>
    <row r="122" spans="2:24">
      <c r="B122" s="193" t="s">
        <v>156</v>
      </c>
      <c r="C122" s="735">
        <f>+'INPUT VOL'!G114</f>
        <v>5173.8227721212961</v>
      </c>
      <c r="D122" s="195">
        <f>+D119</f>
        <v>6.0399000000000003</v>
      </c>
      <c r="E122" s="196">
        <f>+E119</f>
        <v>1817.25</v>
      </c>
      <c r="F122" s="197">
        <f t="shared" ref="F122:F167" si="17">+C122*D122*E122</f>
        <v>56787921.560186788</v>
      </c>
      <c r="G122" s="82"/>
      <c r="H122" s="54"/>
      <c r="I122"/>
      <c r="J122" s="14"/>
      <c r="K122" s="14"/>
      <c r="L122"/>
      <c r="W122" s="324"/>
      <c r="X122" s="327"/>
    </row>
    <row r="123" spans="2:24">
      <c r="B123" s="193" t="s">
        <v>452</v>
      </c>
      <c r="C123" s="735">
        <f>+'INPUT VOL'!D156</f>
        <v>1693.3159146115734</v>
      </c>
      <c r="D123" s="195">
        <f>+D122</f>
        <v>6.0399000000000003</v>
      </c>
      <c r="E123" s="196">
        <f t="shared" si="16"/>
        <v>1817.25</v>
      </c>
      <c r="F123" s="197">
        <f t="shared" si="17"/>
        <v>18585849.490965825</v>
      </c>
      <c r="G123" s="82"/>
      <c r="H123" s="54"/>
      <c r="I123"/>
      <c r="J123" s="14"/>
      <c r="K123" s="516"/>
      <c r="L123"/>
      <c r="W123" s="324"/>
    </row>
    <row r="124" spans="2:24">
      <c r="B124" s="193" t="s">
        <v>196</v>
      </c>
      <c r="C124" s="735">
        <f>+'INPUT VOL'!G115</f>
        <v>3430.0878298062084</v>
      </c>
      <c r="D124" s="195">
        <f>+D119</f>
        <v>6.0399000000000003</v>
      </c>
      <c r="E124" s="196">
        <f t="shared" si="16"/>
        <v>1817.25</v>
      </c>
      <c r="F124" s="197">
        <f t="shared" si="17"/>
        <v>37648672.40392974</v>
      </c>
      <c r="G124" s="82"/>
      <c r="H124" s="54"/>
      <c r="I124"/>
      <c r="J124" s="14"/>
      <c r="K124" s="14"/>
      <c r="L124"/>
      <c r="W124" s="324"/>
    </row>
    <row r="125" spans="2:24">
      <c r="B125" s="193" t="s">
        <v>437</v>
      </c>
      <c r="C125" s="735">
        <f>+'INPUT VOL'!G144</f>
        <v>1843.8599166314632</v>
      </c>
      <c r="D125" s="195">
        <f>+D122</f>
        <v>6.0399000000000003</v>
      </c>
      <c r="E125" s="196">
        <f t="shared" si="16"/>
        <v>1817.25</v>
      </c>
      <c r="F125" s="197">
        <f t="shared" si="17"/>
        <v>20238221.702887751</v>
      </c>
      <c r="G125" s="82"/>
      <c r="H125" s="54"/>
      <c r="I125"/>
      <c r="J125" s="14"/>
      <c r="K125" s="516"/>
      <c r="L125"/>
      <c r="W125" s="324"/>
    </row>
    <row r="126" spans="2:24">
      <c r="B126" s="193" t="s">
        <v>197</v>
      </c>
      <c r="C126" s="735">
        <f>+'INPUT VOL'!G117</f>
        <v>1985.5354156923074</v>
      </c>
      <c r="D126" s="195">
        <f>+D122</f>
        <v>6.0399000000000003</v>
      </c>
      <c r="E126" s="196">
        <f t="shared" si="16"/>
        <v>1817.25</v>
      </c>
      <c r="F126" s="197">
        <f t="shared" si="17"/>
        <v>21793253.152944334</v>
      </c>
      <c r="G126" s="82"/>
      <c r="H126" s="54"/>
      <c r="I126"/>
      <c r="J126" s="14"/>
      <c r="K126" s="14"/>
      <c r="L126"/>
      <c r="W126" s="324"/>
    </row>
    <row r="127" spans="2:24">
      <c r="B127" s="193" t="s">
        <v>449</v>
      </c>
      <c r="C127" s="735">
        <f>+'INPUT VOL'!G149</f>
        <v>2206.1470566275043</v>
      </c>
      <c r="D127" s="195">
        <f>+D124</f>
        <v>6.0399000000000003</v>
      </c>
      <c r="E127" s="196">
        <f t="shared" si="16"/>
        <v>1817.25</v>
      </c>
      <c r="F127" s="197">
        <f t="shared" si="17"/>
        <v>24214688.349410381</v>
      </c>
      <c r="G127" s="82"/>
      <c r="H127" s="54"/>
      <c r="I127"/>
      <c r="J127" s="14"/>
      <c r="K127" s="516"/>
      <c r="L127"/>
      <c r="W127" s="324"/>
    </row>
    <row r="128" spans="2:24">
      <c r="B128" s="193" t="s">
        <v>117</v>
      </c>
      <c r="C128" s="735">
        <f>+'INPUT VOL'!G118</f>
        <v>4887.3338276153818</v>
      </c>
      <c r="D128" s="195">
        <f>+D124</f>
        <v>6.0399000000000003</v>
      </c>
      <c r="E128" s="196">
        <f t="shared" si="16"/>
        <v>1817.25</v>
      </c>
      <c r="F128" s="197">
        <f t="shared" si="17"/>
        <v>53643416.534593858</v>
      </c>
      <c r="G128" s="330"/>
      <c r="H128" s="54"/>
      <c r="I128"/>
      <c r="J128" s="14"/>
      <c r="K128" s="14"/>
      <c r="L128"/>
      <c r="W128" s="324"/>
    </row>
    <row r="129" spans="1:24">
      <c r="B129" s="193" t="s">
        <v>398</v>
      </c>
      <c r="C129" s="732">
        <f>+'INPUT VOL'!G119</f>
        <v>2639.9300000000003</v>
      </c>
      <c r="D129" s="195">
        <f>+D128</f>
        <v>6.0399000000000003</v>
      </c>
      <c r="E129" s="196">
        <f t="shared" si="16"/>
        <v>1817.25</v>
      </c>
      <c r="F129" s="197">
        <f t="shared" si="17"/>
        <v>28975893.525420755</v>
      </c>
      <c r="G129" s="330"/>
      <c r="H129" s="54"/>
      <c r="I129"/>
      <c r="J129" s="14"/>
      <c r="K129" s="516"/>
      <c r="L129"/>
    </row>
    <row r="130" spans="1:24">
      <c r="B130" s="193" t="s">
        <v>439</v>
      </c>
      <c r="C130" s="732">
        <f>+'INPUT VOL'!G145</f>
        <v>3188.0177725042349</v>
      </c>
      <c r="D130" s="195">
        <f>+D129</f>
        <v>6.0399000000000003</v>
      </c>
      <c r="E130" s="196">
        <f t="shared" si="16"/>
        <v>1817.25</v>
      </c>
      <c r="F130" s="197">
        <f t="shared" si="17"/>
        <v>34991709.451853551</v>
      </c>
      <c r="G130" s="330"/>
      <c r="H130" s="54"/>
      <c r="I130"/>
      <c r="J130" s="14"/>
      <c r="K130" s="516"/>
      <c r="L130"/>
    </row>
    <row r="131" spans="1:24">
      <c r="B131" s="193" t="s">
        <v>118</v>
      </c>
      <c r="C131" s="936">
        <f>+'INPUT VOL'!G120-'E2'!C9</f>
        <v>0</v>
      </c>
      <c r="D131" s="195">
        <f>+D128</f>
        <v>6.0399000000000003</v>
      </c>
      <c r="E131" s="196">
        <f t="shared" si="16"/>
        <v>1817.25</v>
      </c>
      <c r="F131" s="197">
        <f t="shared" si="17"/>
        <v>0</v>
      </c>
      <c r="G131" s="82"/>
      <c r="H131" s="54"/>
      <c r="I131"/>
      <c r="J131" s="14"/>
      <c r="K131" s="14"/>
      <c r="L131"/>
    </row>
    <row r="132" spans="1:24">
      <c r="B132" s="737" t="s">
        <v>574</v>
      </c>
      <c r="C132" s="936">
        <f>+'INPUT VOL'!D75-'E2'!C10</f>
        <v>0</v>
      </c>
      <c r="D132" s="195">
        <f>+D131</f>
        <v>6.0399000000000003</v>
      </c>
      <c r="E132" s="196">
        <f>+E131</f>
        <v>1817.25</v>
      </c>
      <c r="F132" s="197">
        <f t="shared" si="17"/>
        <v>0</v>
      </c>
      <c r="G132" s="82"/>
      <c r="H132" s="54"/>
      <c r="I132"/>
      <c r="J132" s="14"/>
      <c r="K132" s="14"/>
      <c r="L132"/>
    </row>
    <row r="133" spans="1:24">
      <c r="B133" s="193" t="s">
        <v>208</v>
      </c>
      <c r="C133" s="936">
        <f>+'INPUT VOL'!G121-'E2'!C12</f>
        <v>506.621915569669</v>
      </c>
      <c r="D133" s="195">
        <f>+D131</f>
        <v>6.0399000000000003</v>
      </c>
      <c r="E133" s="196">
        <f>+E131</f>
        <v>1817.25</v>
      </c>
      <c r="F133" s="197">
        <f t="shared" si="17"/>
        <v>5560686.3375890385</v>
      </c>
      <c r="G133" s="82"/>
      <c r="H133" s="54"/>
      <c r="I133"/>
      <c r="J133" s="14"/>
      <c r="K133" s="14"/>
      <c r="L133"/>
    </row>
    <row r="134" spans="1:24">
      <c r="B134" s="581" t="s">
        <v>416</v>
      </c>
      <c r="C134" s="929">
        <f>'INPUT VOL'!G140-'E2'!C11</f>
        <v>0</v>
      </c>
      <c r="D134" s="650">
        <f>+D133</f>
        <v>6.0399000000000003</v>
      </c>
      <c r="E134" s="196">
        <f t="shared" si="16"/>
        <v>1817.25</v>
      </c>
      <c r="F134" s="197">
        <f t="shared" si="17"/>
        <v>0</v>
      </c>
      <c r="G134" s="82"/>
      <c r="H134"/>
      <c r="I134"/>
      <c r="J134" s="14"/>
      <c r="K134" s="14"/>
      <c r="L134"/>
    </row>
    <row r="135" spans="1:24">
      <c r="B135" s="199" t="s">
        <v>377</v>
      </c>
      <c r="C135" s="936">
        <f>+'INPUT VOL'!G135-'E2'!C15</f>
        <v>2.3400000000037835E-2</v>
      </c>
      <c r="D135" s="195">
        <f>+D133</f>
        <v>6.0399000000000003</v>
      </c>
      <c r="E135" s="196">
        <f t="shared" si="16"/>
        <v>1817.25</v>
      </c>
      <c r="F135" s="197">
        <f t="shared" si="17"/>
        <v>256.83859363541529</v>
      </c>
      <c r="G135" s="82"/>
      <c r="H135"/>
      <c r="I135"/>
      <c r="J135" s="14"/>
      <c r="K135" s="14"/>
      <c r="L135"/>
      <c r="W135" s="324"/>
      <c r="X135" s="327"/>
    </row>
    <row r="136" spans="1:24">
      <c r="B136" s="199" t="s">
        <v>378</v>
      </c>
      <c r="C136" s="732">
        <f>+'INPUT VOL'!G136</f>
        <v>4841.3172541464637</v>
      </c>
      <c r="D136" s="195">
        <f>+D135</f>
        <v>6.0399000000000003</v>
      </c>
      <c r="E136" s="196">
        <f t="shared" si="16"/>
        <v>1817.25</v>
      </c>
      <c r="F136" s="197">
        <f t="shared" si="17"/>
        <v>53138338.243411869</v>
      </c>
      <c r="G136" s="82"/>
      <c r="H136"/>
      <c r="I136"/>
      <c r="J136" s="14"/>
      <c r="K136" s="14"/>
      <c r="L136"/>
      <c r="W136" s="324"/>
      <c r="X136" s="327"/>
    </row>
    <row r="137" spans="1:24">
      <c r="B137" s="581" t="s">
        <v>420</v>
      </c>
      <c r="C137" s="735">
        <f>+'INPUT VOL'!G141</f>
        <v>2759.204361345322</v>
      </c>
      <c r="D137" s="650">
        <f>+D136</f>
        <v>6.0399000000000003</v>
      </c>
      <c r="E137" s="196">
        <f t="shared" si="16"/>
        <v>1817.25</v>
      </c>
      <c r="F137" s="197">
        <f t="shared" si="17"/>
        <v>30285049.902542345</v>
      </c>
      <c r="G137" s="82"/>
      <c r="H137"/>
      <c r="I137"/>
      <c r="J137" s="14"/>
      <c r="K137" s="516"/>
      <c r="L137"/>
      <c r="W137" s="324"/>
      <c r="X137" s="327"/>
    </row>
    <row r="138" spans="1:24">
      <c r="A138" s="87"/>
      <c r="B138" s="199" t="s">
        <v>447</v>
      </c>
      <c r="C138" s="735">
        <f>+'INPUT VOL'!G147</f>
        <v>2875.8979845326539</v>
      </c>
      <c r="D138" s="650">
        <f>+D137</f>
        <v>6.0399000000000003</v>
      </c>
      <c r="E138" s="196">
        <f t="shared" si="16"/>
        <v>1817.25</v>
      </c>
      <c r="F138" s="197">
        <f t="shared" si="17"/>
        <v>31565880.076286234</v>
      </c>
      <c r="G138" s="82"/>
      <c r="H138"/>
      <c r="I138"/>
      <c r="J138" s="14"/>
      <c r="K138" s="516"/>
      <c r="L138"/>
      <c r="W138" s="324"/>
      <c r="X138" s="327"/>
    </row>
    <row r="139" spans="1:24">
      <c r="A139" s="87"/>
      <c r="B139" s="199" t="s">
        <v>448</v>
      </c>
      <c r="C139" s="735">
        <f>+'INPUT VOL'!G148</f>
        <v>2642.1751705859206</v>
      </c>
      <c r="D139" s="650">
        <f>+D138</f>
        <v>6.0399000000000003</v>
      </c>
      <c r="E139" s="196">
        <f t="shared" si="16"/>
        <v>1817.25</v>
      </c>
      <c r="F139" s="197">
        <f t="shared" si="17"/>
        <v>29000536.5363506</v>
      </c>
      <c r="G139" s="82"/>
      <c r="H139"/>
      <c r="I139"/>
      <c r="J139" s="14"/>
      <c r="K139" s="516"/>
      <c r="L139"/>
      <c r="W139" s="324"/>
      <c r="X139" s="327"/>
    </row>
    <row r="140" spans="1:24">
      <c r="A140" s="87"/>
      <c r="B140" s="581" t="s">
        <v>470</v>
      </c>
      <c r="C140" s="735">
        <f>+'INPUT VOL'!G152</f>
        <v>4317.8318417173123</v>
      </c>
      <c r="D140" s="650">
        <f>+D139</f>
        <v>6.0399000000000003</v>
      </c>
      <c r="E140" s="196">
        <f>+E139</f>
        <v>1817.25</v>
      </c>
      <c r="F140" s="197">
        <f t="shared" si="17"/>
        <v>47392558.024747714</v>
      </c>
      <c r="G140" s="82"/>
      <c r="H140"/>
      <c r="I140"/>
      <c r="J140" s="14"/>
      <c r="K140" s="516"/>
      <c r="L140"/>
      <c r="W140" s="324"/>
      <c r="X140" s="327"/>
    </row>
    <row r="141" spans="1:24">
      <c r="A141" s="87"/>
      <c r="B141" s="581" t="s">
        <v>337</v>
      </c>
      <c r="C141" s="732">
        <f>+'INPUT VOL'!G122</f>
        <v>2219.5336000000002</v>
      </c>
      <c r="D141" s="195">
        <f>+D133</f>
        <v>6.0399000000000003</v>
      </c>
      <c r="E141" s="196">
        <f>+E139</f>
        <v>1817.25</v>
      </c>
      <c r="F141" s="197">
        <f t="shared" si="17"/>
        <v>24361619.160240542</v>
      </c>
      <c r="G141" s="82"/>
      <c r="H141" s="54"/>
      <c r="I141"/>
      <c r="J141" s="14"/>
      <c r="K141" s="14"/>
      <c r="L141"/>
      <c r="W141" s="324"/>
      <c r="X141" s="327"/>
    </row>
    <row r="142" spans="1:24">
      <c r="A142" s="87"/>
      <c r="B142" s="199" t="s">
        <v>175</v>
      </c>
      <c r="C142" s="732">
        <f>+'INPUT VOL'!G123</f>
        <v>1178.5552590562404</v>
      </c>
      <c r="D142" s="195">
        <f>+D131</f>
        <v>6.0399000000000003</v>
      </c>
      <c r="E142" s="196">
        <f t="shared" si="16"/>
        <v>1817.25</v>
      </c>
      <c r="F142" s="197">
        <f t="shared" si="17"/>
        <v>12935832.275946064</v>
      </c>
      <c r="G142" s="82"/>
      <c r="H142" s="54"/>
      <c r="I142"/>
      <c r="J142" s="14"/>
      <c r="K142" s="14"/>
      <c r="L142"/>
      <c r="W142" s="324"/>
      <c r="X142" s="327"/>
    </row>
    <row r="143" spans="1:24">
      <c r="A143" s="87"/>
      <c r="B143" s="581" t="s">
        <v>188</v>
      </c>
      <c r="C143" s="732">
        <f>+'INPUT VOL'!G124</f>
        <v>5244.7873438842589</v>
      </c>
      <c r="D143" s="195">
        <f>+D142</f>
        <v>6.0399000000000003</v>
      </c>
      <c r="E143" s="196">
        <f t="shared" si="16"/>
        <v>1817.25</v>
      </c>
      <c r="F143" s="197">
        <f t="shared" si="17"/>
        <v>57566829.287088901</v>
      </c>
      <c r="G143" s="82"/>
      <c r="H143" s="54"/>
      <c r="I143"/>
      <c r="J143" s="14"/>
      <c r="K143" s="14"/>
      <c r="L143"/>
      <c r="W143" s="324"/>
      <c r="X143" s="327"/>
    </row>
    <row r="144" spans="1:24">
      <c r="A144" s="87"/>
      <c r="B144" s="581" t="s">
        <v>198</v>
      </c>
      <c r="C144" s="732">
        <f>+'INPUT VOL'!G125</f>
        <v>7351.2368553903107</v>
      </c>
      <c r="D144" s="195">
        <f>+D143</f>
        <v>6.0399000000000003</v>
      </c>
      <c r="E144" s="196">
        <f t="shared" si="16"/>
        <v>1817.25</v>
      </c>
      <c r="F144" s="197">
        <f t="shared" si="17"/>
        <v>80687236.556249037</v>
      </c>
      <c r="G144" s="82"/>
      <c r="H144" s="54"/>
      <c r="I144"/>
      <c r="J144" s="14"/>
      <c r="K144" s="14"/>
      <c r="L144"/>
      <c r="W144" s="324"/>
      <c r="X144" s="327"/>
    </row>
    <row r="145" spans="1:24">
      <c r="A145" s="87"/>
      <c r="B145" s="581" t="s">
        <v>199</v>
      </c>
      <c r="C145" s="732">
        <f>+'INPUT VOL'!G126</f>
        <v>3702.6106442735331</v>
      </c>
      <c r="D145" s="195">
        <f>+D144</f>
        <v>6.0399000000000003</v>
      </c>
      <c r="E145" s="196">
        <f t="shared" si="16"/>
        <v>1817.25</v>
      </c>
      <c r="F145" s="197">
        <f t="shared" si="17"/>
        <v>40639885.070649385</v>
      </c>
      <c r="G145" s="317"/>
      <c r="H145" s="54"/>
      <c r="I145" s="54"/>
      <c r="J145" s="14"/>
      <c r="K145" s="14"/>
      <c r="L145"/>
      <c r="W145" s="324"/>
      <c r="X145" s="327"/>
    </row>
    <row r="146" spans="1:24">
      <c r="A146" s="87"/>
      <c r="B146" s="581" t="s">
        <v>213</v>
      </c>
      <c r="C146" s="732">
        <f>+'INPUT VOL'!G127</f>
        <v>4031.5369146327707</v>
      </c>
      <c r="D146" s="195">
        <f>+D145</f>
        <v>6.0399000000000003</v>
      </c>
      <c r="E146" s="196">
        <f t="shared" si="16"/>
        <v>1817.25</v>
      </c>
      <c r="F146" s="197">
        <f t="shared" si="17"/>
        <v>44250182.535977259</v>
      </c>
      <c r="G146" s="82"/>
      <c r="H146" s="54"/>
      <c r="I146"/>
      <c r="J146" s="14"/>
      <c r="K146" s="14"/>
      <c r="L146"/>
      <c r="W146" s="324"/>
      <c r="X146" s="327"/>
    </row>
    <row r="147" spans="1:24">
      <c r="A147" s="87"/>
      <c r="B147" s="581" t="s">
        <v>321</v>
      </c>
      <c r="C147" s="936">
        <f>+'INPUT VOL'!G128-'E2'!C16</f>
        <v>14.546308060053889</v>
      </c>
      <c r="D147" s="195">
        <f>+D146</f>
        <v>6.0399000000000003</v>
      </c>
      <c r="E147" s="196">
        <f t="shared" si="16"/>
        <v>1817.25</v>
      </c>
      <c r="F147" s="197">
        <f t="shared" si="17"/>
        <v>159660.39763785066</v>
      </c>
      <c r="G147" s="82"/>
      <c r="H147" s="54"/>
      <c r="I147"/>
      <c r="J147" s="14"/>
      <c r="K147" s="14"/>
      <c r="L147"/>
      <c r="W147" s="324"/>
      <c r="X147" s="327"/>
    </row>
    <row r="148" spans="1:24">
      <c r="A148" s="87"/>
      <c r="B148" s="581" t="s">
        <v>331</v>
      </c>
      <c r="C148" s="732">
        <f>+'INPUT VOL'!G129</f>
        <v>3590.950534667249</v>
      </c>
      <c r="D148" s="195">
        <f t="shared" ref="D148:D157" si="18">+D147</f>
        <v>6.0399000000000003</v>
      </c>
      <c r="E148" s="196">
        <f t="shared" si="16"/>
        <v>1817.25</v>
      </c>
      <c r="F148" s="197">
        <f t="shared" si="17"/>
        <v>39414302.783623405</v>
      </c>
      <c r="G148" s="82"/>
      <c r="H148"/>
      <c r="I148"/>
      <c r="J148" s="14"/>
      <c r="K148" s="14"/>
      <c r="L148"/>
      <c r="W148" s="324"/>
      <c r="X148" s="327"/>
    </row>
    <row r="149" spans="1:24">
      <c r="A149" s="87"/>
      <c r="B149" s="581" t="s">
        <v>334</v>
      </c>
      <c r="C149" s="732">
        <f>+'INPUT VOL'!G130</f>
        <v>5221.6285673573129</v>
      </c>
      <c r="D149" s="195">
        <f t="shared" si="18"/>
        <v>6.0399000000000003</v>
      </c>
      <c r="E149" s="196">
        <f t="shared" si="16"/>
        <v>1817.25</v>
      </c>
      <c r="F149" s="197">
        <f t="shared" si="17"/>
        <v>57312638.364290267</v>
      </c>
      <c r="G149" s="82"/>
      <c r="H149"/>
      <c r="I149"/>
      <c r="J149" s="14"/>
      <c r="K149" s="516"/>
      <c r="L149"/>
      <c r="W149" s="324"/>
      <c r="X149" s="327"/>
    </row>
    <row r="150" spans="1:24">
      <c r="A150" s="87"/>
      <c r="B150" s="581" t="s">
        <v>345</v>
      </c>
      <c r="C150" s="732">
        <f>+'INPUT VOL'!G131</f>
        <v>4067.2887032205713</v>
      </c>
      <c r="D150" s="195">
        <f t="shared" si="18"/>
        <v>6.0399000000000003</v>
      </c>
      <c r="E150" s="196">
        <f t="shared" si="16"/>
        <v>1817.25</v>
      </c>
      <c r="F150" s="197">
        <f t="shared" si="17"/>
        <v>44642594.463363014</v>
      </c>
      <c r="G150" s="82"/>
      <c r="H150"/>
      <c r="I150"/>
      <c r="J150" s="14"/>
      <c r="K150" s="516"/>
      <c r="L150"/>
      <c r="W150" s="324"/>
      <c r="X150" s="327"/>
    </row>
    <row r="151" spans="1:24">
      <c r="A151" s="87"/>
      <c r="B151" s="581" t="s">
        <v>471</v>
      </c>
      <c r="C151" s="732">
        <f>+'INPUT VOL'!G153</f>
        <v>3655.3795085046836</v>
      </c>
      <c r="D151" s="195">
        <f>+D150</f>
        <v>6.0399000000000003</v>
      </c>
      <c r="E151" s="196">
        <f>+E150</f>
        <v>1817.25</v>
      </c>
      <c r="F151" s="197">
        <f t="shared" si="17"/>
        <v>40121475.733612843</v>
      </c>
      <c r="G151" s="82"/>
      <c r="H151"/>
      <c r="I151"/>
      <c r="J151" s="14"/>
      <c r="K151" s="516"/>
      <c r="L151"/>
      <c r="W151" s="324"/>
      <c r="X151" s="327"/>
    </row>
    <row r="152" spans="1:24">
      <c r="A152" s="87"/>
      <c r="B152" s="581" t="s">
        <v>356</v>
      </c>
      <c r="C152" s="732">
        <f>+'INPUT VOL'!G132</f>
        <v>4592.2841697240374</v>
      </c>
      <c r="D152" s="195">
        <f>+D150</f>
        <v>6.0399000000000003</v>
      </c>
      <c r="E152" s="196">
        <f>+E150</f>
        <v>1817.25</v>
      </c>
      <c r="F152" s="197">
        <f t="shared" si="17"/>
        <v>50404949.048042543</v>
      </c>
      <c r="G152" s="82"/>
      <c r="H152"/>
      <c r="I152"/>
      <c r="J152" s="14"/>
      <c r="K152" s="516"/>
      <c r="L152"/>
    </row>
    <row r="153" spans="1:24">
      <c r="A153" s="87"/>
      <c r="B153" s="581" t="s">
        <v>362</v>
      </c>
      <c r="C153" s="732">
        <f>+'INPUT VOL'!G133</f>
        <v>3195.5680428758096</v>
      </c>
      <c r="D153" s="195">
        <f t="shared" si="18"/>
        <v>6.0399000000000003</v>
      </c>
      <c r="E153" s="196">
        <f t="shared" si="16"/>
        <v>1817.25</v>
      </c>
      <c r="F153" s="197">
        <f t="shared" si="17"/>
        <v>35074581.281930439</v>
      </c>
      <c r="G153" s="82"/>
      <c r="H153"/>
      <c r="I153"/>
      <c r="J153" s="14"/>
      <c r="K153" s="516"/>
      <c r="L153"/>
    </row>
    <row r="154" spans="1:24">
      <c r="A154" s="87"/>
      <c r="B154" s="588" t="s">
        <v>373</v>
      </c>
      <c r="C154" s="732">
        <f>+'INPUT VOL'!G134</f>
        <v>6123.6467848653419</v>
      </c>
      <c r="D154" s="203">
        <f t="shared" si="18"/>
        <v>6.0399000000000003</v>
      </c>
      <c r="E154" s="196">
        <f t="shared" si="16"/>
        <v>1817.25</v>
      </c>
      <c r="F154" s="197">
        <f t="shared" si="17"/>
        <v>67213197.783859134</v>
      </c>
      <c r="G154" s="82"/>
      <c r="H154"/>
      <c r="I154"/>
      <c r="J154" s="14"/>
      <c r="K154" s="516"/>
      <c r="L154"/>
    </row>
    <row r="155" spans="1:24">
      <c r="A155" s="87"/>
      <c r="B155" s="581" t="s">
        <v>406</v>
      </c>
      <c r="C155" s="732">
        <f>+'INPUT VOL'!G137</f>
        <v>3379.1104000000005</v>
      </c>
      <c r="D155" s="203">
        <f t="shared" si="18"/>
        <v>6.0399000000000003</v>
      </c>
      <c r="E155" s="196">
        <f t="shared" si="16"/>
        <v>1817.25</v>
      </c>
      <c r="F155" s="197">
        <f t="shared" si="17"/>
        <v>37089143.712538563</v>
      </c>
      <c r="G155" s="82"/>
      <c r="H155"/>
      <c r="I155"/>
      <c r="J155" s="14"/>
      <c r="K155" s="516"/>
      <c r="L155"/>
    </row>
    <row r="156" spans="1:24">
      <c r="A156" s="87"/>
      <c r="B156" s="581" t="s">
        <v>405</v>
      </c>
      <c r="C156" s="936">
        <f>+'INPUT VOL'!G138-'E2'!C13</f>
        <v>279.20160000000033</v>
      </c>
      <c r="D156" s="203">
        <f t="shared" si="18"/>
        <v>6.0399000000000003</v>
      </c>
      <c r="E156" s="196">
        <f t="shared" si="16"/>
        <v>1817.25</v>
      </c>
      <c r="F156" s="197">
        <f t="shared" si="17"/>
        <v>3064519.0719932439</v>
      </c>
      <c r="G156" s="478"/>
      <c r="H156"/>
      <c r="I156"/>
      <c r="J156" s="14"/>
      <c r="K156" s="516"/>
      <c r="L156"/>
    </row>
    <row r="157" spans="1:24">
      <c r="A157" s="87"/>
      <c r="B157" s="581" t="s">
        <v>409</v>
      </c>
      <c r="C157" s="732">
        <f>+'INPUT VOL'!G139</f>
        <v>3923.0356000000002</v>
      </c>
      <c r="D157" s="203">
        <f t="shared" si="18"/>
        <v>6.0399000000000003</v>
      </c>
      <c r="E157" s="196">
        <f t="shared" si="16"/>
        <v>1817.25</v>
      </c>
      <c r="F157" s="197">
        <f t="shared" si="17"/>
        <v>43059271.208719589</v>
      </c>
      <c r="G157" s="478"/>
      <c r="H157"/>
      <c r="I157"/>
      <c r="J157" s="14"/>
      <c r="K157" s="516"/>
      <c r="L157"/>
    </row>
    <row r="158" spans="1:24">
      <c r="A158" s="87"/>
      <c r="B158" s="581" t="s">
        <v>422</v>
      </c>
      <c r="C158" s="733">
        <f>+'INPUT VOL'!G142</f>
        <v>3820.2690242305653</v>
      </c>
      <c r="D158" s="203">
        <f>+D157</f>
        <v>6.0399000000000003</v>
      </c>
      <c r="E158" s="196">
        <f t="shared" si="16"/>
        <v>1817.25</v>
      </c>
      <c r="F158" s="197">
        <f t="shared" si="17"/>
        <v>41931304.422680862</v>
      </c>
      <c r="G158" s="478"/>
      <c r="H158"/>
      <c r="I158"/>
      <c r="J158" s="14"/>
      <c r="K158" s="516"/>
      <c r="L158"/>
    </row>
    <row r="159" spans="1:24">
      <c r="A159" s="87"/>
      <c r="B159" s="581" t="s">
        <v>433</v>
      </c>
      <c r="C159" s="733">
        <f>+'INPUT VOL'!G143</f>
        <v>3306.3878000000004</v>
      </c>
      <c r="D159" s="203">
        <f>+D158</f>
        <v>6.0399000000000003</v>
      </c>
      <c r="E159" s="196">
        <f t="shared" si="16"/>
        <v>1817.25</v>
      </c>
      <c r="F159" s="197">
        <f t="shared" si="17"/>
        <v>36290939.853159048</v>
      </c>
      <c r="G159" s="478"/>
      <c r="H159"/>
      <c r="I159"/>
      <c r="J159" s="14"/>
      <c r="K159" s="516"/>
      <c r="L159"/>
    </row>
    <row r="160" spans="1:24">
      <c r="A160" s="87"/>
      <c r="B160" s="581" t="s">
        <v>338</v>
      </c>
      <c r="C160" s="467">
        <f>+'INPUT VOL'!G91</f>
        <v>4087.4647034912787</v>
      </c>
      <c r="D160" s="195">
        <f>+D75</f>
        <v>6.0399000000000003</v>
      </c>
      <c r="E160" s="196">
        <f t="shared" si="16"/>
        <v>1817.25</v>
      </c>
      <c r="F160" s="197">
        <f t="shared" si="17"/>
        <v>44864046.409290701</v>
      </c>
      <c r="G160" s="478"/>
      <c r="H160"/>
      <c r="I160"/>
      <c r="J160" s="14"/>
      <c r="K160"/>
      <c r="L160"/>
    </row>
    <row r="161" spans="1:12">
      <c r="A161" s="87"/>
      <c r="B161" s="581" t="s">
        <v>370</v>
      </c>
      <c r="C161" s="467">
        <f>+'INPUT VOL'!G92</f>
        <v>1666.6382926320105</v>
      </c>
      <c r="D161" s="195">
        <f>+D160</f>
        <v>6.0399000000000003</v>
      </c>
      <c r="E161" s="196">
        <f t="shared" si="16"/>
        <v>1817.25</v>
      </c>
      <c r="F161" s="197">
        <f t="shared" si="17"/>
        <v>18293035.691360816</v>
      </c>
      <c r="G161" s="478"/>
      <c r="H161"/>
      <c r="I161"/>
      <c r="J161" s="14"/>
      <c r="K161"/>
      <c r="L161"/>
    </row>
    <row r="162" spans="1:12">
      <c r="A162" s="87"/>
      <c r="B162" s="581" t="s">
        <v>429</v>
      </c>
      <c r="C162" s="657">
        <f>+'INPUT VOL'!G96</f>
        <v>2773.4659831582953</v>
      </c>
      <c r="D162" s="195">
        <f>+D161</f>
        <v>6.0399000000000003</v>
      </c>
      <c r="E162" s="196">
        <f t="shared" si="16"/>
        <v>1817.25</v>
      </c>
      <c r="F162" s="197">
        <f t="shared" si="17"/>
        <v>30441585.581576463</v>
      </c>
      <c r="G162" s="478"/>
      <c r="H162"/>
      <c r="I162"/>
      <c r="J162" s="14"/>
      <c r="K162"/>
      <c r="L162"/>
    </row>
    <row r="163" spans="1:12">
      <c r="A163" s="87"/>
      <c r="B163" s="581" t="s">
        <v>431</v>
      </c>
      <c r="C163" s="657">
        <f>+'INPUT VOL'!G97</f>
        <v>5059.1006084198752</v>
      </c>
      <c r="D163" s="195">
        <f>+D162</f>
        <v>6.0399000000000003</v>
      </c>
      <c r="E163" s="196">
        <f t="shared" si="16"/>
        <v>1817.25</v>
      </c>
      <c r="F163" s="197">
        <f t="shared" si="17"/>
        <v>55528730.142074093</v>
      </c>
      <c r="G163" s="478"/>
      <c r="H163"/>
      <c r="I163"/>
      <c r="J163" s="14"/>
      <c r="K163"/>
      <c r="L163"/>
    </row>
    <row r="164" spans="1:12">
      <c r="A164" s="87"/>
      <c r="B164" s="581" t="s">
        <v>366</v>
      </c>
      <c r="C164" s="467">
        <f>+'INPUT VOL'!G98</f>
        <v>1748.7684558961362</v>
      </c>
      <c r="D164" s="195">
        <f>+D161</f>
        <v>6.0399000000000003</v>
      </c>
      <c r="E164" s="196">
        <f t="shared" si="16"/>
        <v>1817.25</v>
      </c>
      <c r="F164" s="197">
        <f t="shared" si="17"/>
        <v>19194497.042974964</v>
      </c>
      <c r="G164" s="478"/>
      <c r="H164"/>
      <c r="I164"/>
      <c r="J164" s="14"/>
      <c r="K164"/>
      <c r="L164"/>
    </row>
    <row r="165" spans="1:12">
      <c r="A165" s="87"/>
      <c r="B165" s="198" t="s">
        <v>391</v>
      </c>
      <c r="C165" s="467">
        <f>+'INPUT VOL'!G99</f>
        <v>476.84151991142636</v>
      </c>
      <c r="D165" s="650">
        <f>+D164</f>
        <v>6.0399000000000003</v>
      </c>
      <c r="E165" s="196">
        <f t="shared" si="16"/>
        <v>1817.25</v>
      </c>
      <c r="F165" s="197">
        <f t="shared" si="17"/>
        <v>5233816.4684113935</v>
      </c>
      <c r="G165" s="478"/>
      <c r="H165"/>
      <c r="I165"/>
      <c r="J165" s="14"/>
      <c r="K165"/>
      <c r="L165"/>
    </row>
    <row r="166" spans="1:12">
      <c r="A166" s="87"/>
      <c r="B166" s="198" t="s">
        <v>383</v>
      </c>
      <c r="C166" s="467">
        <f>+'INPUT VOL'!G100</f>
        <v>2035.4690002834163</v>
      </c>
      <c r="D166" s="195">
        <f>+D164</f>
        <v>6.0399000000000003</v>
      </c>
      <c r="E166" s="196">
        <f t="shared" si="16"/>
        <v>1817.25</v>
      </c>
      <c r="F166" s="197">
        <f t="shared" si="17"/>
        <v>22341324.590616755</v>
      </c>
      <c r="G166" s="478"/>
      <c r="H166"/>
      <c r="I166"/>
      <c r="J166" s="14"/>
      <c r="K166"/>
      <c r="L166"/>
    </row>
    <row r="167" spans="1:12">
      <c r="A167" s="87"/>
      <c r="B167" s="198" t="s">
        <v>485</v>
      </c>
      <c r="C167" s="467">
        <f>+'INPUT VOL'!D170</f>
        <v>2182.321759010536</v>
      </c>
      <c r="D167" s="195">
        <f>+D166</f>
        <v>6.0399000000000003</v>
      </c>
      <c r="E167" s="196">
        <f>+E166</f>
        <v>1817.25</v>
      </c>
      <c r="F167" s="197">
        <f t="shared" si="17"/>
        <v>23953181.685612198</v>
      </c>
      <c r="G167" s="478"/>
      <c r="H167"/>
      <c r="I167"/>
      <c r="J167" s="14"/>
      <c r="K167"/>
      <c r="L167"/>
    </row>
    <row r="168" spans="1:12">
      <c r="A168" s="87"/>
      <c r="B168" s="1119" t="s">
        <v>576</v>
      </c>
      <c r="C168" s="1120">
        <f>+'INPUT VOL'!D185</f>
        <v>1286.0207740116482</v>
      </c>
      <c r="D168" s="195">
        <f>+D167</f>
        <v>6.0399000000000003</v>
      </c>
      <c r="E168" s="196">
        <f>+E167</f>
        <v>1817.25</v>
      </c>
      <c r="F168" s="197">
        <f t="shared" ref="F168" si="19">+C168*D168*E168</f>
        <v>14115374.657373756</v>
      </c>
      <c r="G168" s="478"/>
      <c r="H168"/>
      <c r="I168"/>
      <c r="J168" s="14"/>
      <c r="K168"/>
      <c r="L168"/>
    </row>
    <row r="169" spans="1:12" ht="13.5" thickBot="1">
      <c r="A169" s="87"/>
      <c r="B169" s="693"/>
      <c r="C169" s="693"/>
      <c r="D169" s="693"/>
      <c r="E169" s="693"/>
      <c r="F169" s="693"/>
      <c r="G169" s="478"/>
      <c r="H169" s="55"/>
      <c r="I169"/>
      <c r="J169" s="14"/>
      <c r="K169"/>
      <c r="L169"/>
    </row>
    <row r="170" spans="1:12">
      <c r="B170" s="206" t="s">
        <v>423</v>
      </c>
      <c r="C170" s="937">
        <v>0</v>
      </c>
      <c r="D170" s="637">
        <f>+D166</f>
        <v>6.0399000000000003</v>
      </c>
      <c r="E170" s="633">
        <f>+E166</f>
        <v>1817.25</v>
      </c>
      <c r="F170" s="207">
        <f t="shared" ref="F170:F182" si="20">+C170*D170*E170</f>
        <v>0</v>
      </c>
      <c r="G170" s="82"/>
      <c r="H170" s="55"/>
      <c r="I170"/>
      <c r="J170" s="14"/>
      <c r="K170" s="54"/>
    </row>
    <row r="171" spans="1:12">
      <c r="B171" s="193" t="s">
        <v>151</v>
      </c>
      <c r="C171" s="936">
        <v>0</v>
      </c>
      <c r="D171" s="286">
        <f>+D170</f>
        <v>6.0399000000000003</v>
      </c>
      <c r="E171" s="196">
        <f>+E170</f>
        <v>1817.25</v>
      </c>
      <c r="F171" s="197">
        <f t="shared" si="20"/>
        <v>0</v>
      </c>
      <c r="G171" s="82"/>
      <c r="H171" s="55"/>
      <c r="I171"/>
      <c r="J171" s="14"/>
      <c r="K171" s="54"/>
    </row>
    <row r="172" spans="1:12">
      <c r="B172" s="481" t="s">
        <v>149</v>
      </c>
      <c r="C172" s="936"/>
      <c r="D172" s="286">
        <f>+D171</f>
        <v>6.0399000000000003</v>
      </c>
      <c r="E172" s="196">
        <f t="shared" ref="E172:E182" si="21">+E171</f>
        <v>1817.25</v>
      </c>
      <c r="F172" s="197">
        <f t="shared" si="20"/>
        <v>0</v>
      </c>
      <c r="G172" s="82"/>
      <c r="H172"/>
      <c r="I172"/>
      <c r="J172" s="14"/>
      <c r="K172" s="54"/>
    </row>
    <row r="173" spans="1:12">
      <c r="B173" s="481" t="s">
        <v>484</v>
      </c>
      <c r="C173" s="936">
        <v>7095</v>
      </c>
      <c r="D173" s="1175">
        <f>+D7</f>
        <v>3.7447380000000003</v>
      </c>
      <c r="E173" s="196">
        <f>+E172</f>
        <v>1817.25</v>
      </c>
      <c r="F173" s="197">
        <f t="shared" si="20"/>
        <v>48282362.800897501</v>
      </c>
      <c r="G173" s="82"/>
      <c r="H173"/>
      <c r="I173"/>
      <c r="J173" s="14"/>
      <c r="K173" s="54"/>
    </row>
    <row r="174" spans="1:12">
      <c r="B174" s="481" t="s">
        <v>443</v>
      </c>
      <c r="C174" s="936">
        <v>26350</v>
      </c>
      <c r="D174" s="1175">
        <f>+D173</f>
        <v>3.7447380000000003</v>
      </c>
      <c r="E174" s="196">
        <f>+E173</f>
        <v>1817.25</v>
      </c>
      <c r="F174" s="197">
        <f>+C174*D174*E174</f>
        <v>179315047.18867502</v>
      </c>
      <c r="G174" s="82"/>
      <c r="H174"/>
      <c r="I174"/>
      <c r="J174" s="14"/>
      <c r="K174" s="54"/>
    </row>
    <row r="175" spans="1:12">
      <c r="B175" s="481" t="s">
        <v>394</v>
      </c>
      <c r="C175" s="1094"/>
      <c r="D175" s="286"/>
      <c r="E175" s="196">
        <f>+E174</f>
        <v>1817.25</v>
      </c>
      <c r="F175" s="197">
        <f>+C175*D175*E175</f>
        <v>0</v>
      </c>
      <c r="G175" s="82"/>
      <c r="H175"/>
      <c r="I175" s="14"/>
      <c r="J175" s="14"/>
      <c r="K175" s="54"/>
    </row>
    <row r="176" spans="1:12">
      <c r="B176" s="481" t="s">
        <v>572</v>
      </c>
      <c r="C176" s="1094"/>
      <c r="D176" s="286">
        <f>+D175</f>
        <v>0</v>
      </c>
      <c r="E176" s="196">
        <f>+E175</f>
        <v>1817.25</v>
      </c>
      <c r="F176" s="197">
        <f t="shared" ref="F176:F177" si="22">+C176*D176*E176</f>
        <v>0</v>
      </c>
      <c r="G176" s="82"/>
      <c r="H176"/>
      <c r="I176" s="14"/>
      <c r="J176" s="14"/>
      <c r="K176" s="54"/>
    </row>
    <row r="177" spans="1:11">
      <c r="B177" s="481" t="s">
        <v>360</v>
      </c>
      <c r="C177" s="1094"/>
      <c r="D177" s="286">
        <f>+D176</f>
        <v>0</v>
      </c>
      <c r="E177" s="196">
        <f>+E176</f>
        <v>1817.25</v>
      </c>
      <c r="F177" s="197">
        <f t="shared" si="22"/>
        <v>0</v>
      </c>
      <c r="G177" s="82"/>
      <c r="H177"/>
      <c r="I177" s="14"/>
      <c r="J177" s="14"/>
      <c r="K177" s="54"/>
    </row>
    <row r="178" spans="1:11">
      <c r="B178" s="479" t="str">
        <f>+B170</f>
        <v>EMGESA</v>
      </c>
      <c r="C178" s="480"/>
      <c r="D178" s="482"/>
      <c r="E178" s="196">
        <f>+E172</f>
        <v>1817.25</v>
      </c>
      <c r="F178" s="197">
        <f t="shared" si="20"/>
        <v>0</v>
      </c>
      <c r="G178" s="82"/>
      <c r="H178"/>
      <c r="I178"/>
      <c r="J178" s="14"/>
      <c r="K178" s="54"/>
    </row>
    <row r="179" spans="1:11">
      <c r="B179" s="479" t="s">
        <v>151</v>
      </c>
      <c r="C179" s="480"/>
      <c r="D179" s="286"/>
      <c r="E179" s="196">
        <f t="shared" si="21"/>
        <v>1817.25</v>
      </c>
      <c r="F179" s="197">
        <f t="shared" si="20"/>
        <v>0</v>
      </c>
      <c r="G179" s="82"/>
      <c r="H179"/>
      <c r="I179"/>
      <c r="J179" s="14"/>
      <c r="K179" s="54"/>
    </row>
    <row r="180" spans="1:11">
      <c r="B180" s="479" t="s">
        <v>149</v>
      </c>
      <c r="C180" s="480"/>
      <c r="D180" s="286"/>
      <c r="E180" s="196">
        <f t="shared" si="21"/>
        <v>1817.25</v>
      </c>
      <c r="F180" s="197">
        <f t="shared" si="20"/>
        <v>0</v>
      </c>
      <c r="G180" s="82"/>
      <c r="H180"/>
      <c r="I180"/>
      <c r="J180" s="14"/>
      <c r="K180" s="54"/>
    </row>
    <row r="181" spans="1:11">
      <c r="B181" s="198" t="s">
        <v>132</v>
      </c>
      <c r="C181" s="194"/>
      <c r="D181" s="195"/>
      <c r="E181" s="196">
        <f t="shared" si="21"/>
        <v>1817.25</v>
      </c>
      <c r="F181" s="307">
        <f t="shared" si="20"/>
        <v>0</v>
      </c>
      <c r="G181" s="82"/>
      <c r="H181"/>
      <c r="I181"/>
      <c r="J181" s="14"/>
      <c r="K181" s="54"/>
    </row>
    <row r="182" spans="1:11" ht="13.5" thickBot="1">
      <c r="B182" s="198" t="s">
        <v>173</v>
      </c>
      <c r="C182" s="194"/>
      <c r="D182" s="195"/>
      <c r="E182" s="196">
        <f t="shared" si="21"/>
        <v>1817.25</v>
      </c>
      <c r="F182" s="197">
        <f t="shared" si="20"/>
        <v>0</v>
      </c>
      <c r="G182" s="82"/>
      <c r="H182"/>
      <c r="I182"/>
      <c r="J182" s="14"/>
      <c r="K182" s="54"/>
    </row>
    <row r="183" spans="1:11" ht="13.5" thickBot="1">
      <c r="B183" s="349"/>
      <c r="C183" s="695"/>
      <c r="D183" s="696"/>
      <c r="E183" s="697"/>
      <c r="F183" s="694"/>
      <c r="G183" s="82"/>
      <c r="H183"/>
      <c r="I183"/>
      <c r="J183"/>
      <c r="K183" s="54"/>
    </row>
    <row r="184" spans="1:11">
      <c r="B184" s="686"/>
      <c r="C184" s="687"/>
      <c r="D184" s="205"/>
      <c r="E184" s="208"/>
      <c r="F184" s="687"/>
      <c r="G184" s="82"/>
      <c r="H184"/>
      <c r="I184"/>
      <c r="J184"/>
      <c r="K184" s="54"/>
    </row>
    <row r="185" spans="1:11">
      <c r="A185"/>
      <c r="B185" s="93" t="s">
        <v>127</v>
      </c>
      <c r="C185" s="96">
        <f>SUM(C13:C183)</f>
        <v>749869.75941516599</v>
      </c>
      <c r="D185" s="94"/>
      <c r="E185" s="95"/>
      <c r="F185" s="96">
        <f>SUM(F13:F183)</f>
        <v>7288964149.7730408</v>
      </c>
      <c r="G185" s="82"/>
      <c r="H185" s="55"/>
      <c r="I185"/>
      <c r="J185"/>
      <c r="K185"/>
    </row>
    <row r="186" spans="1:11">
      <c r="A186"/>
      <c r="B186" s="93" t="s">
        <v>388</v>
      </c>
      <c r="C186" s="96">
        <f>+C8</f>
        <v>784300</v>
      </c>
      <c r="D186" s="94"/>
      <c r="E186" s="95"/>
      <c r="F186" s="96">
        <f>+F8</f>
        <v>7657627856.8772926</v>
      </c>
      <c r="G186" s="82"/>
      <c r="H186" s="55"/>
      <c r="I186" s="55"/>
      <c r="J186"/>
      <c r="K186"/>
    </row>
    <row r="187" spans="1:11">
      <c r="A187"/>
      <c r="B187" s="97" t="s">
        <v>4</v>
      </c>
      <c r="C187" s="98">
        <f>+C186-C185</f>
        <v>34430.240584834013</v>
      </c>
      <c r="D187" s="91"/>
      <c r="E187" s="92"/>
      <c r="F187" s="98">
        <f>+F186-F185</f>
        <v>368663707.10425186</v>
      </c>
      <c r="G187" s="82"/>
      <c r="H187" s="736"/>
      <c r="I187" s="55"/>
      <c r="J187"/>
      <c r="K187"/>
    </row>
    <row r="188" spans="1:11">
      <c r="A188"/>
      <c r="C188" s="324"/>
      <c r="E188" s="90"/>
      <c r="G188" s="82"/>
      <c r="H188"/>
      <c r="I188"/>
      <c r="J188"/>
      <c r="K188"/>
    </row>
    <row r="189" spans="1:11">
      <c r="B189"/>
      <c r="C189"/>
      <c r="D189"/>
      <c r="E189"/>
      <c r="F189" s="1193"/>
      <c r="G189"/>
      <c r="H189"/>
      <c r="I189"/>
      <c r="J189"/>
      <c r="K189"/>
    </row>
    <row r="190" spans="1:11">
      <c r="B190"/>
      <c r="C190"/>
      <c r="D190"/>
      <c r="E190"/>
      <c r="F190"/>
      <c r="G190"/>
      <c r="H190"/>
    </row>
    <row r="191" spans="1:11">
      <c r="B191"/>
      <c r="C191"/>
      <c r="D191"/>
      <c r="E191"/>
      <c r="F191"/>
      <c r="G191"/>
      <c r="H191"/>
    </row>
    <row r="192" spans="1:11">
      <c r="B192"/>
      <c r="C192"/>
      <c r="D192"/>
      <c r="E192"/>
      <c r="F192"/>
      <c r="G192"/>
      <c r="H192"/>
    </row>
    <row r="193" spans="2:8">
      <c r="B193"/>
      <c r="C193"/>
      <c r="D193"/>
      <c r="E193"/>
      <c r="F193"/>
      <c r="G193"/>
      <c r="H193"/>
    </row>
    <row r="194" spans="2:8">
      <c r="B194"/>
      <c r="C194"/>
      <c r="D194"/>
      <c r="E194"/>
      <c r="F194"/>
      <c r="G194"/>
      <c r="H194"/>
    </row>
    <row r="195" spans="2:8">
      <c r="B195"/>
      <c r="C195"/>
      <c r="D195"/>
      <c r="E195"/>
      <c r="F195"/>
      <c r="G195"/>
      <c r="H195"/>
    </row>
    <row r="196" spans="2:8">
      <c r="B196"/>
      <c r="C196"/>
      <c r="D196"/>
      <c r="E196"/>
      <c r="F196"/>
      <c r="G196"/>
      <c r="H196"/>
    </row>
    <row r="197" spans="2:8">
      <c r="B197"/>
      <c r="C197"/>
      <c r="D197"/>
      <c r="E197"/>
      <c r="F197"/>
      <c r="G197"/>
      <c r="H197"/>
    </row>
    <row r="198" spans="2:8">
      <c r="B198"/>
      <c r="C198"/>
      <c r="D198"/>
      <c r="E198"/>
      <c r="F198"/>
      <c r="G198"/>
      <c r="H198"/>
    </row>
    <row r="199" spans="2:8">
      <c r="B199"/>
      <c r="C199"/>
      <c r="D199"/>
      <c r="E199"/>
      <c r="F199"/>
      <c r="G199"/>
      <c r="H199"/>
    </row>
    <row r="200" spans="2:8">
      <c r="B200"/>
      <c r="C200"/>
      <c r="D200"/>
      <c r="E200"/>
      <c r="F200"/>
      <c r="G200"/>
      <c r="H200"/>
    </row>
    <row r="201" spans="2:8">
      <c r="B201"/>
      <c r="C201"/>
      <c r="D201"/>
      <c r="E201"/>
      <c r="F201"/>
      <c r="G201"/>
      <c r="H201"/>
    </row>
    <row r="202" spans="2:8">
      <c r="B202"/>
      <c r="C202"/>
      <c r="D202"/>
      <c r="E202"/>
      <c r="F202"/>
      <c r="G202"/>
      <c r="H202"/>
    </row>
    <row r="203" spans="2:8">
      <c r="B203"/>
      <c r="C203"/>
      <c r="D203"/>
      <c r="E203"/>
      <c r="F203"/>
      <c r="G203"/>
      <c r="H203"/>
    </row>
    <row r="204" spans="2:8">
      <c r="B204"/>
      <c r="C204"/>
      <c r="D204"/>
      <c r="E204"/>
      <c r="F204"/>
      <c r="G204"/>
      <c r="H204"/>
    </row>
    <row r="205" spans="2:8">
      <c r="B205"/>
      <c r="C205"/>
      <c r="D205"/>
      <c r="E205"/>
      <c r="F205"/>
      <c r="G205"/>
      <c r="H205"/>
    </row>
    <row r="206" spans="2:8">
      <c r="B206"/>
      <c r="C206"/>
      <c r="D206"/>
      <c r="E206"/>
      <c r="F206"/>
      <c r="G206"/>
      <c r="H206"/>
    </row>
    <row r="207" spans="2:8">
      <c r="B207"/>
      <c r="C207"/>
      <c r="D207"/>
      <c r="E207"/>
      <c r="F207"/>
      <c r="G207"/>
      <c r="H207"/>
    </row>
    <row r="208" spans="2:8">
      <c r="B208"/>
      <c r="C208"/>
      <c r="D208"/>
      <c r="E208"/>
      <c r="F208"/>
      <c r="G208"/>
      <c r="H208"/>
    </row>
    <row r="209" spans="2:8">
      <c r="B209"/>
      <c r="C209"/>
      <c r="D209"/>
      <c r="E209"/>
      <c r="F209"/>
      <c r="G209"/>
      <c r="H209"/>
    </row>
    <row r="210" spans="2:8">
      <c r="B210"/>
      <c r="C210"/>
      <c r="D210"/>
      <c r="E210"/>
      <c r="F210"/>
      <c r="G210"/>
      <c r="H210"/>
    </row>
    <row r="211" spans="2:8">
      <c r="B211"/>
      <c r="C211"/>
      <c r="D211"/>
      <c r="E211"/>
      <c r="F211"/>
      <c r="G211"/>
      <c r="H211"/>
    </row>
    <row r="212" spans="2:8">
      <c r="B212"/>
      <c r="C212"/>
      <c r="D212"/>
      <c r="E212"/>
      <c r="F212"/>
      <c r="G212"/>
      <c r="H212"/>
    </row>
    <row r="213" spans="2:8">
      <c r="B213"/>
      <c r="C213"/>
      <c r="D213"/>
      <c r="E213"/>
      <c r="F213"/>
      <c r="G213"/>
      <c r="H213"/>
    </row>
    <row r="214" spans="2:8">
      <c r="B214"/>
      <c r="C214"/>
      <c r="D214"/>
      <c r="E214"/>
      <c r="F214"/>
      <c r="G214"/>
      <c r="H214"/>
    </row>
    <row r="215" spans="2:8">
      <c r="B215"/>
      <c r="C215"/>
      <c r="D215"/>
      <c r="E215"/>
      <c r="F215"/>
      <c r="G215"/>
      <c r="H215"/>
    </row>
    <row r="216" spans="2:8">
      <c r="B216"/>
      <c r="C216"/>
      <c r="D216"/>
      <c r="E216"/>
      <c r="F216"/>
      <c r="G216"/>
      <c r="H216"/>
    </row>
    <row r="217" spans="2:8">
      <c r="B217"/>
      <c r="C217"/>
      <c r="D217"/>
      <c r="E217"/>
      <c r="F217"/>
      <c r="G217"/>
      <c r="H217"/>
    </row>
    <row r="218" spans="2:8">
      <c r="B218"/>
      <c r="C218"/>
      <c r="D218"/>
      <c r="E218"/>
      <c r="F218"/>
      <c r="G218"/>
      <c r="H218"/>
    </row>
    <row r="219" spans="2:8">
      <c r="B219"/>
      <c r="C219"/>
      <c r="D219"/>
      <c r="E219"/>
      <c r="F219"/>
      <c r="G219"/>
      <c r="H219"/>
    </row>
    <row r="220" spans="2:8">
      <c r="B220"/>
      <c r="C220"/>
      <c r="D220"/>
      <c r="E220"/>
      <c r="F220"/>
      <c r="G220"/>
      <c r="H220"/>
    </row>
    <row r="221" spans="2:8">
      <c r="B221"/>
      <c r="C221"/>
      <c r="D221"/>
      <c r="E221"/>
      <c r="F221"/>
      <c r="G221"/>
      <c r="H221"/>
    </row>
    <row r="222" spans="2:8">
      <c r="B222"/>
      <c r="C222"/>
      <c r="D222"/>
      <c r="E222"/>
      <c r="F222"/>
      <c r="G222"/>
      <c r="H222"/>
    </row>
    <row r="223" spans="2:8">
      <c r="B223"/>
      <c r="C223"/>
      <c r="D223"/>
      <c r="E223"/>
      <c r="F223"/>
      <c r="G223"/>
      <c r="H223"/>
    </row>
    <row r="224" spans="2:8">
      <c r="B224"/>
      <c r="C224"/>
      <c r="D224"/>
      <c r="E224"/>
      <c r="F224"/>
      <c r="G224"/>
      <c r="H224"/>
    </row>
    <row r="225" spans="2:9">
      <c r="B225"/>
      <c r="C225"/>
      <c r="D225"/>
      <c r="E225"/>
      <c r="F225"/>
      <c r="G225"/>
      <c r="H225"/>
    </row>
    <row r="226" spans="2:9">
      <c r="B226"/>
      <c r="C226"/>
      <c r="D226"/>
      <c r="E226"/>
      <c r="F226"/>
      <c r="G226"/>
      <c r="H226"/>
    </row>
    <row r="227" spans="2:9">
      <c r="B227"/>
      <c r="C227"/>
      <c r="D227"/>
      <c r="E227"/>
      <c r="F227"/>
      <c r="G227"/>
      <c r="H227"/>
    </row>
    <row r="228" spans="2:9">
      <c r="B228"/>
      <c r="C228"/>
      <c r="D228"/>
      <c r="E228"/>
      <c r="F228"/>
      <c r="G228"/>
      <c r="H228"/>
    </row>
    <row r="229" spans="2:9">
      <c r="B229"/>
      <c r="C229"/>
      <c r="D229"/>
      <c r="E229"/>
      <c r="F229"/>
      <c r="G229"/>
      <c r="H229"/>
    </row>
    <row r="230" spans="2:9">
      <c r="B230"/>
      <c r="C230"/>
      <c r="D230"/>
      <c r="E230"/>
      <c r="F230"/>
      <c r="G230"/>
      <c r="H230"/>
    </row>
    <row r="231" spans="2:9">
      <c r="B231"/>
      <c r="C231"/>
      <c r="D231"/>
      <c r="E231"/>
      <c r="F231"/>
      <c r="G231"/>
      <c r="H231"/>
    </row>
    <row r="232" spans="2:9">
      <c r="B232"/>
      <c r="C232"/>
      <c r="D232"/>
      <c r="E232"/>
      <c r="F232"/>
      <c r="G232"/>
      <c r="H232"/>
    </row>
    <row r="233" spans="2:9">
      <c r="B233"/>
      <c r="C233"/>
      <c r="D233"/>
      <c r="E233"/>
      <c r="F233"/>
      <c r="G233"/>
      <c r="H233"/>
      <c r="I233" s="85">
        <f>+H231-D241</f>
        <v>0</v>
      </c>
    </row>
    <row r="234" spans="2:9">
      <c r="B234"/>
      <c r="C234"/>
      <c r="D234"/>
      <c r="E234"/>
      <c r="F234"/>
      <c r="G234"/>
      <c r="H234"/>
      <c r="I234" s="84">
        <v>159045</v>
      </c>
    </row>
    <row r="235" spans="2:9">
      <c r="B235"/>
      <c r="C235"/>
      <c r="D235"/>
      <c r="E235"/>
      <c r="F235"/>
      <c r="G235"/>
      <c r="H235"/>
      <c r="I235" s="85">
        <f>+I233+I234</f>
        <v>159045</v>
      </c>
    </row>
    <row r="236" spans="2:9">
      <c r="B236"/>
      <c r="C236"/>
      <c r="D236"/>
      <c r="E236"/>
      <c r="F236"/>
      <c r="G236"/>
      <c r="H236"/>
      <c r="I236" s="85"/>
    </row>
    <row r="237" spans="2:9">
      <c r="B237"/>
      <c r="C237"/>
      <c r="D237"/>
      <c r="E237"/>
      <c r="F237"/>
      <c r="G237"/>
      <c r="H237"/>
      <c r="I237" s="85"/>
    </row>
    <row r="238" spans="2:9">
      <c r="B238"/>
      <c r="C238"/>
      <c r="D238"/>
      <c r="E238"/>
      <c r="F238"/>
      <c r="G238"/>
      <c r="H238"/>
      <c r="I238" s="85"/>
    </row>
    <row r="239" spans="2:9">
      <c r="B239"/>
      <c r="C239"/>
      <c r="D239"/>
      <c r="E239"/>
      <c r="F239"/>
      <c r="G239"/>
      <c r="H239"/>
      <c r="I239" s="85"/>
    </row>
    <row r="240" spans="2:9">
      <c r="B240"/>
      <c r="C240"/>
      <c r="D240"/>
      <c r="E240"/>
      <c r="F240"/>
      <c r="G240"/>
      <c r="H240"/>
      <c r="I240" s="85"/>
    </row>
    <row r="241" spans="2:9">
      <c r="B241"/>
      <c r="C241"/>
      <c r="D241"/>
      <c r="E241"/>
      <c r="F241"/>
      <c r="G241"/>
      <c r="H241"/>
      <c r="I241" s="85"/>
    </row>
    <row r="242" spans="2:9">
      <c r="B242"/>
      <c r="C242"/>
      <c r="D242"/>
      <c r="E242"/>
      <c r="F242"/>
      <c r="G242"/>
      <c r="H242"/>
      <c r="I242" s="85"/>
    </row>
    <row r="243" spans="2:9">
      <c r="B243"/>
      <c r="C243"/>
      <c r="D243"/>
      <c r="E243"/>
      <c r="F243"/>
      <c r="G243"/>
      <c r="H243"/>
      <c r="I243" s="85"/>
    </row>
    <row r="244" spans="2:9">
      <c r="B244"/>
      <c r="C244"/>
      <c r="D244"/>
      <c r="E244"/>
      <c r="F244"/>
      <c r="G244"/>
      <c r="H244"/>
      <c r="I244" s="85"/>
    </row>
    <row r="245" spans="2:9">
      <c r="B245"/>
      <c r="C245"/>
      <c r="D245"/>
      <c r="E245"/>
      <c r="F245"/>
      <c r="G245"/>
      <c r="H245"/>
      <c r="I245" s="85"/>
    </row>
    <row r="246" spans="2:9">
      <c r="B246"/>
      <c r="C246"/>
      <c r="D246"/>
      <c r="E246"/>
      <c r="F246"/>
      <c r="G246"/>
      <c r="H246"/>
      <c r="I246" s="85"/>
    </row>
    <row r="247" spans="2:9">
      <c r="B247"/>
      <c r="C247"/>
      <c r="D247"/>
      <c r="E247"/>
      <c r="F247"/>
      <c r="G247"/>
      <c r="H247"/>
      <c r="I247" s="85"/>
    </row>
    <row r="248" spans="2:9">
      <c r="B248"/>
      <c r="C248"/>
      <c r="D248"/>
      <c r="E248"/>
      <c r="F248"/>
      <c r="G248"/>
      <c r="H248"/>
    </row>
    <row r="249" spans="2:9">
      <c r="B249"/>
      <c r="C249"/>
      <c r="D249"/>
      <c r="E249"/>
      <c r="F249"/>
      <c r="G249"/>
      <c r="H249"/>
    </row>
    <row r="250" spans="2:9">
      <c r="B250"/>
      <c r="C250"/>
      <c r="D250"/>
      <c r="E250"/>
      <c r="F250"/>
      <c r="G250"/>
      <c r="H250"/>
    </row>
    <row r="251" spans="2:9">
      <c r="B251"/>
      <c r="C251"/>
      <c r="D251"/>
      <c r="E251"/>
      <c r="F251"/>
      <c r="G251"/>
      <c r="H251"/>
    </row>
    <row r="252" spans="2:9">
      <c r="B252"/>
      <c r="C252"/>
      <c r="D252"/>
      <c r="E252"/>
      <c r="F252"/>
      <c r="G252"/>
      <c r="H252"/>
    </row>
    <row r="253" spans="2:9">
      <c r="B253"/>
      <c r="C253"/>
      <c r="D253"/>
      <c r="E253"/>
      <c r="F253"/>
      <c r="G253"/>
      <c r="H253"/>
    </row>
    <row r="254" spans="2:9">
      <c r="B254"/>
      <c r="C254"/>
      <c r="D254"/>
      <c r="E254"/>
      <c r="F254"/>
      <c r="G254"/>
      <c r="H254"/>
    </row>
    <row r="255" spans="2:9">
      <c r="B255"/>
      <c r="C255"/>
      <c r="D255"/>
      <c r="E255"/>
      <c r="F255"/>
      <c r="G255"/>
      <c r="H255"/>
    </row>
    <row r="256" spans="2:9">
      <c r="B256"/>
      <c r="C256"/>
      <c r="D256"/>
      <c r="E256"/>
      <c r="F256"/>
      <c r="G256"/>
      <c r="H256"/>
    </row>
    <row r="257" spans="2:8">
      <c r="B257"/>
      <c r="C257"/>
      <c r="D257"/>
      <c r="E257"/>
      <c r="F257"/>
      <c r="G257"/>
      <c r="H257"/>
    </row>
    <row r="258" spans="2:8">
      <c r="B258"/>
      <c r="C258"/>
      <c r="D258"/>
      <c r="E258"/>
      <c r="F258"/>
      <c r="G258"/>
      <c r="H258"/>
    </row>
    <row r="259" spans="2:8">
      <c r="B259"/>
      <c r="C259"/>
      <c r="D259"/>
      <c r="E259"/>
      <c r="F259"/>
      <c r="G259"/>
      <c r="H259"/>
    </row>
    <row r="260" spans="2:8">
      <c r="B260"/>
      <c r="C260"/>
      <c r="D260"/>
      <c r="E260"/>
      <c r="F260"/>
      <c r="G260"/>
      <c r="H260"/>
    </row>
    <row r="261" spans="2:8">
      <c r="B261"/>
      <c r="C261"/>
      <c r="D261"/>
      <c r="E261"/>
      <c r="F261"/>
      <c r="G261"/>
      <c r="H261"/>
    </row>
    <row r="262" spans="2:8">
      <c r="B262"/>
      <c r="C262"/>
      <c r="D262"/>
      <c r="E262"/>
      <c r="F262"/>
      <c r="G262"/>
      <c r="H262"/>
    </row>
    <row r="263" spans="2:8">
      <c r="B263"/>
      <c r="C263"/>
      <c r="D263"/>
      <c r="E263"/>
      <c r="F263"/>
      <c r="G263"/>
      <c r="H263"/>
    </row>
    <row r="264" spans="2:8">
      <c r="B264"/>
      <c r="C264"/>
      <c r="D264"/>
      <c r="E264"/>
      <c r="F264"/>
      <c r="G264"/>
      <c r="H264"/>
    </row>
    <row r="265" spans="2:8">
      <c r="B265"/>
      <c r="C265"/>
      <c r="D265"/>
      <c r="E265"/>
      <c r="F265"/>
      <c r="G265"/>
      <c r="H265"/>
    </row>
    <row r="266" spans="2:8">
      <c r="B266"/>
      <c r="C266"/>
      <c r="D266"/>
      <c r="E266"/>
      <c r="F266"/>
      <c r="G266"/>
      <c r="H266"/>
    </row>
    <row r="267" spans="2:8">
      <c r="B267"/>
      <c r="C267"/>
      <c r="D267"/>
      <c r="E267"/>
      <c r="F267"/>
      <c r="G267"/>
      <c r="H267"/>
    </row>
    <row r="268" spans="2:8">
      <c r="B268"/>
      <c r="C268"/>
      <c r="D268"/>
      <c r="E268"/>
      <c r="F268"/>
      <c r="G268"/>
      <c r="H268"/>
    </row>
    <row r="269" spans="2:8">
      <c r="B269"/>
      <c r="C269"/>
      <c r="D269"/>
      <c r="E269"/>
      <c r="F269"/>
      <c r="G269"/>
      <c r="H269"/>
    </row>
    <row r="270" spans="2:8">
      <c r="B270"/>
      <c r="C270"/>
      <c r="D270"/>
      <c r="E270"/>
      <c r="F270"/>
      <c r="G270"/>
      <c r="H270"/>
    </row>
    <row r="271" spans="2:8">
      <c r="B271"/>
      <c r="C271"/>
      <c r="D271"/>
      <c r="E271"/>
      <c r="F271"/>
      <c r="G271"/>
      <c r="H271"/>
    </row>
    <row r="272" spans="2:8">
      <c r="B272"/>
      <c r="C272"/>
      <c r="D272"/>
      <c r="E272"/>
      <c r="F272"/>
      <c r="G272"/>
      <c r="H272"/>
    </row>
    <row r="273" spans="2:8">
      <c r="B273"/>
      <c r="C273"/>
      <c r="D273"/>
      <c r="E273"/>
      <c r="F273"/>
      <c r="G273"/>
      <c r="H273"/>
    </row>
    <row r="274" spans="2:8">
      <c r="B274"/>
      <c r="C274"/>
      <c r="D274"/>
      <c r="E274"/>
      <c r="F274"/>
      <c r="G274"/>
      <c r="H274"/>
    </row>
    <row r="275" spans="2:8">
      <c r="B275"/>
      <c r="C275"/>
      <c r="D275"/>
      <c r="E275"/>
      <c r="F275"/>
      <c r="G275"/>
      <c r="H275"/>
    </row>
    <row r="276" spans="2:8">
      <c r="B276"/>
      <c r="C276"/>
      <c r="D276"/>
      <c r="E276"/>
      <c r="F276"/>
      <c r="G276"/>
      <c r="H276"/>
    </row>
    <row r="277" spans="2:8">
      <c r="B277"/>
      <c r="C277"/>
      <c r="D277"/>
      <c r="E277"/>
      <c r="F277"/>
      <c r="G277"/>
      <c r="H277"/>
    </row>
    <row r="278" spans="2:8">
      <c r="B278"/>
      <c r="C278"/>
      <c r="D278"/>
      <c r="E278"/>
      <c r="F278"/>
      <c r="G278"/>
      <c r="H278"/>
    </row>
    <row r="279" spans="2:8">
      <c r="B279"/>
      <c r="C279"/>
      <c r="D279"/>
      <c r="E279"/>
      <c r="F279"/>
      <c r="G279"/>
      <c r="H279"/>
    </row>
    <row r="280" spans="2:8">
      <c r="B280"/>
      <c r="C280"/>
      <c r="D280"/>
      <c r="E280"/>
      <c r="F280"/>
      <c r="G280"/>
      <c r="H280"/>
    </row>
    <row r="281" spans="2:8">
      <c r="B281"/>
      <c r="C281"/>
      <c r="D281"/>
      <c r="E281"/>
      <c r="F281"/>
      <c r="G281"/>
      <c r="H281"/>
    </row>
    <row r="282" spans="2:8">
      <c r="B282"/>
      <c r="C282"/>
      <c r="D282"/>
      <c r="E282"/>
      <c r="F282"/>
      <c r="G282"/>
      <c r="H282"/>
    </row>
    <row r="283" spans="2:8">
      <c r="B283"/>
      <c r="C283"/>
      <c r="D283"/>
      <c r="E283"/>
      <c r="F283"/>
      <c r="G283"/>
      <c r="H283"/>
    </row>
    <row r="284" spans="2:8">
      <c r="B284"/>
      <c r="C284"/>
      <c r="D284"/>
      <c r="E284"/>
      <c r="F284"/>
      <c r="G284"/>
      <c r="H284"/>
    </row>
    <row r="285" spans="2:8">
      <c r="B285"/>
      <c r="C285"/>
      <c r="D285"/>
      <c r="E285"/>
      <c r="F285"/>
      <c r="G285"/>
      <c r="H285"/>
    </row>
    <row r="286" spans="2:8">
      <c r="B286"/>
      <c r="C286"/>
      <c r="D286"/>
      <c r="E286"/>
      <c r="F286"/>
      <c r="G286"/>
      <c r="H286"/>
    </row>
    <row r="287" spans="2:8">
      <c r="B287"/>
      <c r="C287"/>
      <c r="D287"/>
      <c r="E287"/>
      <c r="F287"/>
      <c r="G287"/>
      <c r="H287"/>
    </row>
    <row r="288" spans="2:8">
      <c r="B288"/>
      <c r="C288"/>
      <c r="D288"/>
      <c r="E288"/>
      <c r="F288"/>
      <c r="G288"/>
      <c r="H288"/>
    </row>
    <row r="289" spans="2:8">
      <c r="B289"/>
      <c r="C289"/>
      <c r="D289"/>
      <c r="E289"/>
      <c r="F289"/>
      <c r="G289"/>
      <c r="H289"/>
    </row>
    <row r="290" spans="2:8">
      <c r="B290"/>
      <c r="C290"/>
      <c r="D290"/>
      <c r="E290"/>
      <c r="F290"/>
      <c r="G290"/>
      <c r="H290"/>
    </row>
    <row r="291" spans="2:8">
      <c r="B291"/>
      <c r="C291"/>
      <c r="D291"/>
      <c r="E291"/>
      <c r="F291"/>
      <c r="G291"/>
      <c r="H291"/>
    </row>
    <row r="292" spans="2:8">
      <c r="B292"/>
      <c r="C292"/>
      <c r="D292"/>
      <c r="E292"/>
      <c r="F292"/>
      <c r="G292"/>
      <c r="H292"/>
    </row>
    <row r="293" spans="2:8">
      <c r="B293"/>
      <c r="C293"/>
      <c r="D293"/>
      <c r="E293"/>
      <c r="F293"/>
      <c r="G293"/>
      <c r="H293"/>
    </row>
    <row r="294" spans="2:8">
      <c r="B294"/>
      <c r="C294"/>
      <c r="D294"/>
      <c r="E294"/>
      <c r="F294"/>
      <c r="G294"/>
      <c r="H294"/>
    </row>
    <row r="295" spans="2:8">
      <c r="B295"/>
      <c r="C295"/>
      <c r="D295"/>
      <c r="E295"/>
      <c r="F295"/>
      <c r="G295"/>
      <c r="H295"/>
    </row>
    <row r="296" spans="2:8">
      <c r="B296"/>
      <c r="C296"/>
      <c r="D296"/>
      <c r="E296"/>
      <c r="F296"/>
      <c r="G296"/>
      <c r="H296"/>
    </row>
    <row r="297" spans="2:8">
      <c r="B297"/>
      <c r="C297"/>
      <c r="D297"/>
      <c r="E297"/>
      <c r="F297"/>
      <c r="G297"/>
      <c r="H297"/>
    </row>
    <row r="298" spans="2:8">
      <c r="B298"/>
      <c r="C298"/>
      <c r="D298"/>
      <c r="E298"/>
      <c r="F298"/>
      <c r="G298"/>
      <c r="H298"/>
    </row>
    <row r="299" spans="2:8">
      <c r="B299"/>
      <c r="C299"/>
      <c r="D299"/>
      <c r="E299"/>
      <c r="F299"/>
      <c r="G299"/>
      <c r="H299"/>
    </row>
    <row r="300" spans="2:8">
      <c r="B300"/>
      <c r="C300"/>
      <c r="D300"/>
      <c r="E300"/>
      <c r="F300"/>
      <c r="G300"/>
      <c r="H300"/>
    </row>
    <row r="301" spans="2:8">
      <c r="B301"/>
      <c r="C301"/>
      <c r="D301"/>
      <c r="E301"/>
      <c r="F301"/>
      <c r="G301"/>
      <c r="H301"/>
    </row>
    <row r="302" spans="2:8">
      <c r="B302"/>
      <c r="C302"/>
      <c r="D302"/>
      <c r="E302"/>
      <c r="F302"/>
      <c r="G302"/>
      <c r="H302"/>
    </row>
    <row r="303" spans="2:8">
      <c r="B303"/>
      <c r="C303"/>
      <c r="D303"/>
      <c r="E303"/>
      <c r="F303"/>
      <c r="G303"/>
      <c r="H303"/>
    </row>
    <row r="304" spans="2:8">
      <c r="B304"/>
      <c r="C304"/>
      <c r="D304"/>
      <c r="E304"/>
      <c r="F304"/>
      <c r="G304"/>
      <c r="H304"/>
    </row>
    <row r="305" spans="2:8">
      <c r="B305"/>
      <c r="C305"/>
      <c r="D305"/>
      <c r="E305"/>
      <c r="F305"/>
      <c r="G305"/>
      <c r="H305"/>
    </row>
    <row r="306" spans="2:8">
      <c r="B306"/>
      <c r="C306"/>
      <c r="D306"/>
      <c r="E306"/>
      <c r="F306"/>
      <c r="G306"/>
      <c r="H306"/>
    </row>
    <row r="307" spans="2:8">
      <c r="B307"/>
      <c r="C307"/>
      <c r="D307"/>
      <c r="E307"/>
      <c r="F307"/>
      <c r="G307"/>
      <c r="H307"/>
    </row>
    <row r="308" spans="2:8">
      <c r="B308"/>
      <c r="C308"/>
      <c r="D308"/>
      <c r="E308"/>
      <c r="F308"/>
      <c r="G308"/>
      <c r="H308"/>
    </row>
    <row r="309" spans="2:8">
      <c r="B309"/>
      <c r="C309"/>
      <c r="D309"/>
      <c r="E309"/>
      <c r="F309"/>
      <c r="G309"/>
      <c r="H309"/>
    </row>
    <row r="310" spans="2:8">
      <c r="B310"/>
      <c r="C310"/>
      <c r="D310"/>
      <c r="E310"/>
      <c r="F310"/>
      <c r="G310"/>
      <c r="H310"/>
    </row>
    <row r="311" spans="2:8">
      <c r="B311"/>
      <c r="C311"/>
      <c r="D311"/>
      <c r="E311"/>
      <c r="F311"/>
      <c r="G311"/>
      <c r="H311"/>
    </row>
    <row r="312" spans="2:8">
      <c r="B312"/>
      <c r="C312"/>
      <c r="D312"/>
      <c r="E312"/>
      <c r="F312"/>
      <c r="G312"/>
      <c r="H312"/>
    </row>
    <row r="313" spans="2:8">
      <c r="B313"/>
      <c r="C313"/>
      <c r="D313"/>
      <c r="E313"/>
      <c r="F313"/>
      <c r="G313"/>
      <c r="H313"/>
    </row>
    <row r="314" spans="2:8">
      <c r="B314"/>
      <c r="C314"/>
      <c r="D314"/>
      <c r="E314"/>
      <c r="F314"/>
      <c r="G314"/>
      <c r="H314"/>
    </row>
    <row r="315" spans="2:8">
      <c r="B315"/>
      <c r="C315"/>
      <c r="D315"/>
      <c r="E315"/>
      <c r="F315"/>
      <c r="G315"/>
      <c r="H315"/>
    </row>
    <row r="316" spans="2:8">
      <c r="B316"/>
      <c r="C316"/>
      <c r="D316"/>
      <c r="E316"/>
      <c r="F316"/>
      <c r="G316"/>
      <c r="H316"/>
    </row>
    <row r="317" spans="2:8">
      <c r="B317"/>
      <c r="C317"/>
      <c r="D317"/>
      <c r="E317"/>
      <c r="F317"/>
      <c r="G317"/>
      <c r="H317"/>
    </row>
    <row r="318" spans="2:8">
      <c r="B318"/>
      <c r="C318"/>
      <c r="D318"/>
      <c r="E318"/>
      <c r="F318"/>
      <c r="G318"/>
      <c r="H318"/>
    </row>
    <row r="319" spans="2:8">
      <c r="B319"/>
      <c r="C319"/>
      <c r="D319"/>
      <c r="E319"/>
      <c r="F319"/>
      <c r="G319"/>
      <c r="H319"/>
    </row>
    <row r="320" spans="2:8">
      <c r="B320"/>
      <c r="C320"/>
      <c r="D320"/>
      <c r="E320"/>
      <c r="F320"/>
      <c r="G320"/>
      <c r="H320"/>
    </row>
    <row r="321" spans="2:8">
      <c r="B321"/>
      <c r="C321"/>
      <c r="D321"/>
      <c r="E321"/>
      <c r="F321"/>
      <c r="G321"/>
      <c r="H321"/>
    </row>
    <row r="322" spans="2:8">
      <c r="B322"/>
      <c r="C322"/>
      <c r="D322"/>
      <c r="E322"/>
      <c r="F322"/>
      <c r="G322"/>
      <c r="H322"/>
    </row>
    <row r="323" spans="2:8">
      <c r="B323"/>
      <c r="C323"/>
      <c r="D323"/>
      <c r="E323"/>
      <c r="F323"/>
      <c r="G323"/>
      <c r="H323"/>
    </row>
    <row r="324" spans="2:8">
      <c r="B324"/>
      <c r="C324"/>
      <c r="D324"/>
      <c r="E324"/>
      <c r="F324"/>
      <c r="G324"/>
      <c r="H324"/>
    </row>
    <row r="325" spans="2:8">
      <c r="B325"/>
      <c r="C325"/>
      <c r="D325"/>
      <c r="E325"/>
      <c r="F325"/>
      <c r="G325"/>
      <c r="H325"/>
    </row>
    <row r="326" spans="2:8">
      <c r="B326"/>
      <c r="C326"/>
      <c r="D326"/>
      <c r="E326"/>
      <c r="F326"/>
      <c r="G326"/>
      <c r="H326"/>
    </row>
    <row r="327" spans="2:8">
      <c r="B327"/>
      <c r="C327"/>
      <c r="D327"/>
      <c r="E327"/>
      <c r="F327"/>
      <c r="G327"/>
      <c r="H327"/>
    </row>
    <row r="328" spans="2:8">
      <c r="B328"/>
      <c r="C328"/>
      <c r="D328"/>
      <c r="E328"/>
      <c r="F328"/>
      <c r="G328"/>
      <c r="H328"/>
    </row>
    <row r="329" spans="2:8">
      <c r="B329"/>
      <c r="C329"/>
      <c r="D329"/>
      <c r="E329"/>
      <c r="F329"/>
      <c r="G329"/>
      <c r="H329"/>
    </row>
    <row r="330" spans="2:8">
      <c r="B330"/>
      <c r="C330"/>
      <c r="D330"/>
      <c r="E330"/>
      <c r="F330"/>
      <c r="G330"/>
      <c r="H330"/>
    </row>
    <row r="331" spans="2:8">
      <c r="B331"/>
      <c r="C331"/>
      <c r="D331"/>
      <c r="E331"/>
      <c r="F331"/>
      <c r="G331"/>
      <c r="H331"/>
    </row>
    <row r="332" spans="2:8">
      <c r="B332"/>
      <c r="C332"/>
      <c r="D332"/>
      <c r="E332"/>
      <c r="F332"/>
      <c r="G332"/>
      <c r="H332"/>
    </row>
    <row r="333" spans="2:8">
      <c r="B333"/>
      <c r="C333"/>
      <c r="D333"/>
      <c r="E333"/>
      <c r="F333"/>
      <c r="G333"/>
      <c r="H333"/>
    </row>
    <row r="334" spans="2:8">
      <c r="B334"/>
      <c r="C334"/>
      <c r="D334"/>
      <c r="E334"/>
      <c r="F334"/>
      <c r="G334"/>
      <c r="H334"/>
    </row>
    <row r="335" spans="2:8">
      <c r="B335"/>
      <c r="C335"/>
      <c r="D335"/>
      <c r="E335"/>
      <c r="F335"/>
      <c r="G335"/>
      <c r="H335"/>
    </row>
    <row r="336" spans="2:8">
      <c r="B336"/>
      <c r="C336"/>
      <c r="D336"/>
      <c r="E336"/>
      <c r="F336"/>
      <c r="G336"/>
      <c r="H336"/>
    </row>
    <row r="337" spans="2:8">
      <c r="B337"/>
      <c r="C337"/>
      <c r="D337"/>
      <c r="E337"/>
      <c r="F337"/>
      <c r="G337"/>
      <c r="H337"/>
    </row>
    <row r="338" spans="2:8">
      <c r="B338"/>
      <c r="C338"/>
      <c r="D338"/>
      <c r="E338"/>
      <c r="F338"/>
      <c r="G338"/>
      <c r="H338"/>
    </row>
    <row r="339" spans="2:8">
      <c r="B339"/>
      <c r="C339"/>
      <c r="D339"/>
      <c r="E339"/>
      <c r="F339"/>
      <c r="G339"/>
      <c r="H339"/>
    </row>
    <row r="340" spans="2:8">
      <c r="B340"/>
      <c r="C340"/>
      <c r="D340"/>
      <c r="E340"/>
      <c r="F340"/>
      <c r="G340"/>
      <c r="H340"/>
    </row>
    <row r="341" spans="2:8">
      <c r="B341"/>
      <c r="C341"/>
      <c r="D341"/>
      <c r="E341"/>
      <c r="F341"/>
      <c r="G341"/>
      <c r="H341"/>
    </row>
    <row r="342" spans="2:8">
      <c r="B342"/>
      <c r="C342"/>
      <c r="D342"/>
      <c r="E342"/>
      <c r="F342"/>
      <c r="G342"/>
      <c r="H342"/>
    </row>
    <row r="343" spans="2:8">
      <c r="B343"/>
      <c r="C343"/>
      <c r="D343"/>
      <c r="E343"/>
      <c r="F343"/>
      <c r="G343"/>
      <c r="H343"/>
    </row>
    <row r="344" spans="2:8">
      <c r="B344"/>
      <c r="C344"/>
      <c r="D344"/>
      <c r="E344"/>
      <c r="F344"/>
      <c r="G344"/>
      <c r="H344"/>
    </row>
    <row r="345" spans="2:8">
      <c r="B345"/>
      <c r="C345"/>
      <c r="D345"/>
      <c r="E345"/>
      <c r="F345"/>
      <c r="G345"/>
      <c r="H345"/>
    </row>
    <row r="346" spans="2:8">
      <c r="B346"/>
      <c r="C346"/>
      <c r="D346"/>
      <c r="E346"/>
      <c r="F346"/>
      <c r="G346"/>
      <c r="H346"/>
    </row>
    <row r="347" spans="2:8">
      <c r="B347"/>
      <c r="C347"/>
      <c r="D347"/>
      <c r="E347"/>
      <c r="F347"/>
      <c r="G347"/>
      <c r="H347"/>
    </row>
    <row r="348" spans="2:8">
      <c r="B348"/>
      <c r="C348"/>
      <c r="D348"/>
      <c r="E348"/>
      <c r="F348"/>
      <c r="G348"/>
      <c r="H348"/>
    </row>
    <row r="349" spans="2:8">
      <c r="B349"/>
      <c r="C349"/>
      <c r="D349"/>
      <c r="E349"/>
      <c r="F349"/>
      <c r="G349"/>
      <c r="H349"/>
    </row>
    <row r="350" spans="2:8">
      <c r="B350"/>
      <c r="C350"/>
      <c r="D350"/>
      <c r="E350"/>
      <c r="F350"/>
      <c r="G350"/>
      <c r="H350"/>
    </row>
    <row r="351" spans="2:8">
      <c r="B351"/>
      <c r="C351"/>
      <c r="D351"/>
      <c r="E351"/>
      <c r="F351"/>
      <c r="G351"/>
      <c r="H351"/>
    </row>
    <row r="352" spans="2:8">
      <c r="B352"/>
      <c r="C352"/>
      <c r="D352"/>
      <c r="E352"/>
      <c r="F352"/>
      <c r="G352"/>
      <c r="H352"/>
    </row>
    <row r="353" spans="2:8">
      <c r="B353"/>
      <c r="C353"/>
      <c r="D353"/>
      <c r="E353"/>
      <c r="F353"/>
      <c r="G353"/>
      <c r="H353"/>
    </row>
    <row r="354" spans="2:8">
      <c r="B354"/>
      <c r="C354"/>
      <c r="D354"/>
      <c r="E354"/>
      <c r="F354"/>
      <c r="G354"/>
      <c r="H354"/>
    </row>
    <row r="355" spans="2:8">
      <c r="B355"/>
      <c r="C355"/>
      <c r="D355"/>
      <c r="E355"/>
      <c r="F355"/>
      <c r="G355"/>
      <c r="H355"/>
    </row>
    <row r="356" spans="2:8">
      <c r="B356"/>
      <c r="C356"/>
      <c r="D356"/>
      <c r="E356"/>
      <c r="F356"/>
      <c r="G356"/>
      <c r="H356"/>
    </row>
    <row r="357" spans="2:8">
      <c r="B357"/>
      <c r="C357"/>
      <c r="D357"/>
      <c r="E357"/>
      <c r="F357"/>
      <c r="G357"/>
      <c r="H357"/>
    </row>
    <row r="358" spans="2:8">
      <c r="B358"/>
      <c r="C358"/>
      <c r="D358"/>
      <c r="E358"/>
      <c r="F358"/>
      <c r="G358"/>
      <c r="H358"/>
    </row>
    <row r="359" spans="2:8">
      <c r="B359"/>
      <c r="C359"/>
      <c r="D359"/>
      <c r="E359"/>
      <c r="F359"/>
      <c r="G359"/>
      <c r="H359"/>
    </row>
    <row r="360" spans="2:8">
      <c r="B360"/>
      <c r="C360"/>
      <c r="D360"/>
      <c r="E360"/>
      <c r="F360"/>
      <c r="G360"/>
      <c r="H360"/>
    </row>
    <row r="361" spans="2:8">
      <c r="B361"/>
      <c r="C361"/>
      <c r="D361"/>
      <c r="E361"/>
      <c r="F361"/>
      <c r="G361"/>
      <c r="H361"/>
    </row>
    <row r="362" spans="2:8">
      <c r="B362"/>
      <c r="C362"/>
      <c r="D362"/>
      <c r="E362"/>
      <c r="F362"/>
      <c r="G362"/>
      <c r="H362"/>
    </row>
    <row r="363" spans="2:8">
      <c r="B363"/>
      <c r="C363"/>
      <c r="D363"/>
      <c r="E363"/>
      <c r="F363"/>
      <c r="G363"/>
      <c r="H363"/>
    </row>
    <row r="364" spans="2:8">
      <c r="B364"/>
      <c r="C364"/>
      <c r="D364"/>
      <c r="E364"/>
      <c r="F364"/>
      <c r="G364"/>
      <c r="H364"/>
    </row>
    <row r="365" spans="2:8">
      <c r="B365"/>
      <c r="C365"/>
      <c r="D365"/>
      <c r="E365"/>
      <c r="F365"/>
      <c r="G365"/>
      <c r="H365"/>
    </row>
    <row r="366" spans="2:8">
      <c r="B366"/>
      <c r="C366"/>
      <c r="D366"/>
      <c r="E366"/>
      <c r="F366"/>
      <c r="G366"/>
      <c r="H366"/>
    </row>
    <row r="367" spans="2:8">
      <c r="B367"/>
      <c r="C367"/>
      <c r="D367"/>
      <c r="E367"/>
      <c r="F367"/>
      <c r="G367"/>
      <c r="H367"/>
    </row>
    <row r="368" spans="2:8">
      <c r="B368"/>
      <c r="C368"/>
      <c r="D368"/>
      <c r="E368"/>
      <c r="F368"/>
      <c r="G368"/>
      <c r="H368"/>
    </row>
    <row r="369" spans="2:8">
      <c r="B369"/>
      <c r="C369"/>
      <c r="D369"/>
      <c r="E369"/>
      <c r="F369"/>
      <c r="G369"/>
      <c r="H369"/>
    </row>
    <row r="370" spans="2:8">
      <c r="B370"/>
      <c r="C370"/>
      <c r="D370"/>
      <c r="E370"/>
      <c r="F370"/>
      <c r="G370"/>
      <c r="H370"/>
    </row>
    <row r="371" spans="2:8">
      <c r="B371"/>
      <c r="C371"/>
      <c r="D371"/>
      <c r="E371"/>
      <c r="F371"/>
      <c r="G371"/>
      <c r="H371"/>
    </row>
    <row r="372" spans="2:8">
      <c r="B372"/>
      <c r="C372"/>
      <c r="D372"/>
      <c r="E372"/>
      <c r="F372"/>
      <c r="G372"/>
      <c r="H372"/>
    </row>
    <row r="373" spans="2:8">
      <c r="B373"/>
      <c r="C373"/>
      <c r="D373"/>
      <c r="E373"/>
      <c r="F373"/>
      <c r="G373"/>
      <c r="H373"/>
    </row>
    <row r="374" spans="2:8">
      <c r="B374"/>
      <c r="C374"/>
      <c r="D374"/>
      <c r="E374"/>
      <c r="F374"/>
      <c r="G374"/>
      <c r="H374"/>
    </row>
    <row r="375" spans="2:8">
      <c r="B375"/>
      <c r="C375"/>
      <c r="D375"/>
      <c r="E375"/>
      <c r="F375"/>
      <c r="G375"/>
      <c r="H375"/>
    </row>
    <row r="376" spans="2:8">
      <c r="B376"/>
      <c r="C376"/>
      <c r="D376"/>
      <c r="E376"/>
      <c r="F376"/>
      <c r="G376"/>
      <c r="H376"/>
    </row>
    <row r="377" spans="2:8">
      <c r="B377"/>
      <c r="C377"/>
      <c r="D377"/>
      <c r="E377"/>
      <c r="F377"/>
      <c r="G377"/>
      <c r="H377"/>
    </row>
    <row r="378" spans="2:8">
      <c r="B378"/>
      <c r="C378"/>
      <c r="D378"/>
      <c r="E378"/>
      <c r="F378"/>
      <c r="G378"/>
      <c r="H378"/>
    </row>
    <row r="379" spans="2:8">
      <c r="B379"/>
      <c r="C379"/>
      <c r="D379"/>
      <c r="E379"/>
      <c r="F379"/>
      <c r="G379"/>
      <c r="H379"/>
    </row>
    <row r="380" spans="2:8">
      <c r="B380"/>
      <c r="C380"/>
      <c r="D380"/>
      <c r="E380"/>
      <c r="F380"/>
      <c r="G380"/>
      <c r="H380"/>
    </row>
    <row r="381" spans="2:8">
      <c r="B381"/>
      <c r="C381"/>
      <c r="D381"/>
      <c r="E381"/>
      <c r="F381"/>
      <c r="G381"/>
      <c r="H381"/>
    </row>
    <row r="382" spans="2:8">
      <c r="B382"/>
      <c r="C382"/>
      <c r="D382"/>
      <c r="E382"/>
      <c r="F382"/>
      <c r="G382"/>
      <c r="H382"/>
    </row>
    <row r="383" spans="2:8">
      <c r="B383"/>
      <c r="C383"/>
      <c r="D383"/>
      <c r="E383"/>
      <c r="F383"/>
      <c r="G383"/>
      <c r="H383"/>
    </row>
    <row r="384" spans="2:8">
      <c r="B384"/>
      <c r="C384"/>
      <c r="D384"/>
      <c r="E384"/>
      <c r="F384"/>
      <c r="G384"/>
      <c r="H384"/>
    </row>
    <row r="385" spans="2:8">
      <c r="B385"/>
      <c r="C385"/>
      <c r="D385"/>
      <c r="E385"/>
      <c r="F385"/>
      <c r="G385"/>
      <c r="H385"/>
    </row>
    <row r="386" spans="2:8">
      <c r="B386"/>
      <c r="C386"/>
      <c r="D386"/>
      <c r="E386"/>
      <c r="F386"/>
      <c r="G386"/>
      <c r="H386"/>
    </row>
    <row r="387" spans="2:8">
      <c r="B387"/>
      <c r="C387"/>
      <c r="D387"/>
      <c r="E387"/>
      <c r="F387"/>
      <c r="G387"/>
      <c r="H387"/>
    </row>
    <row r="388" spans="2:8">
      <c r="B388"/>
      <c r="C388"/>
      <c r="D388"/>
      <c r="E388"/>
      <c r="F388"/>
      <c r="G388"/>
      <c r="H388"/>
    </row>
    <row r="389" spans="2:8">
      <c r="B389"/>
      <c r="C389"/>
      <c r="D389"/>
      <c r="E389"/>
      <c r="F389"/>
      <c r="G389"/>
      <c r="H389"/>
    </row>
    <row r="390" spans="2:8">
      <c r="B390"/>
      <c r="C390"/>
      <c r="D390"/>
      <c r="E390"/>
      <c r="F390"/>
      <c r="G390"/>
      <c r="H390"/>
    </row>
    <row r="391" spans="2:8">
      <c r="B391"/>
      <c r="C391"/>
      <c r="D391"/>
      <c r="E391"/>
      <c r="F391"/>
      <c r="G391"/>
      <c r="H391"/>
    </row>
    <row r="392" spans="2:8">
      <c r="B392"/>
      <c r="C392"/>
      <c r="D392"/>
      <c r="E392"/>
      <c r="F392"/>
      <c r="G392"/>
      <c r="H392"/>
    </row>
    <row r="393" spans="2:8">
      <c r="B393"/>
      <c r="C393"/>
      <c r="D393"/>
      <c r="E393"/>
      <c r="F393"/>
      <c r="G393"/>
      <c r="H393"/>
    </row>
    <row r="394" spans="2:8">
      <c r="B394"/>
      <c r="C394"/>
      <c r="D394"/>
      <c r="E394"/>
      <c r="F394"/>
      <c r="G394"/>
      <c r="H394"/>
    </row>
    <row r="395" spans="2:8">
      <c r="B395"/>
      <c r="C395"/>
      <c r="D395"/>
      <c r="E395"/>
      <c r="F395"/>
      <c r="G395"/>
      <c r="H395"/>
    </row>
    <row r="396" spans="2:8">
      <c r="B396"/>
      <c r="C396"/>
      <c r="D396"/>
      <c r="E396"/>
      <c r="F396"/>
      <c r="G396"/>
      <c r="H396"/>
    </row>
    <row r="397" spans="2:8">
      <c r="B397"/>
      <c r="C397"/>
      <c r="D397"/>
      <c r="E397"/>
      <c r="F397"/>
      <c r="G397"/>
      <c r="H397"/>
    </row>
    <row r="398" spans="2:8">
      <c r="B398"/>
      <c r="C398"/>
      <c r="D398"/>
      <c r="E398"/>
      <c r="F398"/>
      <c r="G398"/>
      <c r="H398"/>
    </row>
    <row r="399" spans="2:8">
      <c r="B399"/>
      <c r="C399"/>
      <c r="D399"/>
      <c r="E399"/>
      <c r="F399"/>
      <c r="G399"/>
      <c r="H399"/>
    </row>
    <row r="400" spans="2:8">
      <c r="B400"/>
      <c r="C400"/>
      <c r="D400"/>
      <c r="E400"/>
      <c r="F400"/>
      <c r="G400"/>
      <c r="H400"/>
    </row>
    <row r="401" spans="2:8">
      <c r="B401"/>
      <c r="C401"/>
      <c r="D401"/>
      <c r="E401"/>
      <c r="F401"/>
      <c r="G401"/>
      <c r="H401"/>
    </row>
    <row r="402" spans="2:8">
      <c r="B402"/>
      <c r="C402"/>
      <c r="D402"/>
      <c r="E402"/>
      <c r="F402"/>
      <c r="G402"/>
      <c r="H402"/>
    </row>
    <row r="403" spans="2:8">
      <c r="B403"/>
      <c r="C403"/>
      <c r="D403"/>
      <c r="E403"/>
      <c r="F403"/>
      <c r="G403"/>
      <c r="H403"/>
    </row>
    <row r="404" spans="2:8">
      <c r="B404"/>
      <c r="C404"/>
      <c r="D404"/>
      <c r="E404"/>
      <c r="F404"/>
      <c r="G404"/>
      <c r="H404"/>
    </row>
    <row r="405" spans="2:8">
      <c r="B405"/>
      <c r="C405"/>
      <c r="D405"/>
      <c r="E405"/>
      <c r="F405"/>
      <c r="G405"/>
      <c r="H405"/>
    </row>
    <row r="406" spans="2:8">
      <c r="B406"/>
      <c r="C406"/>
      <c r="D406"/>
      <c r="E406"/>
      <c r="F406"/>
      <c r="G406"/>
      <c r="H406"/>
    </row>
    <row r="407" spans="2:8">
      <c r="B407"/>
      <c r="C407"/>
      <c r="D407"/>
      <c r="E407"/>
      <c r="F407"/>
      <c r="G407"/>
      <c r="H407"/>
    </row>
    <row r="408" spans="2:8">
      <c r="B408"/>
      <c r="C408"/>
      <c r="D408"/>
      <c r="E408"/>
      <c r="F408"/>
      <c r="G408"/>
      <c r="H408"/>
    </row>
    <row r="409" spans="2:8">
      <c r="B409"/>
      <c r="C409"/>
      <c r="D409"/>
      <c r="E409"/>
      <c r="F409"/>
      <c r="G409"/>
      <c r="H409"/>
    </row>
    <row r="410" spans="2:8">
      <c r="B410"/>
      <c r="C410"/>
      <c r="D410"/>
      <c r="E410"/>
      <c r="F410"/>
      <c r="G410"/>
      <c r="H410"/>
    </row>
    <row r="411" spans="2:8">
      <c r="B411"/>
      <c r="C411"/>
      <c r="D411"/>
      <c r="E411"/>
      <c r="F411"/>
      <c r="G411"/>
      <c r="H411"/>
    </row>
    <row r="412" spans="2:8">
      <c r="B412"/>
      <c r="C412"/>
      <c r="D412"/>
      <c r="E412"/>
      <c r="F412"/>
      <c r="G412"/>
      <c r="H412"/>
    </row>
    <row r="413" spans="2:8">
      <c r="B413"/>
      <c r="C413"/>
      <c r="D413"/>
      <c r="E413"/>
      <c r="F413"/>
      <c r="G413"/>
      <c r="H413"/>
    </row>
    <row r="414" spans="2:8">
      <c r="B414"/>
      <c r="C414"/>
      <c r="D414"/>
      <c r="E414"/>
      <c r="F414"/>
      <c r="G414"/>
      <c r="H414"/>
    </row>
    <row r="415" spans="2:8">
      <c r="B415"/>
      <c r="C415"/>
      <c r="D415"/>
      <c r="E415"/>
      <c r="F415"/>
      <c r="G415"/>
      <c r="H415"/>
    </row>
    <row r="416" spans="2:8">
      <c r="B416"/>
      <c r="C416"/>
      <c r="D416"/>
      <c r="E416"/>
      <c r="F416"/>
      <c r="G416"/>
      <c r="H416"/>
    </row>
    <row r="417" spans="2:8">
      <c r="B417"/>
      <c r="C417"/>
      <c r="D417"/>
      <c r="E417"/>
      <c r="F417"/>
      <c r="G417"/>
      <c r="H417"/>
    </row>
    <row r="418" spans="2:8">
      <c r="B418"/>
      <c r="C418"/>
      <c r="D418"/>
      <c r="E418"/>
      <c r="F418"/>
      <c r="G418"/>
      <c r="H418"/>
    </row>
    <row r="419" spans="2:8">
      <c r="B419"/>
      <c r="C419"/>
      <c r="D419"/>
      <c r="E419"/>
      <c r="F419"/>
      <c r="G419"/>
      <c r="H419"/>
    </row>
    <row r="420" spans="2:8">
      <c r="B420"/>
      <c r="C420"/>
      <c r="D420"/>
      <c r="E420"/>
      <c r="F420"/>
      <c r="G420"/>
      <c r="H420"/>
    </row>
    <row r="421" spans="2:8">
      <c r="B421"/>
      <c r="C421"/>
      <c r="D421"/>
      <c r="E421"/>
      <c r="F421"/>
      <c r="G421"/>
      <c r="H421"/>
    </row>
    <row r="422" spans="2:8">
      <c r="B422"/>
      <c r="C422"/>
      <c r="D422"/>
      <c r="E422"/>
      <c r="F422"/>
      <c r="G422"/>
      <c r="H422"/>
    </row>
    <row r="423" spans="2:8">
      <c r="B423"/>
      <c r="C423"/>
      <c r="D423"/>
      <c r="E423"/>
      <c r="F423"/>
      <c r="G423"/>
      <c r="H423"/>
    </row>
    <row r="424" spans="2:8">
      <c r="B424"/>
      <c r="C424"/>
      <c r="D424"/>
      <c r="E424"/>
      <c r="F424"/>
      <c r="G424"/>
      <c r="H424"/>
    </row>
    <row r="425" spans="2:8">
      <c r="B425"/>
      <c r="C425"/>
      <c r="D425"/>
      <c r="E425"/>
      <c r="F425"/>
      <c r="G425"/>
      <c r="H425"/>
    </row>
    <row r="426" spans="2:8">
      <c r="B426"/>
      <c r="C426"/>
      <c r="D426"/>
      <c r="E426"/>
      <c r="F426"/>
      <c r="G426"/>
      <c r="H426"/>
    </row>
    <row r="427" spans="2:8">
      <c r="B427"/>
      <c r="C427"/>
      <c r="D427"/>
      <c r="E427"/>
      <c r="F427"/>
      <c r="G427"/>
      <c r="H427"/>
    </row>
    <row r="428" spans="2:8">
      <c r="B428"/>
      <c r="C428"/>
      <c r="D428"/>
      <c r="E428"/>
      <c r="F428"/>
      <c r="G428"/>
      <c r="H428"/>
    </row>
    <row r="429" spans="2:8">
      <c r="B429"/>
      <c r="C429"/>
      <c r="D429"/>
      <c r="E429"/>
      <c r="F429"/>
      <c r="G429"/>
      <c r="H429"/>
    </row>
    <row r="430" spans="2:8">
      <c r="B430"/>
      <c r="C430"/>
      <c r="D430"/>
      <c r="E430"/>
      <c r="F430"/>
      <c r="G430"/>
      <c r="H430"/>
    </row>
    <row r="431" spans="2:8">
      <c r="B431"/>
      <c r="C431"/>
      <c r="D431"/>
      <c r="E431"/>
      <c r="F431"/>
      <c r="G431"/>
      <c r="H431"/>
    </row>
    <row r="432" spans="2:8">
      <c r="B432"/>
      <c r="C432"/>
      <c r="D432"/>
      <c r="E432"/>
      <c r="F432"/>
      <c r="G432"/>
      <c r="H432"/>
    </row>
    <row r="433" spans="2:8">
      <c r="B433"/>
      <c r="C433"/>
      <c r="D433"/>
      <c r="E433"/>
      <c r="F433"/>
      <c r="G433"/>
      <c r="H433"/>
    </row>
    <row r="434" spans="2:8">
      <c r="B434"/>
      <c r="C434"/>
      <c r="D434"/>
      <c r="E434"/>
      <c r="F434"/>
      <c r="G434"/>
      <c r="H434"/>
    </row>
    <row r="435" spans="2:8">
      <c r="B435"/>
      <c r="C435"/>
      <c r="D435"/>
      <c r="E435"/>
      <c r="F435"/>
      <c r="G435"/>
      <c r="H435"/>
    </row>
    <row r="436" spans="2:8">
      <c r="B436"/>
      <c r="C436"/>
      <c r="D436"/>
      <c r="E436"/>
      <c r="F436"/>
      <c r="G436"/>
      <c r="H436"/>
    </row>
    <row r="437" spans="2:8">
      <c r="B437"/>
      <c r="C437"/>
      <c r="D437"/>
      <c r="E437"/>
      <c r="F437"/>
      <c r="G437"/>
      <c r="H437"/>
    </row>
    <row r="438" spans="2:8">
      <c r="B438"/>
      <c r="C438"/>
      <c r="D438"/>
      <c r="E438"/>
      <c r="F438"/>
      <c r="G438"/>
      <c r="H438"/>
    </row>
    <row r="439" spans="2:8">
      <c r="B439"/>
      <c r="C439"/>
      <c r="D439"/>
      <c r="E439"/>
      <c r="F439"/>
      <c r="G439"/>
      <c r="H439"/>
    </row>
    <row r="440" spans="2:8">
      <c r="B440"/>
      <c r="C440"/>
      <c r="D440"/>
      <c r="E440"/>
      <c r="F440"/>
      <c r="G440"/>
      <c r="H440"/>
    </row>
    <row r="441" spans="2:8">
      <c r="B441"/>
      <c r="C441"/>
      <c r="D441"/>
      <c r="E441"/>
      <c r="F441"/>
      <c r="G441"/>
      <c r="H441"/>
    </row>
    <row r="442" spans="2:8">
      <c r="B442"/>
      <c r="C442"/>
      <c r="D442"/>
      <c r="E442"/>
      <c r="F442"/>
      <c r="G442"/>
      <c r="H442"/>
    </row>
    <row r="443" spans="2:8">
      <c r="B443"/>
      <c r="C443"/>
      <c r="D443"/>
      <c r="E443"/>
      <c r="F443"/>
      <c r="G443"/>
      <c r="H443"/>
    </row>
    <row r="444" spans="2:8">
      <c r="B444"/>
      <c r="C444"/>
      <c r="D444"/>
      <c r="E444"/>
      <c r="F444"/>
      <c r="G444"/>
      <c r="H444"/>
    </row>
    <row r="445" spans="2:8">
      <c r="B445"/>
      <c r="C445"/>
      <c r="D445"/>
      <c r="E445"/>
      <c r="F445"/>
      <c r="G445"/>
      <c r="H445"/>
    </row>
    <row r="446" spans="2:8">
      <c r="B446"/>
      <c r="C446"/>
      <c r="D446"/>
      <c r="E446"/>
      <c r="F446"/>
      <c r="G446"/>
    </row>
    <row r="447" spans="2:8">
      <c r="B447"/>
      <c r="C447"/>
      <c r="D447"/>
      <c r="E447"/>
      <c r="F447"/>
      <c r="G447"/>
    </row>
    <row r="448" spans="2:8">
      <c r="B448"/>
      <c r="C448"/>
      <c r="D448"/>
      <c r="E448"/>
      <c r="F448"/>
    </row>
    <row r="449" spans="2:6">
      <c r="B449"/>
      <c r="C449"/>
      <c r="D449"/>
      <c r="E449"/>
      <c r="F449"/>
    </row>
    <row r="450" spans="2:6">
      <c r="B450"/>
      <c r="C450"/>
      <c r="D450"/>
      <c r="E450"/>
      <c r="F450"/>
    </row>
    <row r="451" spans="2:6">
      <c r="B451"/>
      <c r="C451"/>
      <c r="D451"/>
      <c r="E451"/>
      <c r="F451"/>
    </row>
    <row r="452" spans="2:6">
      <c r="B452"/>
      <c r="C452"/>
      <c r="D452"/>
      <c r="E452"/>
      <c r="F452"/>
    </row>
    <row r="453" spans="2:6">
      <c r="B453"/>
      <c r="C453"/>
      <c r="D453"/>
      <c r="E453"/>
      <c r="F453"/>
    </row>
    <row r="454" spans="2:6">
      <c r="B454"/>
      <c r="C454"/>
      <c r="D454"/>
      <c r="E454"/>
      <c r="F454"/>
    </row>
    <row r="455" spans="2:6">
      <c r="B455"/>
      <c r="C455"/>
      <c r="D455"/>
      <c r="E455"/>
      <c r="F455"/>
    </row>
    <row r="456" spans="2:6">
      <c r="B456"/>
      <c r="C456"/>
      <c r="D456"/>
      <c r="E456"/>
      <c r="F456"/>
    </row>
    <row r="457" spans="2:6">
      <c r="B457"/>
      <c r="C457"/>
      <c r="D457"/>
      <c r="E457"/>
      <c r="F457"/>
    </row>
    <row r="458" spans="2:6">
      <c r="B458"/>
      <c r="C458"/>
      <c r="D458"/>
      <c r="E458"/>
      <c r="F458"/>
    </row>
    <row r="459" spans="2:6">
      <c r="B459"/>
      <c r="C459"/>
      <c r="D459"/>
      <c r="E459"/>
      <c r="F459"/>
    </row>
    <row r="460" spans="2:6">
      <c r="B460"/>
      <c r="C460"/>
      <c r="D460"/>
      <c r="E460"/>
      <c r="F460"/>
    </row>
  </sheetData>
  <printOptions horizontalCentered="1"/>
  <pageMargins left="0.75" right="0.75" top="0.19685039370078741" bottom="1" header="0" footer="0"/>
  <pageSetup scale="80" orientation="portrait" r:id="rId1"/>
  <headerFooter alignWithMargins="0"/>
  <rowBreaks count="1" manualBreakCount="1">
    <brk id="73" max="16383" man="1"/>
  </rowBreaks>
  <ignoredErrors>
    <ignoredError sqref="F97 C146:F146 C153:F155 C152 F152 C161:F161 C160 E160:F160 D141 F141 E131:F131 D136:F140 E135:F135 F122:F127 C87:F91 B178 D20:F21 D30:F42 E23:F26 E29 E13:F13 D46:F54 F43:F45 D59:F60 F61 E134:F134 C94:F95 C118:C120 D128:F130 D142:F145 E28 C13:C17 F19 D14:F18 F118:F120 C121:F121 D62:F75 E55:F56 E179:F182 C93 E93:F93 C115:F116 C114:E114 F114 E83:F83 D170:F172 F178 F174:F175 C167:F167 C162:C166 E162:F166 D162:D163 C82:D82 C83 C78:F81 C136:C145 C109 E57 D58:E58 C19:C22 D98:F98 D176:F177 C110 C122:C130 F132:F133 D132:E132 C57:C58 C168:F168 C77 C108 C107 E107:F107 C113:F113 C112 E112:F112 C111 E111:F111 D86 E108:F108 E110:F110 D107 D111:D112 D174 E85:F86 C84:C86 C96:D96 F96 E84:F84 C103:F106 D99:F99 E96:E97 C102 F102 C101:D101 F100 F101 E100:E102 C131:C132 C156:F159 C117:F117 C147:F151 C23:C25 C26:C29 C98:C99 C134 C133 C135 E109:F109 D108:D110 C100 F57:F58 E82 E27 F27 F29 E77:F77" unlockedFormula="1"/>
    <ignoredError sqref="D152:E152 D160 E141 D131 D134:D135 D122:E127 D22:D29 E22:F22 D43:E45 D55:D57 D61:E61 D19:E19 D118:E120 E178 D173:F173 E175 E174 D165 D164 D166 F82 D83:D85 D133:E133 D102 D100 F28" formula="1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A1:X61"/>
  <sheetViews>
    <sheetView showGridLines="0" zoomScale="97" workbookViewId="0">
      <pane ySplit="4" topLeftCell="A5" activePane="bottomLeft" state="frozen"/>
      <selection pane="bottomLeft" activeCell="J34" sqref="J34"/>
    </sheetView>
  </sheetViews>
  <sheetFormatPr baseColWidth="10" defaultColWidth="9.85546875" defaultRowHeight="12.75"/>
  <cols>
    <col min="1" max="1" width="2.7109375" style="6" customWidth="1"/>
    <col min="2" max="2" width="24.140625" style="15" customWidth="1"/>
    <col min="3" max="3" width="15.28515625" style="15" customWidth="1"/>
    <col min="4" max="4" width="11.5703125" style="15" customWidth="1"/>
    <col min="5" max="5" width="12.28515625" style="6" customWidth="1"/>
    <col min="6" max="6" width="15.42578125" style="15" customWidth="1"/>
    <col min="7" max="7" width="3.28515625" style="4" customWidth="1"/>
    <col min="8" max="8" width="5.5703125" style="13" customWidth="1"/>
    <col min="9" max="9" width="14.28515625" style="13" customWidth="1"/>
    <col min="10" max="10" width="13.5703125" style="6" customWidth="1"/>
    <col min="11" max="11" width="13.140625" style="6" customWidth="1"/>
    <col min="12" max="12" width="15.7109375" style="6" customWidth="1"/>
    <col min="13" max="13" width="10.85546875" style="6" customWidth="1"/>
    <col min="14" max="14" width="11.7109375" style="6" customWidth="1"/>
    <col min="15" max="15" width="9.85546875" style="6" customWidth="1"/>
    <col min="16" max="16" width="13.42578125" style="6" customWidth="1"/>
    <col min="17" max="17" width="5.42578125" style="6" customWidth="1"/>
    <col min="18" max="18" width="13.85546875" style="6" customWidth="1"/>
    <col min="19" max="16384" width="9.85546875" style="6"/>
  </cols>
  <sheetData>
    <row r="1" spans="2:24" ht="6.75" customHeight="1">
      <c r="B1" s="1"/>
      <c r="C1" s="1"/>
      <c r="D1"/>
      <c r="E1" s="2"/>
      <c r="H1" s="6"/>
      <c r="I1" s="76"/>
    </row>
    <row r="2" spans="2:24" s="100" customFormat="1" ht="14.25" customHeight="1" thickBot="1">
      <c r="B2" s="101" t="s">
        <v>3</v>
      </c>
      <c r="C2" s="170"/>
      <c r="D2" s="170"/>
      <c r="E2" s="171"/>
      <c r="F2" s="103" t="str">
        <f>+TOTAL!F2</f>
        <v>OCTUBRE 2012</v>
      </c>
      <c r="G2" s="172"/>
      <c r="H2" s="82"/>
      <c r="I2" s="571" t="s">
        <v>379</v>
      </c>
      <c r="K2" s="314"/>
      <c r="L2" s="306"/>
      <c r="M2" s="82"/>
      <c r="O2" s="82"/>
      <c r="P2" s="82"/>
      <c r="Q2" s="82"/>
      <c r="R2" s="82"/>
      <c r="S2" s="82"/>
      <c r="T2" s="82"/>
      <c r="U2" s="82"/>
      <c r="V2" s="82"/>
      <c r="W2" s="82"/>
      <c r="X2" s="82"/>
    </row>
    <row r="3" spans="2:24" s="100" customFormat="1">
      <c r="B3" s="104" t="s">
        <v>2</v>
      </c>
      <c r="C3" s="308"/>
      <c r="D3" s="182"/>
      <c r="E3" s="173" t="s">
        <v>9</v>
      </c>
      <c r="F3" s="174"/>
      <c r="G3" s="82"/>
      <c r="H3"/>
      <c r="I3" s="566"/>
      <c r="J3" s="638"/>
      <c r="K3" s="174"/>
      <c r="L3"/>
      <c r="M3"/>
      <c r="N3"/>
      <c r="O3" s="82"/>
      <c r="P3" s="82"/>
      <c r="Q3" s="82"/>
      <c r="R3" s="82"/>
      <c r="S3" s="82"/>
      <c r="T3" s="82"/>
      <c r="U3" s="82"/>
      <c r="V3" s="82"/>
      <c r="W3" s="82"/>
    </row>
    <row r="4" spans="2:24" s="100" customFormat="1" ht="13.5" thickBot="1">
      <c r="B4" s="105"/>
      <c r="C4" s="106" t="s">
        <v>7</v>
      </c>
      <c r="D4" s="106" t="s">
        <v>8</v>
      </c>
      <c r="E4" s="175" t="s">
        <v>109</v>
      </c>
      <c r="F4" s="176" t="s">
        <v>9</v>
      </c>
      <c r="G4" s="82"/>
      <c r="H4"/>
      <c r="I4" s="567" t="s">
        <v>7</v>
      </c>
      <c r="J4" s="175" t="s">
        <v>109</v>
      </c>
      <c r="K4" s="176" t="s">
        <v>9</v>
      </c>
      <c r="L4"/>
      <c r="M4"/>
      <c r="N4"/>
      <c r="O4" s="82"/>
      <c r="P4" s="82"/>
      <c r="Q4" s="82"/>
      <c r="R4" s="82"/>
      <c r="S4" s="82"/>
      <c r="T4" s="82"/>
      <c r="U4" s="82"/>
      <c r="V4" s="82"/>
      <c r="W4" s="82"/>
    </row>
    <row r="5" spans="2:24" s="100" customFormat="1">
      <c r="B5" s="542" t="s">
        <v>81</v>
      </c>
      <c r="C5" s="556"/>
      <c r="D5" s="651">
        <f>+'INPUT II'!F5</f>
        <v>1817.25</v>
      </c>
      <c r="E5" s="541">
        <f>+(5.8116)*(1-2%)</f>
        <v>5.6953680000000002</v>
      </c>
      <c r="F5" s="543">
        <f>+C5*D5*E5</f>
        <v>0</v>
      </c>
      <c r="G5" s="82"/>
      <c r="H5"/>
      <c r="I5" s="568"/>
      <c r="J5" s="541">
        <f>+(5.8116)*(1-1%)</f>
        <v>5.7534840000000003</v>
      </c>
      <c r="K5" s="543">
        <f>+I5*$D$5*$J$5</f>
        <v>0</v>
      </c>
      <c r="L5"/>
      <c r="M5"/>
      <c r="N5"/>
      <c r="O5" s="82"/>
      <c r="P5" s="357"/>
      <c r="Q5" s="82"/>
      <c r="R5" s="82"/>
      <c r="S5" s="82"/>
      <c r="T5" s="82"/>
      <c r="U5" s="82"/>
      <c r="V5" s="82"/>
      <c r="W5" s="82"/>
    </row>
    <row r="6" spans="2:24" s="100" customFormat="1">
      <c r="B6" s="544" t="s">
        <v>85</v>
      </c>
      <c r="C6" s="589"/>
      <c r="D6" s="545"/>
      <c r="E6" s="546"/>
      <c r="F6" s="543">
        <f t="shared" ref="F6:F11" si="0">+C6*$D$5*$E$5</f>
        <v>0</v>
      </c>
      <c r="G6" s="82"/>
      <c r="H6"/>
      <c r="I6" s="568">
        <v>0</v>
      </c>
      <c r="J6" s="639"/>
      <c r="K6" s="543">
        <f>+I6*$D$5*$J$5</f>
        <v>0</v>
      </c>
      <c r="L6"/>
      <c r="M6"/>
      <c r="N6"/>
      <c r="O6" s="82"/>
      <c r="P6" s="357"/>
      <c r="Q6" s="82"/>
      <c r="R6" s="82"/>
      <c r="S6" s="82"/>
      <c r="T6" s="82"/>
      <c r="U6" s="82"/>
      <c r="V6" s="82"/>
      <c r="W6" s="82"/>
    </row>
    <row r="7" spans="2:24" s="100" customFormat="1">
      <c r="B7" s="544" t="s">
        <v>399</v>
      </c>
      <c r="C7" s="556"/>
      <c r="D7" s="545"/>
      <c r="E7" s="546"/>
      <c r="F7" s="543">
        <f t="shared" si="0"/>
        <v>0</v>
      </c>
      <c r="G7" s="82"/>
      <c r="H7"/>
      <c r="I7" s="593"/>
      <c r="J7" s="640"/>
      <c r="K7" s="543">
        <f t="shared" ref="K7:K20" si="1">+I7*$D$5*$J$5</f>
        <v>0</v>
      </c>
      <c r="L7"/>
      <c r="M7"/>
      <c r="N7"/>
      <c r="O7" s="82"/>
      <c r="P7" s="357"/>
      <c r="Q7" s="82"/>
      <c r="R7" s="82"/>
      <c r="S7" s="82"/>
      <c r="T7" s="82"/>
      <c r="U7" s="82"/>
      <c r="V7" s="82"/>
      <c r="W7" s="82"/>
    </row>
    <row r="8" spans="2:24" s="100" customFormat="1">
      <c r="B8" s="544" t="s">
        <v>146</v>
      </c>
      <c r="C8" s="556"/>
      <c r="D8" s="545"/>
      <c r="E8" s="546"/>
      <c r="F8" s="543">
        <f t="shared" si="0"/>
        <v>0</v>
      </c>
      <c r="G8" s="82"/>
      <c r="H8"/>
      <c r="I8" s="568"/>
      <c r="J8" s="639"/>
      <c r="K8" s="543">
        <f>+I8*$D$5*$J$5</f>
        <v>0</v>
      </c>
      <c r="L8"/>
      <c r="M8"/>
      <c r="N8"/>
      <c r="O8" s="82"/>
      <c r="P8" s="357"/>
      <c r="Q8" s="82"/>
      <c r="R8" s="82"/>
      <c r="S8" s="82"/>
      <c r="T8" s="82"/>
      <c r="U8" s="82"/>
      <c r="V8" s="82"/>
      <c r="W8" s="82"/>
    </row>
    <row r="9" spans="2:24" s="100" customFormat="1">
      <c r="B9" s="544" t="s">
        <v>76</v>
      </c>
      <c r="C9" s="556"/>
      <c r="D9" s="545"/>
      <c r="E9" s="547"/>
      <c r="F9" s="543">
        <f>+C9*$D$5*$E$5</f>
        <v>0</v>
      </c>
      <c r="G9" s="738" t="s">
        <v>462</v>
      </c>
      <c r="H9"/>
      <c r="I9" s="568">
        <v>0</v>
      </c>
      <c r="J9" s="639"/>
      <c r="K9" s="543">
        <f t="shared" ref="K9:K17" si="2">+I9*$D$5*$J$5</f>
        <v>0</v>
      </c>
      <c r="L9"/>
      <c r="M9"/>
      <c r="N9"/>
      <c r="O9" s="82"/>
      <c r="P9" s="357"/>
      <c r="Q9" s="82"/>
      <c r="R9" s="82"/>
      <c r="S9" s="82"/>
      <c r="T9" s="82"/>
      <c r="U9" s="82"/>
      <c r="V9" s="82"/>
      <c r="W9" s="82"/>
    </row>
    <row r="10" spans="2:24" s="100" customFormat="1">
      <c r="B10" s="544" t="s">
        <v>360</v>
      </c>
      <c r="C10" s="556">
        <v>0</v>
      </c>
      <c r="D10" s="545"/>
      <c r="E10" s="546"/>
      <c r="F10" s="543">
        <f>+C10*$D$5*$E$5</f>
        <v>0</v>
      </c>
      <c r="G10" s="82"/>
      <c r="H10"/>
      <c r="I10" s="568">
        <v>0</v>
      </c>
      <c r="J10" s="639"/>
      <c r="K10" s="543">
        <f t="shared" si="2"/>
        <v>0</v>
      </c>
      <c r="L10"/>
      <c r="M10"/>
      <c r="N10"/>
      <c r="O10" s="82"/>
      <c r="P10" s="357"/>
      <c r="Q10" s="82"/>
      <c r="R10" s="82"/>
      <c r="S10" s="82"/>
      <c r="T10" s="82"/>
      <c r="U10" s="82"/>
      <c r="V10" s="82"/>
      <c r="W10" s="82"/>
    </row>
    <row r="11" spans="2:24" s="100" customFormat="1">
      <c r="B11" s="544" t="s">
        <v>394</v>
      </c>
      <c r="C11" s="1009"/>
      <c r="D11" s="545"/>
      <c r="E11" s="546"/>
      <c r="F11" s="543">
        <f t="shared" si="0"/>
        <v>0</v>
      </c>
      <c r="G11" s="82"/>
      <c r="H11"/>
      <c r="I11" s="1010"/>
      <c r="J11" s="639"/>
      <c r="K11" s="543">
        <f t="shared" si="2"/>
        <v>0</v>
      </c>
      <c r="L11"/>
      <c r="M11"/>
      <c r="N11"/>
      <c r="O11" s="82"/>
      <c r="P11" s="357"/>
      <c r="Q11" s="82"/>
      <c r="R11" s="82"/>
      <c r="S11" s="82"/>
      <c r="T11" s="82"/>
      <c r="U11" s="82"/>
      <c r="V11" s="82"/>
      <c r="W11" s="82"/>
    </row>
    <row r="12" spans="2:24" s="100" customFormat="1">
      <c r="B12" s="544" t="s">
        <v>516</v>
      </c>
      <c r="C12" s="556">
        <v>0</v>
      </c>
      <c r="D12" s="545"/>
      <c r="E12" s="546"/>
      <c r="F12" s="543">
        <f>+C12*$D$5*$E$5</f>
        <v>0</v>
      </c>
      <c r="G12" s="82"/>
      <c r="H12"/>
      <c r="I12" s="568"/>
      <c r="J12" s="639"/>
      <c r="K12" s="543">
        <f t="shared" si="2"/>
        <v>0</v>
      </c>
      <c r="L12"/>
      <c r="M12"/>
      <c r="N12"/>
      <c r="O12" s="82"/>
      <c r="P12" s="357"/>
      <c r="Q12" s="82"/>
      <c r="R12" s="82"/>
      <c r="S12" s="82"/>
      <c r="T12" s="82"/>
      <c r="U12" s="82"/>
      <c r="V12" s="82"/>
      <c r="W12" s="82"/>
    </row>
    <row r="13" spans="2:24" s="100" customFormat="1">
      <c r="B13" s="544" t="s">
        <v>144</v>
      </c>
      <c r="C13" s="556"/>
      <c r="D13" s="545"/>
      <c r="E13" s="546"/>
      <c r="F13" s="543">
        <f>+C13*$D$5*$E$5</f>
        <v>0</v>
      </c>
      <c r="G13" s="82"/>
      <c r="H13"/>
      <c r="I13" s="568"/>
      <c r="J13" s="639"/>
      <c r="K13" s="543">
        <f t="shared" si="2"/>
        <v>0</v>
      </c>
      <c r="L13"/>
      <c r="M13"/>
      <c r="N13"/>
      <c r="O13" s="82"/>
      <c r="P13" s="357"/>
      <c r="Q13" s="82"/>
      <c r="R13" s="82"/>
      <c r="S13" s="82"/>
      <c r="T13" s="82"/>
      <c r="U13" s="82"/>
      <c r="V13" s="82"/>
      <c r="W13" s="82"/>
    </row>
    <row r="14" spans="2:24" s="100" customFormat="1">
      <c r="B14" s="544"/>
      <c r="C14" s="556"/>
      <c r="D14" s="545"/>
      <c r="E14" s="546"/>
      <c r="F14" s="543">
        <f t="shared" ref="F14:F20" si="3">+C14*$D$5*$E$5</f>
        <v>0</v>
      </c>
      <c r="G14" s="82"/>
      <c r="H14"/>
      <c r="I14" s="568"/>
      <c r="J14" s="639"/>
      <c r="K14" s="543">
        <f t="shared" si="2"/>
        <v>0</v>
      </c>
      <c r="L14"/>
      <c r="M14"/>
      <c r="N14"/>
      <c r="O14" s="82"/>
      <c r="P14" s="357"/>
      <c r="Q14" s="82"/>
      <c r="R14" s="82"/>
      <c r="S14" s="82"/>
      <c r="T14" s="82"/>
      <c r="U14" s="82"/>
      <c r="V14" s="82"/>
      <c r="W14" s="82"/>
    </row>
    <row r="15" spans="2:24" s="100" customFormat="1">
      <c r="B15" s="544"/>
      <c r="C15" s="556"/>
      <c r="D15" s="545"/>
      <c r="E15" s="546"/>
      <c r="F15" s="543">
        <f t="shared" si="3"/>
        <v>0</v>
      </c>
      <c r="G15" s="82"/>
      <c r="H15"/>
      <c r="I15" s="568"/>
      <c r="J15" s="639"/>
      <c r="K15" s="543">
        <f t="shared" si="2"/>
        <v>0</v>
      </c>
      <c r="L15"/>
      <c r="M15"/>
      <c r="N15"/>
      <c r="O15" s="82"/>
      <c r="P15" s="378"/>
      <c r="Q15" s="82"/>
      <c r="R15" s="82"/>
      <c r="S15" s="82"/>
      <c r="T15" s="82"/>
      <c r="U15" s="82"/>
      <c r="V15" s="82"/>
      <c r="W15" s="82"/>
    </row>
    <row r="16" spans="2:24" s="100" customFormat="1">
      <c r="B16" s="544"/>
      <c r="C16" s="556"/>
      <c r="D16" s="545"/>
      <c r="E16" s="546"/>
      <c r="F16" s="543">
        <f t="shared" si="3"/>
        <v>0</v>
      </c>
      <c r="G16" s="82"/>
      <c r="H16"/>
      <c r="I16" s="568"/>
      <c r="J16" s="639"/>
      <c r="K16" s="543">
        <f t="shared" si="2"/>
        <v>0</v>
      </c>
      <c r="L16"/>
      <c r="M16"/>
      <c r="N16"/>
      <c r="O16" s="82"/>
      <c r="P16" s="82"/>
      <c r="Q16" s="82"/>
      <c r="R16" s="82"/>
      <c r="S16" s="82"/>
      <c r="T16" s="82"/>
      <c r="U16" s="82"/>
      <c r="V16" s="82"/>
      <c r="W16" s="82"/>
    </row>
    <row r="17" spans="2:23" s="100" customFormat="1">
      <c r="B17" s="559"/>
      <c r="C17" s="556"/>
      <c r="D17" s="545"/>
      <c r="E17" s="546"/>
      <c r="F17" s="558">
        <f>+C17*$D$5*$E$5</f>
        <v>0</v>
      </c>
      <c r="G17" s="82"/>
      <c r="H17"/>
      <c r="I17" s="568"/>
      <c r="J17" s="639"/>
      <c r="K17" s="543">
        <f t="shared" si="2"/>
        <v>0</v>
      </c>
      <c r="L17"/>
      <c r="M17"/>
      <c r="N17"/>
      <c r="O17" s="82"/>
      <c r="P17" s="82"/>
      <c r="Q17" s="82"/>
      <c r="R17" s="82"/>
      <c r="S17" s="82"/>
      <c r="T17" s="82"/>
      <c r="U17" s="82"/>
      <c r="V17" s="82"/>
      <c r="W17" s="82"/>
    </row>
    <row r="18" spans="2:23" s="100" customFormat="1">
      <c r="B18" s="548"/>
      <c r="C18" s="557"/>
      <c r="D18" s="545"/>
      <c r="E18" s="546"/>
      <c r="F18" s="543">
        <f t="shared" si="3"/>
        <v>0</v>
      </c>
      <c r="G18" s="82"/>
      <c r="H18"/>
      <c r="I18" s="568"/>
      <c r="J18" s="639"/>
      <c r="K18" s="543">
        <f t="shared" si="1"/>
        <v>0</v>
      </c>
      <c r="L18"/>
      <c r="M18"/>
      <c r="N18"/>
      <c r="O18" s="82"/>
      <c r="P18" s="82"/>
      <c r="Q18" s="82"/>
      <c r="R18" s="82"/>
      <c r="S18" s="82"/>
      <c r="T18" s="82"/>
      <c r="U18" s="82"/>
      <c r="V18" s="82"/>
      <c r="W18" s="82"/>
    </row>
    <row r="19" spans="2:23" s="100" customFormat="1">
      <c r="B19" s="544"/>
      <c r="C19" s="557"/>
      <c r="D19" s="545"/>
      <c r="E19" s="547"/>
      <c r="F19" s="543">
        <f t="shared" si="3"/>
        <v>0</v>
      </c>
      <c r="G19" s="82"/>
      <c r="H19"/>
      <c r="I19" s="569"/>
      <c r="J19" s="641"/>
      <c r="K19" s="543">
        <f t="shared" si="1"/>
        <v>0</v>
      </c>
      <c r="L19"/>
      <c r="M19"/>
      <c r="N19"/>
      <c r="O19" s="82"/>
      <c r="P19" s="82"/>
      <c r="Q19" s="82"/>
      <c r="R19" s="82"/>
      <c r="S19" s="82"/>
      <c r="T19" s="82"/>
      <c r="U19" s="82"/>
      <c r="V19" s="82"/>
      <c r="W19" s="82"/>
    </row>
    <row r="20" spans="2:23" s="100" customFormat="1" ht="13.5" thickBot="1">
      <c r="B20" s="544"/>
      <c r="C20" s="557"/>
      <c r="D20" s="545"/>
      <c r="E20" s="547"/>
      <c r="F20" s="543">
        <f t="shared" si="3"/>
        <v>0</v>
      </c>
      <c r="G20" s="108"/>
      <c r="H20"/>
      <c r="I20" s="569"/>
      <c r="J20" s="641"/>
      <c r="K20" s="543">
        <f t="shared" si="1"/>
        <v>0</v>
      </c>
      <c r="L20"/>
      <c r="M20"/>
      <c r="N20"/>
      <c r="O20" s="82"/>
      <c r="P20" s="82"/>
      <c r="Q20" s="82"/>
      <c r="R20" s="82"/>
      <c r="S20" s="82"/>
      <c r="T20" s="82"/>
      <c r="U20" s="82"/>
      <c r="V20" s="82"/>
      <c r="W20" s="82"/>
    </row>
    <row r="21" spans="2:23" s="100" customFormat="1" ht="15" customHeight="1" thickBot="1">
      <c r="B21" s="549" t="s">
        <v>91</v>
      </c>
      <c r="C21" s="550">
        <f>SUM(C5:C20)</f>
        <v>0</v>
      </c>
      <c r="D21" s="551"/>
      <c r="E21" s="552">
        <f>+E5*D5</f>
        <v>10349.907498</v>
      </c>
      <c r="F21" s="550">
        <f>SUM(F5:F20)</f>
        <v>0</v>
      </c>
      <c r="G21" s="108"/>
      <c r="H21"/>
      <c r="I21" s="570">
        <f>SUM(I5:I20)</f>
        <v>0</v>
      </c>
      <c r="J21" s="642"/>
      <c r="K21" s="550">
        <f>SUM(K5:K20)</f>
        <v>0</v>
      </c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</row>
    <row r="22" spans="2:23" s="100" customFormat="1" ht="3.75" customHeight="1">
      <c r="B22" s="177"/>
      <c r="C22" s="107"/>
      <c r="D22" s="178"/>
      <c r="E22" s="179"/>
      <c r="F22" s="109"/>
      <c r="G22" s="108"/>
      <c r="H22"/>
      <c r="I22" s="54"/>
      <c r="J22" s="54"/>
      <c r="K22"/>
      <c r="L22" s="82"/>
      <c r="N22" s="82"/>
      <c r="O22" s="82"/>
      <c r="P22" s="82"/>
      <c r="Q22" s="82"/>
      <c r="R22" s="82"/>
      <c r="S22" s="82"/>
      <c r="T22" s="82"/>
      <c r="U22" s="82"/>
      <c r="V22" s="82"/>
      <c r="W22" s="82"/>
    </row>
    <row r="23" spans="2:23" s="100" customFormat="1">
      <c r="B23" s="526"/>
      <c r="C23" s="527"/>
      <c r="D23" s="528"/>
      <c r="E23" s="529"/>
      <c r="F23" s="530"/>
      <c r="G23" s="180"/>
      <c r="H23" s="83"/>
      <c r="I23" s="82"/>
      <c r="J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</row>
    <row r="24" spans="2:23" s="100" customFormat="1">
      <c r="B24" s="531" t="s">
        <v>90</v>
      </c>
      <c r="C24" s="532" t="s">
        <v>122</v>
      </c>
      <c r="D24" s="533"/>
      <c r="E24" s="533"/>
      <c r="F24" s="532" t="s">
        <v>123</v>
      </c>
      <c r="G24" s="181"/>
      <c r="I24" s="532" t="s">
        <v>122</v>
      </c>
      <c r="J24" s="532"/>
      <c r="K24" s="533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</row>
    <row r="25" spans="2:23" s="100" customFormat="1">
      <c r="B25" s="534"/>
      <c r="C25" s="535"/>
      <c r="D25" s="536"/>
      <c r="E25" s="537"/>
      <c r="F25" s="535">
        <f>+C25*D5*E5-F31</f>
        <v>0</v>
      </c>
      <c r="G25" s="738" t="s">
        <v>462</v>
      </c>
      <c r="H25" s="124"/>
      <c r="I25" s="535"/>
      <c r="J25" s="535"/>
      <c r="K25" s="580">
        <f>+I25*J5*D5</f>
        <v>0</v>
      </c>
      <c r="L25" s="1001" t="s">
        <v>496</v>
      </c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</row>
    <row r="26" spans="2:23" s="100" customFormat="1">
      <c r="B26" s="531" t="s">
        <v>4</v>
      </c>
      <c r="C26" s="739">
        <f>+C21-C25</f>
        <v>0</v>
      </c>
      <c r="D26" s="533"/>
      <c r="E26" s="533"/>
      <c r="F26" s="538">
        <f>+F21-F25</f>
        <v>0</v>
      </c>
      <c r="G26" s="82"/>
      <c r="H26" s="124"/>
      <c r="I26" s="739">
        <f>+I21-I25</f>
        <v>0</v>
      </c>
      <c r="J26" s="538"/>
      <c r="K26" s="538">
        <f>+K21-K25</f>
        <v>0</v>
      </c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</row>
    <row r="27" spans="2:23" s="100" customFormat="1">
      <c r="B27" s="13"/>
      <c r="C27" s="6"/>
      <c r="D27"/>
      <c r="E27" s="54"/>
      <c r="F27" s="75"/>
      <c r="G27" s="82"/>
      <c r="H27" s="125"/>
      <c r="I27" s="82"/>
      <c r="J27" s="82"/>
      <c r="N27" s="82"/>
      <c r="O27" s="82"/>
      <c r="P27" s="82"/>
      <c r="Q27" s="82"/>
      <c r="R27" s="82"/>
      <c r="S27" s="82"/>
      <c r="T27" s="82"/>
      <c r="U27" s="82"/>
      <c r="V27" s="82"/>
      <c r="W27" s="82"/>
    </row>
    <row r="28" spans="2:23" s="100" customFormat="1">
      <c r="B28"/>
      <c r="E28" s="621" t="s">
        <v>121</v>
      </c>
      <c r="F28" s="277"/>
      <c r="H28" s="82"/>
      <c r="I28" s="490"/>
      <c r="J28" s="490"/>
      <c r="K28" s="277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</row>
    <row r="29" spans="2:23" s="100" customFormat="1">
      <c r="B29"/>
      <c r="C29" s="563"/>
      <c r="E29" s="621" t="s">
        <v>89</v>
      </c>
      <c r="F29" s="83"/>
      <c r="H29"/>
      <c r="I29" s="54"/>
      <c r="J29"/>
      <c r="K29" s="83">
        <f>+K25-K28</f>
        <v>0</v>
      </c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</row>
    <row r="30" spans="2:23" s="100" customFormat="1">
      <c r="B30" s="516" t="s">
        <v>393</v>
      </c>
      <c r="H30"/>
      <c r="I30" s="55"/>
      <c r="J30" s="82"/>
      <c r="K30" s="509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</row>
    <row r="31" spans="2:23" s="100" customFormat="1">
      <c r="B31" s="624">
        <v>40999</v>
      </c>
      <c r="C31" s="563">
        <v>62348</v>
      </c>
      <c r="D31" s="591">
        <f>+C31/C33</f>
        <v>0.66366491031986796</v>
      </c>
      <c r="E31" s="55">
        <f>+B31*D31</f>
        <v>27209.597658204268</v>
      </c>
      <c r="F31" s="1008"/>
      <c r="G31" s="977" t="s">
        <v>496</v>
      </c>
      <c r="H31" s="54"/>
      <c r="I31" s="55"/>
      <c r="J31" s="8"/>
      <c r="K31" s="8"/>
      <c r="L31" s="1037"/>
      <c r="M31" s="82"/>
      <c r="N31" s="82"/>
      <c r="O31" s="82"/>
      <c r="P31" s="82"/>
      <c r="Q31" s="82"/>
      <c r="R31" s="82"/>
      <c r="S31" s="82"/>
      <c r="T31" s="82"/>
      <c r="U31" s="82"/>
      <c r="V31" s="82"/>
    </row>
    <row r="32" spans="2:23" s="100" customFormat="1">
      <c r="B32" s="55">
        <f>+C21+I21</f>
        <v>0</v>
      </c>
      <c r="C32" s="563">
        <v>31597</v>
      </c>
      <c r="D32" s="592">
        <f>+C32/C33</f>
        <v>0.33633508968013198</v>
      </c>
      <c r="E32" s="55">
        <f>+D32*B31</f>
        <v>13789.402341795731</v>
      </c>
      <c r="F32" s="350"/>
      <c r="H32" s="54"/>
      <c r="I32" s="54"/>
      <c r="J32" s="8"/>
      <c r="K32" s="8"/>
      <c r="L32" s="1037"/>
      <c r="M32" s="82"/>
      <c r="N32" s="82"/>
      <c r="O32" s="82"/>
      <c r="P32" s="82"/>
      <c r="Q32" s="82"/>
      <c r="R32" s="82"/>
      <c r="S32" s="82"/>
      <c r="T32" s="82"/>
      <c r="U32" s="82"/>
      <c r="V32" s="82"/>
    </row>
    <row r="33" spans="2:22" s="100" customFormat="1">
      <c r="B33"/>
      <c r="C33" s="55">
        <f>+C31+C32</f>
        <v>93945</v>
      </c>
      <c r="D33"/>
      <c r="E33" s="14">
        <f>+E31+E32</f>
        <v>40999</v>
      </c>
      <c r="F33"/>
      <c r="G33" s="54"/>
      <c r="H33"/>
      <c r="I33" s="75"/>
      <c r="J33" s="8"/>
      <c r="K33" s="8"/>
      <c r="L33" s="8"/>
      <c r="M33" s="82"/>
      <c r="N33" s="82"/>
      <c r="O33" s="82"/>
      <c r="P33" s="82"/>
      <c r="Q33" s="82"/>
      <c r="R33" s="82"/>
      <c r="S33" s="82"/>
      <c r="T33" s="82"/>
      <c r="U33" s="82"/>
      <c r="V33" s="82"/>
    </row>
    <row r="34" spans="2:22" s="100" customFormat="1">
      <c r="B34"/>
      <c r="E34" s="939">
        <f>+C25+I25</f>
        <v>0</v>
      </c>
      <c r="G34" s="54"/>
      <c r="H34" s="75"/>
      <c r="I34" s="75"/>
      <c r="J34" s="8"/>
      <c r="K34" s="8"/>
      <c r="L34" s="8"/>
      <c r="M34" s="82"/>
      <c r="N34" s="82"/>
      <c r="O34" s="82"/>
      <c r="P34" s="82"/>
      <c r="Q34" s="82"/>
      <c r="R34" s="82"/>
      <c r="S34" s="82"/>
      <c r="T34" s="82"/>
      <c r="U34" s="82"/>
      <c r="V34" s="82"/>
    </row>
    <row r="35" spans="2:22" s="100" customFormat="1">
      <c r="B35"/>
      <c r="C35"/>
      <c r="D35" s="55"/>
      <c r="E35" s="940">
        <f>+E33-E34</f>
        <v>40999</v>
      </c>
      <c r="F35" s="55"/>
      <c r="G35" s="54"/>
      <c r="H35" s="75"/>
      <c r="I35" s="75"/>
      <c r="J35" s="8"/>
      <c r="K35" s="8"/>
      <c r="L35" s="8"/>
      <c r="M35" s="82"/>
      <c r="N35" s="82"/>
      <c r="O35" s="82"/>
      <c r="P35" s="82"/>
      <c r="Q35" s="82"/>
      <c r="R35" s="82"/>
      <c r="S35" s="82"/>
      <c r="T35" s="82"/>
      <c r="U35" s="82"/>
      <c r="V35" s="82"/>
    </row>
    <row r="36" spans="2:22" s="100" customFormat="1">
      <c r="B36" s="55"/>
      <c r="C36"/>
      <c r="D36"/>
      <c r="E36"/>
      <c r="F36"/>
      <c r="G36" s="123"/>
      <c r="H36" s="75"/>
      <c r="I36" s="35"/>
      <c r="J36" s="8"/>
      <c r="K36" s="8"/>
      <c r="L36" s="8"/>
      <c r="M36" s="82"/>
      <c r="N36" s="82"/>
      <c r="O36" s="82"/>
      <c r="P36" s="82"/>
      <c r="Q36" s="82"/>
      <c r="R36" s="82"/>
      <c r="S36" s="82"/>
      <c r="T36" s="82"/>
      <c r="U36" s="82"/>
      <c r="V36" s="82"/>
    </row>
    <row r="37" spans="2:22" s="100" customFormat="1" ht="4.5" customHeight="1">
      <c r="B37"/>
      <c r="C37"/>
      <c r="D37"/>
      <c r="E37"/>
      <c r="F37"/>
      <c r="G37" s="14"/>
      <c r="H37" s="35"/>
      <c r="I37"/>
      <c r="J37" s="8"/>
      <c r="K37" s="8"/>
      <c r="L37" s="8"/>
      <c r="M37" s="82"/>
      <c r="N37" s="82"/>
      <c r="O37" s="82"/>
      <c r="P37" s="82"/>
      <c r="Q37" s="82"/>
      <c r="R37" s="82"/>
      <c r="S37" s="82"/>
      <c r="T37" s="82"/>
      <c r="U37" s="82"/>
      <c r="V37" s="82"/>
    </row>
    <row r="38" spans="2:22" s="100" customFormat="1">
      <c r="B38"/>
      <c r="C38"/>
      <c r="D38"/>
      <c r="E38"/>
      <c r="F38"/>
      <c r="G38" s="54"/>
      <c r="H38"/>
      <c r="I38"/>
      <c r="J38" s="8"/>
      <c r="K38" s="8"/>
      <c r="L38" s="8"/>
      <c r="M38" s="82"/>
      <c r="N38" s="82"/>
      <c r="O38" s="82"/>
      <c r="P38" s="82"/>
      <c r="Q38" s="82"/>
      <c r="R38" s="82"/>
      <c r="S38" s="82"/>
      <c r="T38" s="82"/>
      <c r="U38" s="82"/>
      <c r="V38" s="82"/>
    </row>
    <row r="39" spans="2:22" s="100" customFormat="1">
      <c r="B39"/>
      <c r="C39"/>
      <c r="D39"/>
      <c r="E39"/>
      <c r="F39"/>
      <c r="G39"/>
      <c r="H39"/>
      <c r="I39"/>
      <c r="J39" s="8"/>
      <c r="K39" s="8"/>
      <c r="L39" s="8"/>
      <c r="M39" s="82"/>
      <c r="N39" s="82"/>
      <c r="O39" s="82"/>
      <c r="P39" s="82"/>
      <c r="Q39" s="82"/>
      <c r="R39" s="82"/>
      <c r="S39" s="82"/>
      <c r="T39" s="82"/>
      <c r="U39" s="82"/>
      <c r="V39" s="82"/>
    </row>
    <row r="40" spans="2:22" s="100" customFormat="1">
      <c r="B40"/>
      <c r="C40"/>
      <c r="D40"/>
      <c r="E40"/>
      <c r="F40"/>
      <c r="G40"/>
      <c r="H40"/>
      <c r="I40"/>
      <c r="J40" s="8"/>
      <c r="K40" s="8"/>
      <c r="L40" s="8"/>
      <c r="M40" s="82"/>
      <c r="N40" s="82"/>
      <c r="O40" s="82"/>
      <c r="P40" s="82"/>
      <c r="Q40" s="82"/>
      <c r="R40" s="82"/>
      <c r="S40" s="82"/>
      <c r="T40" s="82"/>
      <c r="U40" s="82"/>
      <c r="V40" s="82"/>
    </row>
    <row r="41" spans="2:22" s="100" customFormat="1">
      <c r="B41"/>
      <c r="C41"/>
      <c r="D41"/>
      <c r="E41"/>
      <c r="F41"/>
      <c r="G41"/>
      <c r="H41"/>
      <c r="I41"/>
      <c r="J41" s="8"/>
      <c r="K41" s="8"/>
      <c r="L41" s="8"/>
      <c r="M41" s="82"/>
      <c r="N41" s="82"/>
      <c r="O41" s="82"/>
      <c r="P41" s="82"/>
      <c r="Q41" s="82"/>
      <c r="R41" s="82"/>
      <c r="S41" s="82"/>
      <c r="T41" s="82"/>
      <c r="U41" s="82"/>
      <c r="V41" s="82"/>
    </row>
    <row r="42" spans="2:22" s="100" customFormat="1" ht="6.75" customHeight="1">
      <c r="B42" s="15"/>
      <c r="C42" s="15"/>
      <c r="D42" s="15"/>
      <c r="E42" s="6"/>
      <c r="F42" s="15"/>
      <c r="G42"/>
      <c r="H42"/>
      <c r="I42"/>
      <c r="J42" s="8"/>
      <c r="K42" s="8"/>
      <c r="L42" s="8"/>
      <c r="M42" s="82"/>
      <c r="N42" s="82"/>
      <c r="O42" s="82"/>
      <c r="P42" s="82"/>
      <c r="Q42" s="82"/>
      <c r="R42" s="82"/>
      <c r="S42" s="82"/>
      <c r="T42" s="82"/>
      <c r="U42" s="82"/>
      <c r="V42" s="82"/>
    </row>
    <row r="43" spans="2:22" s="100" customFormat="1">
      <c r="B43" s="15"/>
      <c r="C43" s="15"/>
      <c r="D43" s="15"/>
      <c r="E43" s="6"/>
      <c r="F43" s="15"/>
      <c r="G43"/>
      <c r="H43"/>
      <c r="I43"/>
      <c r="J43" s="8"/>
      <c r="K43" s="8"/>
      <c r="L43" s="8"/>
      <c r="M43" s="82"/>
      <c r="N43" s="82"/>
      <c r="O43" s="82"/>
      <c r="P43" s="82"/>
      <c r="Q43" s="82"/>
      <c r="R43" s="82"/>
      <c r="S43" s="82"/>
      <c r="T43" s="82"/>
      <c r="U43" s="82"/>
      <c r="V43" s="82"/>
    </row>
    <row r="44" spans="2:22" s="100" customFormat="1">
      <c r="B44" s="15"/>
      <c r="C44" s="15"/>
      <c r="D44" s="15"/>
      <c r="E44" s="6"/>
      <c r="F44" s="15"/>
      <c r="G44" s="4"/>
      <c r="H44"/>
      <c r="I44" s="13"/>
      <c r="J44" s="6"/>
      <c r="K44" s="6"/>
      <c r="L44" s="6"/>
      <c r="M44" s="82"/>
      <c r="N44" s="82"/>
      <c r="O44" s="82"/>
      <c r="P44" s="82"/>
      <c r="Q44" s="82"/>
      <c r="R44" s="82"/>
      <c r="S44" s="82"/>
      <c r="T44" s="82"/>
      <c r="U44" s="82"/>
      <c r="V44" s="82"/>
    </row>
    <row r="45" spans="2:22" s="100" customFormat="1" ht="12.75" customHeight="1">
      <c r="B45" s="15"/>
      <c r="C45" s="15"/>
      <c r="D45" s="15"/>
      <c r="E45" s="6"/>
      <c r="F45" s="15"/>
      <c r="G45" s="4"/>
      <c r="H45" s="13"/>
      <c r="I45" s="13"/>
      <c r="J45" s="6"/>
      <c r="K45" s="6"/>
      <c r="L45" s="6"/>
      <c r="M45" s="82"/>
      <c r="N45" s="82"/>
      <c r="O45" s="82"/>
      <c r="P45" s="82"/>
      <c r="Q45" s="82"/>
      <c r="R45" s="82"/>
      <c r="S45" s="82"/>
      <c r="T45" s="82"/>
      <c r="U45" s="82"/>
      <c r="V45" s="82"/>
    </row>
    <row r="46" spans="2:22" s="100" customFormat="1">
      <c r="B46" s="15"/>
      <c r="C46" s="15"/>
      <c r="D46" s="15"/>
      <c r="E46" s="6"/>
      <c r="F46" s="15"/>
      <c r="G46" s="4"/>
      <c r="H46" s="13"/>
      <c r="I46" s="13"/>
      <c r="J46" s="6"/>
      <c r="K46" s="6"/>
      <c r="L46" s="6"/>
      <c r="M46" s="82"/>
      <c r="N46" s="82"/>
      <c r="O46" s="82"/>
      <c r="P46" s="82"/>
      <c r="Q46" s="82"/>
      <c r="R46" s="82"/>
      <c r="S46" s="82"/>
      <c r="T46" s="82"/>
      <c r="U46" s="82"/>
      <c r="V46" s="82"/>
    </row>
    <row r="47" spans="2:22" s="8" customFormat="1">
      <c r="B47" s="15"/>
      <c r="C47" s="15"/>
      <c r="D47" s="15"/>
      <c r="E47" s="6"/>
      <c r="F47" s="15"/>
      <c r="G47" s="4"/>
      <c r="H47" s="13"/>
      <c r="I47" s="13"/>
      <c r="J47" s="6"/>
      <c r="K47" s="6"/>
      <c r="L47" s="6"/>
      <c r="M47" s="82"/>
    </row>
    <row r="48" spans="2:22" s="8" customFormat="1">
      <c r="B48" s="15"/>
      <c r="C48" s="15"/>
      <c r="D48" s="15"/>
      <c r="E48" s="6"/>
      <c r="F48" s="15"/>
      <c r="G48" s="4"/>
      <c r="H48" s="13"/>
      <c r="I48" s="13"/>
      <c r="J48" s="6"/>
      <c r="K48" s="6"/>
      <c r="L48" s="6"/>
    </row>
    <row r="49" spans="1:13" s="8" customFormat="1">
      <c r="B49" s="15"/>
      <c r="C49" s="15"/>
      <c r="D49" s="15"/>
      <c r="E49" s="6"/>
      <c r="F49" s="15"/>
      <c r="G49" s="4"/>
      <c r="H49" s="13"/>
      <c r="I49" s="13"/>
      <c r="J49" s="6"/>
      <c r="K49" s="6"/>
      <c r="L49" s="6"/>
    </row>
    <row r="50" spans="1:13" s="8" customFormat="1">
      <c r="B50" s="15"/>
      <c r="C50" s="15"/>
      <c r="D50" s="15"/>
      <c r="E50" s="6"/>
      <c r="F50" s="15"/>
      <c r="G50" s="4"/>
      <c r="H50" s="13"/>
      <c r="I50" s="13"/>
      <c r="J50" s="6"/>
      <c r="K50" s="6"/>
      <c r="L50" s="6"/>
    </row>
    <row r="51" spans="1:13" s="8" customFormat="1">
      <c r="B51" s="15"/>
      <c r="C51" s="15"/>
      <c r="D51" s="15"/>
      <c r="E51" s="6"/>
      <c r="F51" s="15"/>
      <c r="G51" s="4"/>
      <c r="H51" s="13"/>
      <c r="I51" s="13"/>
      <c r="J51" s="6"/>
      <c r="K51" s="6"/>
      <c r="L51" s="6"/>
    </row>
    <row r="52" spans="1:13" s="8" customFormat="1">
      <c r="B52" s="15"/>
      <c r="C52" s="15"/>
      <c r="D52" s="15"/>
      <c r="E52" s="6"/>
      <c r="F52" s="15"/>
      <c r="G52" s="4"/>
      <c r="H52" s="13"/>
      <c r="I52" s="13"/>
      <c r="J52" s="6"/>
      <c r="K52" s="6"/>
      <c r="L52" s="6"/>
    </row>
    <row r="53" spans="1:13" s="8" customFormat="1">
      <c r="B53" s="15"/>
      <c r="C53" s="15"/>
      <c r="D53" s="15"/>
      <c r="E53" s="6"/>
      <c r="F53" s="15"/>
      <c r="G53" s="4"/>
      <c r="H53" s="13"/>
      <c r="I53" s="13"/>
      <c r="J53" s="6"/>
      <c r="K53" s="6"/>
      <c r="L53" s="6"/>
    </row>
    <row r="54" spans="1:13" s="8" customFormat="1">
      <c r="A54"/>
      <c r="B54" s="15"/>
      <c r="C54" s="15"/>
      <c r="D54" s="15"/>
      <c r="E54" s="6"/>
      <c r="F54" s="15"/>
      <c r="G54" s="4"/>
      <c r="H54" s="13"/>
      <c r="I54" s="13"/>
      <c r="J54" s="6"/>
      <c r="K54" s="6"/>
      <c r="L54" s="6"/>
    </row>
    <row r="55" spans="1:13" s="8" customFormat="1">
      <c r="A55"/>
      <c r="B55" s="15"/>
      <c r="C55" s="15"/>
      <c r="D55" s="15"/>
      <c r="E55" s="6"/>
      <c r="F55" s="15"/>
      <c r="G55" s="4"/>
      <c r="H55" s="13"/>
      <c r="I55" s="13"/>
      <c r="J55" s="6"/>
      <c r="K55" s="6"/>
      <c r="L55" s="6"/>
    </row>
    <row r="56" spans="1:13" s="8" customFormat="1">
      <c r="A56"/>
      <c r="B56" s="15"/>
      <c r="C56" s="15"/>
      <c r="D56" s="15"/>
      <c r="E56" s="6"/>
      <c r="F56" s="15"/>
      <c r="G56" s="4"/>
      <c r="H56" s="13"/>
      <c r="I56" s="13"/>
      <c r="J56" s="6"/>
      <c r="K56" s="6"/>
      <c r="L56" s="6"/>
    </row>
    <row r="57" spans="1:13" s="8" customFormat="1">
      <c r="A57"/>
      <c r="B57" s="15"/>
      <c r="C57" s="15"/>
      <c r="D57" s="15"/>
      <c r="E57" s="6"/>
      <c r="F57" s="15"/>
      <c r="G57" s="4"/>
      <c r="H57" s="13"/>
      <c r="I57" s="13"/>
      <c r="J57" s="6"/>
      <c r="K57" s="6"/>
      <c r="L57" s="6"/>
    </row>
    <row r="58" spans="1:13" s="8" customFormat="1">
      <c r="A58"/>
      <c r="B58" s="15"/>
      <c r="C58" s="15"/>
      <c r="D58" s="15"/>
      <c r="E58" s="6"/>
      <c r="F58" s="15"/>
      <c r="G58" s="4"/>
      <c r="H58" s="13"/>
      <c r="I58" s="13"/>
      <c r="J58" s="6"/>
      <c r="K58" s="6"/>
      <c r="L58" s="6"/>
    </row>
    <row r="59" spans="1:13" s="8" customFormat="1">
      <c r="A59"/>
      <c r="B59" s="15"/>
      <c r="C59" s="15"/>
      <c r="D59" s="15"/>
      <c r="E59" s="6"/>
      <c r="F59" s="15"/>
      <c r="G59" s="4"/>
      <c r="H59" s="13"/>
      <c r="I59" s="13"/>
      <c r="J59" s="6"/>
      <c r="K59" s="6"/>
      <c r="L59" s="6"/>
    </row>
    <row r="60" spans="1:13" s="8" customFormat="1">
      <c r="A60"/>
      <c r="B60" s="15"/>
      <c r="C60" s="15"/>
      <c r="D60" s="15"/>
      <c r="E60" s="6"/>
      <c r="F60" s="15"/>
      <c r="G60" s="4"/>
      <c r="H60" s="13"/>
      <c r="I60" s="13"/>
      <c r="J60" s="6"/>
      <c r="K60" s="6"/>
      <c r="L60" s="6"/>
    </row>
    <row r="61" spans="1:13">
      <c r="M61" s="8"/>
    </row>
  </sheetData>
  <phoneticPr fontId="0" type="noConversion"/>
  <printOptions horizontalCentered="1"/>
  <pageMargins left="0.75" right="0.75" top="0.39370078740157483" bottom="0.86" header="0" footer="0.62"/>
  <pageSetup scale="70" orientation="landscape" r:id="rId1"/>
  <headerFooter alignWithMargins="0"/>
  <ignoredErrors>
    <ignoredError sqref="K21" unlocked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T57"/>
  <sheetViews>
    <sheetView showGridLines="0" zoomScale="97" workbookViewId="0">
      <pane ySplit="4" topLeftCell="A5" activePane="bottomLeft" state="frozen"/>
      <selection pane="bottomLeft" activeCell="J13" sqref="J13"/>
    </sheetView>
  </sheetViews>
  <sheetFormatPr baseColWidth="10" defaultColWidth="9.85546875" defaultRowHeight="12.75"/>
  <cols>
    <col min="1" max="1" width="2.7109375" style="6" customWidth="1"/>
    <col min="2" max="2" width="24.140625" style="15" customWidth="1"/>
    <col min="3" max="3" width="15.28515625" style="15" customWidth="1"/>
    <col min="4" max="4" width="11.5703125" style="15" customWidth="1"/>
    <col min="5" max="5" width="12.28515625" style="6" customWidth="1"/>
    <col min="6" max="6" width="15.42578125" style="15" customWidth="1"/>
    <col min="7" max="7" width="14.140625" style="4" bestFit="1" customWidth="1"/>
    <col min="8" max="8" width="5.5703125" style="13" customWidth="1"/>
    <col min="9" max="10" width="14.140625" style="6" bestFit="1" customWidth="1"/>
    <col min="11" max="11" width="9.85546875" style="6" customWidth="1"/>
    <col min="12" max="12" width="14.85546875" style="6" customWidth="1"/>
    <col min="13" max="13" width="5.42578125" style="6" customWidth="1"/>
    <col min="14" max="14" width="13.85546875" style="6" customWidth="1"/>
    <col min="15" max="16384" width="9.85546875" style="6"/>
  </cols>
  <sheetData>
    <row r="1" spans="2:20" ht="6.75" customHeight="1">
      <c r="B1" s="1"/>
      <c r="C1" s="1"/>
      <c r="D1"/>
      <c r="E1" s="2"/>
      <c r="H1" s="6"/>
    </row>
    <row r="2" spans="2:20" s="100" customFormat="1" ht="14.25" customHeight="1" thickBot="1">
      <c r="B2" s="101" t="s">
        <v>330</v>
      </c>
      <c r="C2" s="170"/>
      <c r="D2" s="170"/>
      <c r="E2" s="171"/>
      <c r="F2" s="103" t="str">
        <f>+TOTAL!F2</f>
        <v>OCTUBRE 2012</v>
      </c>
      <c r="G2" s="172"/>
      <c r="H2" s="82"/>
      <c r="I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2:20" s="100" customFormat="1">
      <c r="B3" s="104" t="s">
        <v>2</v>
      </c>
      <c r="C3" s="308"/>
      <c r="D3" s="182"/>
      <c r="E3" s="173" t="s">
        <v>9</v>
      </c>
      <c r="F3" s="174"/>
      <c r="G3" s="82"/>
      <c r="H3"/>
      <c r="I3"/>
      <c r="J3"/>
      <c r="K3" s="82"/>
      <c r="L3" s="82"/>
      <c r="M3" s="82"/>
      <c r="N3" s="82"/>
      <c r="O3" s="82"/>
      <c r="P3" s="82"/>
      <c r="Q3" s="82"/>
      <c r="R3" s="82"/>
      <c r="S3" s="82"/>
    </row>
    <row r="4" spans="2:20" s="100" customFormat="1" ht="13.5" thickBot="1">
      <c r="B4" s="105"/>
      <c r="C4" s="106" t="s">
        <v>7</v>
      </c>
      <c r="D4" s="106" t="s">
        <v>8</v>
      </c>
      <c r="E4" s="175" t="s">
        <v>109</v>
      </c>
      <c r="F4" s="176" t="s">
        <v>9</v>
      </c>
      <c r="G4" s="82"/>
      <c r="H4"/>
      <c r="I4"/>
      <c r="J4"/>
      <c r="K4" s="82"/>
      <c r="L4" s="82"/>
      <c r="M4" s="82"/>
      <c r="N4" s="82"/>
      <c r="O4" s="82"/>
      <c r="P4" s="82"/>
      <c r="Q4" s="82"/>
      <c r="R4" s="82"/>
      <c r="S4" s="82"/>
    </row>
    <row r="5" spans="2:20" s="100" customFormat="1">
      <c r="B5" s="542" t="s">
        <v>76</v>
      </c>
      <c r="C5" s="1048">
        <v>0</v>
      </c>
      <c r="D5" s="651">
        <f>+'INPUT II'!F5</f>
        <v>1817.25</v>
      </c>
      <c r="E5" s="541">
        <f>+(6.0399)</f>
        <v>6.0399000000000003</v>
      </c>
      <c r="F5" s="543">
        <f>+C5*D5*E5</f>
        <v>0</v>
      </c>
      <c r="G5" s="82"/>
      <c r="H5"/>
      <c r="J5" s="1285">
        <v>147087292</v>
      </c>
      <c r="K5" s="82"/>
      <c r="L5" s="357"/>
      <c r="M5" s="82"/>
      <c r="N5" s="82"/>
      <c r="O5" s="82"/>
      <c r="P5" s="82"/>
      <c r="Q5" s="82"/>
      <c r="R5" s="82"/>
      <c r="S5" s="82"/>
    </row>
    <row r="6" spans="2:20" s="100" customFormat="1">
      <c r="B6" s="544" t="s">
        <v>428</v>
      </c>
      <c r="C6" s="1048">
        <v>0</v>
      </c>
      <c r="D6" s="545"/>
      <c r="E6" s="546"/>
      <c r="F6" s="543">
        <f>+C6*$D$5*$E$5</f>
        <v>0</v>
      </c>
      <c r="G6" s="82"/>
      <c r="H6"/>
      <c r="J6" s="1287">
        <v>249947856</v>
      </c>
      <c r="K6" s="82"/>
      <c r="L6" s="357"/>
      <c r="M6" s="82"/>
      <c r="N6" s="82"/>
      <c r="O6" s="82"/>
      <c r="P6" s="82"/>
      <c r="Q6" s="82"/>
      <c r="R6" s="82"/>
      <c r="S6" s="82"/>
    </row>
    <row r="7" spans="2:20" s="100" customFormat="1">
      <c r="B7" s="544" t="s">
        <v>151</v>
      </c>
      <c r="C7" s="1048">
        <v>0</v>
      </c>
      <c r="D7" s="545"/>
      <c r="E7" s="546"/>
      <c r="F7" s="543">
        <f t="shared" ref="F7:F13" si="0">+C7*$D$5*$E$5</f>
        <v>0</v>
      </c>
      <c r="G7" s="82"/>
      <c r="H7"/>
      <c r="J7" s="1284">
        <v>49523749</v>
      </c>
      <c r="K7" s="82"/>
      <c r="L7" s="357"/>
      <c r="M7" s="82"/>
      <c r="N7" s="82"/>
      <c r="O7" s="82"/>
      <c r="P7" s="82"/>
      <c r="Q7" s="82"/>
      <c r="R7" s="82"/>
      <c r="S7" s="82"/>
    </row>
    <row r="8" spans="2:20" s="100" customFormat="1">
      <c r="B8" s="544" t="s">
        <v>132</v>
      </c>
      <c r="C8" s="1048">
        <f>18000-GDO!C11</f>
        <v>0</v>
      </c>
      <c r="D8" s="545"/>
      <c r="E8" s="546"/>
      <c r="F8" s="543">
        <f>+C8*$D$5*$E$5</f>
        <v>0</v>
      </c>
      <c r="G8" s="82"/>
      <c r="H8"/>
      <c r="J8" s="54">
        <v>446558897</v>
      </c>
      <c r="K8" s="82"/>
      <c r="L8" s="357"/>
      <c r="M8" s="82"/>
      <c r="N8" s="82"/>
      <c r="O8" s="82"/>
      <c r="P8" s="82"/>
      <c r="Q8" s="82"/>
      <c r="R8" s="82"/>
      <c r="S8" s="82"/>
    </row>
    <row r="9" spans="2:20" s="100" customFormat="1">
      <c r="B9" s="1028" t="s">
        <v>118</v>
      </c>
      <c r="C9" s="1048">
        <f>+'INPUT VOL'!G120</f>
        <v>8053.2808000000005</v>
      </c>
      <c r="D9" s="545"/>
      <c r="E9" s="547"/>
      <c r="F9" s="1288">
        <f>+C9*$D$5*$E$5-173.4</f>
        <v>88392703.301698625</v>
      </c>
      <c r="G9" s="738"/>
      <c r="H9"/>
      <c r="I9"/>
      <c r="J9"/>
      <c r="K9" s="82"/>
      <c r="L9" s="357"/>
      <c r="M9" s="82"/>
      <c r="N9" s="82"/>
      <c r="O9" s="82"/>
      <c r="P9" s="82"/>
      <c r="Q9" s="82"/>
      <c r="R9" s="82"/>
      <c r="S9" s="82"/>
    </row>
    <row r="10" spans="2:20" s="100" customFormat="1">
      <c r="B10" s="1028" t="s">
        <v>574</v>
      </c>
      <c r="C10" s="1048">
        <f>+'INPUT VOL'!D75</f>
        <v>3225.6956000000005</v>
      </c>
      <c r="D10" s="545"/>
      <c r="E10" s="546"/>
      <c r="F10" s="1288">
        <f t="shared" si="0"/>
        <v>35405261.598231092</v>
      </c>
      <c r="G10" s="124"/>
      <c r="H10"/>
      <c r="I10"/>
      <c r="J10"/>
      <c r="K10" s="82"/>
      <c r="L10" s="357"/>
      <c r="M10" s="82"/>
      <c r="N10" s="82"/>
      <c r="O10" s="82"/>
      <c r="P10" s="82"/>
      <c r="Q10" s="82"/>
      <c r="R10" s="82"/>
      <c r="S10" s="82"/>
    </row>
    <row r="11" spans="2:20" s="100" customFormat="1">
      <c r="B11" s="1028" t="s">
        <v>416</v>
      </c>
      <c r="C11" s="1048">
        <f>+'INPUT VOL'!G140</f>
        <v>5416.3394000000008</v>
      </c>
      <c r="D11" s="545"/>
      <c r="E11" s="546"/>
      <c r="F11" s="1288">
        <f t="shared" si="0"/>
        <v>59449786.074608549</v>
      </c>
      <c r="G11" s="82"/>
      <c r="H11"/>
      <c r="I11"/>
      <c r="J11"/>
      <c r="K11" s="82"/>
      <c r="L11" s="357"/>
      <c r="M11" s="82"/>
      <c r="N11" s="82"/>
      <c r="O11" s="82"/>
      <c r="P11" s="82"/>
      <c r="Q11" s="82"/>
      <c r="R11" s="82"/>
      <c r="S11" s="82"/>
    </row>
    <row r="12" spans="2:20" s="100" customFormat="1">
      <c r="B12" s="1028" t="s">
        <v>208</v>
      </c>
      <c r="C12" s="1048">
        <f>2930-427.2</f>
        <v>2502.8000000000002</v>
      </c>
      <c r="D12" s="545"/>
      <c r="E12" s="546"/>
      <c r="F12" s="1288">
        <f t="shared" si="0"/>
        <v>27470753.510670006</v>
      </c>
      <c r="G12" s="82"/>
      <c r="H12"/>
      <c r="I12"/>
      <c r="J12"/>
      <c r="K12" s="54"/>
      <c r="L12" s="357"/>
      <c r="M12" s="82"/>
      <c r="N12" s="82"/>
      <c r="O12" s="82"/>
      <c r="P12" s="82"/>
      <c r="Q12" s="82"/>
      <c r="R12" s="82"/>
      <c r="S12" s="82"/>
    </row>
    <row r="13" spans="2:20" s="100" customFormat="1">
      <c r="B13" s="1028" t="s">
        <v>405</v>
      </c>
      <c r="C13" s="1025">
        <f>3504.1+70</f>
        <v>3574.1</v>
      </c>
      <c r="D13" s="1026"/>
      <c r="E13" s="1024"/>
      <c r="F13" s="1288">
        <f t="shared" si="0"/>
        <v>39229351.175677501</v>
      </c>
      <c r="G13" s="124">
        <f>F9+F10+F11+F12+F13</f>
        <v>249947855.66088578</v>
      </c>
      <c r="H13"/>
      <c r="I13"/>
      <c r="J13"/>
      <c r="K13" s="82"/>
      <c r="L13" s="83"/>
      <c r="M13" s="82"/>
      <c r="N13" s="82"/>
      <c r="O13" s="82"/>
      <c r="P13" s="82"/>
      <c r="Q13" s="82"/>
      <c r="R13" s="82"/>
      <c r="S13" s="82"/>
    </row>
    <row r="14" spans="2:20" s="100" customFormat="1">
      <c r="B14" s="1200" t="s">
        <v>423</v>
      </c>
      <c r="C14" s="1025">
        <f>10248-GDO!C13</f>
        <v>4512</v>
      </c>
      <c r="D14" s="1026"/>
      <c r="E14" s="1024"/>
      <c r="F14" s="1283">
        <f t="shared" ref="F14" si="1">+C14*$D$5*$E$5</f>
        <v>49523749.336800002</v>
      </c>
      <c r="G14" s="108"/>
      <c r="H14"/>
      <c r="I14"/>
      <c r="J14"/>
      <c r="K14" s="82"/>
      <c r="L14" s="82"/>
      <c r="M14" s="82"/>
      <c r="N14" s="82"/>
      <c r="O14" s="82"/>
      <c r="P14" s="82"/>
      <c r="Q14" s="82"/>
      <c r="R14" s="82"/>
      <c r="S14" s="82"/>
    </row>
    <row r="15" spans="2:20" s="100" customFormat="1">
      <c r="B15" s="1201" t="s">
        <v>369</v>
      </c>
      <c r="C15" s="1025">
        <v>6731.3</v>
      </c>
      <c r="D15" s="1026"/>
      <c r="E15" s="1024"/>
      <c r="F15" s="1286">
        <f t="shared" ref="F15:F17" si="2">+C15*$D$5*$E$5</f>
        <v>73882804.501507506</v>
      </c>
      <c r="G15" s="108"/>
      <c r="H15"/>
      <c r="I15"/>
      <c r="J15"/>
      <c r="K15" s="82"/>
      <c r="L15" s="82"/>
      <c r="M15" s="82"/>
      <c r="N15" s="82"/>
      <c r="O15" s="82"/>
      <c r="P15" s="82"/>
      <c r="Q15" s="82"/>
      <c r="R15" s="82"/>
      <c r="S15" s="82"/>
    </row>
    <row r="16" spans="2:20" s="100" customFormat="1">
      <c r="B16" s="1200" t="s">
        <v>593</v>
      </c>
      <c r="C16" s="1025">
        <v>6669.5</v>
      </c>
      <c r="D16" s="1026"/>
      <c r="E16" s="1024"/>
      <c r="F16" s="1286">
        <f t="shared" si="2"/>
        <v>73204487.190112501</v>
      </c>
      <c r="G16" s="108">
        <f>F15+F16</f>
        <v>147087291.69161999</v>
      </c>
      <c r="H16"/>
      <c r="I16"/>
      <c r="J16"/>
      <c r="K16" s="82"/>
      <c r="L16" s="82"/>
      <c r="M16" s="82"/>
      <c r="N16" s="82"/>
      <c r="O16" s="82"/>
      <c r="P16" s="82"/>
      <c r="Q16" s="82"/>
      <c r="R16" s="82"/>
      <c r="S16" s="82"/>
    </row>
    <row r="17" spans="2:19" s="100" customFormat="1">
      <c r="B17" s="548"/>
      <c r="C17" s="1025"/>
      <c r="D17" s="1026"/>
      <c r="E17" s="1024"/>
      <c r="F17" s="543">
        <f t="shared" si="2"/>
        <v>0</v>
      </c>
      <c r="G17" s="108"/>
      <c r="H17"/>
      <c r="I17" s="54"/>
      <c r="J17"/>
      <c r="K17" s="82"/>
      <c r="L17" s="82"/>
      <c r="M17" s="82"/>
      <c r="N17" s="82"/>
      <c r="O17" s="82"/>
      <c r="P17" s="82"/>
      <c r="Q17" s="82"/>
      <c r="R17" s="82"/>
      <c r="S17" s="82"/>
    </row>
    <row r="18" spans="2:19" s="100" customFormat="1" ht="13.5" thickBot="1">
      <c r="B18" s="548"/>
      <c r="C18" s="1027"/>
      <c r="D18" s="1026"/>
      <c r="E18" s="1016"/>
      <c r="F18" s="543">
        <f>+C18*$D$5*$E$14</f>
        <v>0</v>
      </c>
      <c r="G18" s="108"/>
      <c r="H18"/>
      <c r="J18" s="82"/>
      <c r="K18" s="490"/>
      <c r="L18" s="82"/>
      <c r="M18" s="82"/>
      <c r="N18" s="82"/>
      <c r="O18" s="82"/>
      <c r="P18" s="82"/>
      <c r="Q18" s="82"/>
      <c r="R18" s="82"/>
      <c r="S18" s="82"/>
    </row>
    <row r="19" spans="2:19" s="100" customFormat="1" ht="13.5" thickBot="1">
      <c r="B19" s="549" t="s">
        <v>91</v>
      </c>
      <c r="C19" s="550">
        <f>SUM(C5:C18)</f>
        <v>40685.015800000001</v>
      </c>
      <c r="D19" s="551"/>
      <c r="E19" s="552"/>
      <c r="F19" s="550">
        <f>SUM(F5:F18)</f>
        <v>446558896.68930578</v>
      </c>
      <c r="G19" s="180"/>
      <c r="H19" s="83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</row>
    <row r="20" spans="2:19" s="100" customFormat="1">
      <c r="B20" s="177"/>
      <c r="C20" s="107"/>
      <c r="D20" s="178"/>
      <c r="E20" s="179"/>
      <c r="F20" s="109"/>
      <c r="G20" s="181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</row>
    <row r="21" spans="2:19" s="100" customFormat="1">
      <c r="B21" s="526"/>
      <c r="C21" s="527"/>
      <c r="D21" s="528"/>
      <c r="E21" s="529"/>
      <c r="F21" s="530"/>
      <c r="G21" s="738"/>
      <c r="H21" s="124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</row>
    <row r="22" spans="2:19" s="100" customFormat="1">
      <c r="B22" s="531" t="s">
        <v>90</v>
      </c>
      <c r="C22" s="532" t="s">
        <v>122</v>
      </c>
      <c r="D22" s="533"/>
      <c r="E22" s="533"/>
      <c r="F22" s="532" t="s">
        <v>123</v>
      </c>
      <c r="G22" s="82"/>
      <c r="H22" s="124"/>
      <c r="I22" s="82"/>
      <c r="J22" s="490"/>
      <c r="K22" s="82"/>
      <c r="L22" s="82"/>
      <c r="M22" s="82"/>
      <c r="N22" s="82"/>
      <c r="O22" s="82"/>
      <c r="P22" s="82"/>
      <c r="Q22" s="82"/>
      <c r="R22" s="82"/>
      <c r="S22" s="82"/>
    </row>
    <row r="23" spans="2:19" s="100" customFormat="1">
      <c r="B23" s="534"/>
      <c r="C23" s="535">
        <v>40685</v>
      </c>
      <c r="D23" s="536"/>
      <c r="E23" s="537"/>
      <c r="F23" s="535">
        <f>+C23*D5*E5+F29</f>
        <v>446558896.66837502</v>
      </c>
      <c r="G23" s="82"/>
      <c r="H23" s="125"/>
      <c r="J23" s="490"/>
      <c r="K23" s="490"/>
      <c r="L23" s="490"/>
      <c r="M23" s="82"/>
      <c r="N23" s="82"/>
      <c r="O23" s="82"/>
      <c r="P23" s="82"/>
      <c r="Q23" s="82"/>
      <c r="R23" s="82"/>
      <c r="S23" s="82"/>
    </row>
    <row r="24" spans="2:19" s="100" customFormat="1">
      <c r="B24" s="531" t="s">
        <v>4</v>
      </c>
      <c r="C24" s="739">
        <f>+C19-C23</f>
        <v>1.5800000001036096E-2</v>
      </c>
      <c r="D24" s="533"/>
      <c r="E24" s="533"/>
      <c r="F24" s="739">
        <f>+F19-F23</f>
        <v>2.0930767059326172E-2</v>
      </c>
      <c r="H24" s="82"/>
      <c r="I24" s="82"/>
      <c r="J24" s="490"/>
      <c r="K24" s="490"/>
      <c r="L24" s="490"/>
      <c r="M24" s="82"/>
      <c r="N24" s="82"/>
      <c r="O24" s="82"/>
      <c r="P24" s="82"/>
      <c r="Q24" s="82"/>
      <c r="R24" s="82"/>
      <c r="S24" s="82"/>
    </row>
    <row r="25" spans="2:19" s="100" customFormat="1">
      <c r="B25" s="13"/>
      <c r="C25" s="6"/>
      <c r="D25"/>
      <c r="E25" s="54"/>
      <c r="F25" s="75"/>
      <c r="H25"/>
      <c r="I25" s="82"/>
      <c r="J25" s="490"/>
      <c r="K25" s="490"/>
      <c r="L25" s="490"/>
      <c r="M25" s="82"/>
      <c r="N25" s="82"/>
      <c r="O25" s="82"/>
      <c r="P25" s="82"/>
      <c r="Q25" s="82"/>
      <c r="R25" s="82"/>
      <c r="S25" s="82"/>
    </row>
    <row r="26" spans="2:19" s="100" customFormat="1">
      <c r="B26"/>
      <c r="E26" s="621" t="s">
        <v>121</v>
      </c>
      <c r="F26" s="277">
        <v>446558897</v>
      </c>
      <c r="G26"/>
      <c r="H26"/>
      <c r="I26" s="82"/>
      <c r="J26" s="82"/>
      <c r="K26" s="82"/>
      <c r="L26" s="82"/>
      <c r="M26" s="82"/>
      <c r="N26" s="82"/>
      <c r="O26" s="82"/>
      <c r="P26" s="82"/>
      <c r="Q26" s="82"/>
      <c r="R26" s="82"/>
    </row>
    <row r="27" spans="2:19" s="100" customFormat="1">
      <c r="B27"/>
      <c r="C27" s="563"/>
      <c r="E27" s="621" t="s">
        <v>89</v>
      </c>
      <c r="F27" s="83">
        <f>+F23-F26</f>
        <v>-0.33162498474121094</v>
      </c>
      <c r="G27"/>
      <c r="H27" s="54"/>
      <c r="I27" s="82"/>
      <c r="J27" s="82"/>
      <c r="K27" s="82"/>
      <c r="L27" s="82"/>
      <c r="M27" s="82"/>
      <c r="N27" s="82"/>
      <c r="O27" s="82"/>
      <c r="P27" s="82"/>
      <c r="Q27" s="82"/>
      <c r="R27" s="82"/>
    </row>
    <row r="28" spans="2:19" s="100" customFormat="1">
      <c r="B28" s="255"/>
      <c r="C28" s="54"/>
      <c r="D28"/>
      <c r="E28"/>
      <c r="F28"/>
      <c r="G28"/>
      <c r="H28" s="54"/>
      <c r="I28" s="82"/>
      <c r="J28" s="82"/>
      <c r="K28" s="82"/>
      <c r="L28" s="82"/>
      <c r="M28" s="82"/>
      <c r="N28" s="82"/>
      <c r="O28" s="82"/>
      <c r="P28" s="82"/>
      <c r="Q28" s="82"/>
      <c r="R28" s="82"/>
    </row>
    <row r="29" spans="2:19" s="100" customFormat="1">
      <c r="B29" s="255"/>
      <c r="C29" s="54"/>
      <c r="D29"/>
      <c r="E29"/>
      <c r="F29" s="980"/>
      <c r="G29"/>
      <c r="H29"/>
      <c r="I29" s="82"/>
      <c r="J29" s="82"/>
      <c r="K29" s="82"/>
      <c r="L29" s="82"/>
      <c r="M29" s="82"/>
      <c r="N29" s="82"/>
      <c r="O29" s="82"/>
      <c r="P29" s="82"/>
      <c r="Q29" s="82"/>
      <c r="R29" s="82"/>
    </row>
    <row r="30" spans="2:19" s="100" customFormat="1">
      <c r="B30" s="255"/>
      <c r="C30" s="54"/>
      <c r="D30"/>
      <c r="E30"/>
      <c r="F30"/>
      <c r="G30"/>
      <c r="H30" s="75"/>
      <c r="I30" s="82"/>
      <c r="J30"/>
      <c r="K30"/>
      <c r="L30"/>
      <c r="M30" s="82"/>
      <c r="N30" s="82"/>
      <c r="O30" s="82"/>
      <c r="P30" s="82"/>
      <c r="Q30" s="82"/>
      <c r="R30" s="82"/>
    </row>
    <row r="31" spans="2:19" s="100" customFormat="1">
      <c r="B31" s="255"/>
      <c r="C31" s="54"/>
      <c r="D31"/>
      <c r="E31"/>
      <c r="F31"/>
      <c r="G31"/>
      <c r="H31" s="75"/>
      <c r="I31" s="82"/>
      <c r="J31"/>
      <c r="K31"/>
      <c r="L31"/>
      <c r="M31" s="82"/>
      <c r="N31" s="82"/>
      <c r="O31" s="82"/>
      <c r="P31" s="82"/>
      <c r="Q31" s="82"/>
      <c r="R31" s="82"/>
    </row>
    <row r="32" spans="2:19" s="100" customFormat="1">
      <c r="B32" s="250"/>
      <c r="C32" s="54"/>
      <c r="D32"/>
      <c r="E32"/>
      <c r="F32"/>
      <c r="G32" s="123"/>
      <c r="H32" s="75"/>
      <c r="I32" s="82"/>
      <c r="J32"/>
      <c r="K32"/>
      <c r="L32"/>
      <c r="M32" s="82"/>
      <c r="N32" s="82"/>
      <c r="O32" s="82"/>
      <c r="P32" s="82"/>
      <c r="Q32" s="82"/>
      <c r="R32" s="82"/>
    </row>
    <row r="33" spans="2:18" s="100" customFormat="1">
      <c r="B33"/>
      <c r="C33" s="54"/>
      <c r="D33"/>
      <c r="E33"/>
      <c r="F33"/>
      <c r="G33" s="14"/>
      <c r="H33" s="35"/>
      <c r="I33" s="82"/>
      <c r="J33"/>
      <c r="K33"/>
      <c r="L33"/>
      <c r="M33" s="82"/>
      <c r="N33" s="82"/>
      <c r="O33" s="82"/>
      <c r="P33" s="82"/>
      <c r="Q33" s="82"/>
      <c r="R33" s="82"/>
    </row>
    <row r="34" spans="2:18" s="100" customFormat="1">
      <c r="B34" s="55"/>
      <c r="C34" s="54"/>
      <c r="E34"/>
      <c r="F34"/>
      <c r="G34" s="54"/>
      <c r="H34"/>
      <c r="I34" s="82"/>
      <c r="J34"/>
      <c r="K34"/>
      <c r="L34"/>
      <c r="M34" s="82"/>
      <c r="N34" s="82"/>
      <c r="O34" s="82"/>
      <c r="P34" s="82"/>
      <c r="Q34" s="82"/>
      <c r="R34" s="82"/>
    </row>
    <row r="35" spans="2:18" s="100" customFormat="1">
      <c r="D35" s="54"/>
      <c r="E35"/>
      <c r="F35"/>
      <c r="G35"/>
      <c r="H35"/>
      <c r="I35" s="82"/>
      <c r="J35"/>
      <c r="K35"/>
      <c r="L35"/>
      <c r="M35" s="82"/>
      <c r="N35" s="82"/>
      <c r="O35" s="82"/>
      <c r="P35" s="82"/>
      <c r="Q35" s="82"/>
      <c r="R35" s="82"/>
    </row>
    <row r="36" spans="2:18" s="100" customFormat="1">
      <c r="B36"/>
      <c r="C36"/>
      <c r="D36"/>
      <c r="E36"/>
      <c r="F36"/>
      <c r="G36"/>
      <c r="H36"/>
      <c r="I36" s="82"/>
      <c r="J36"/>
      <c r="K36"/>
      <c r="L36"/>
      <c r="M36" s="82"/>
      <c r="N36" s="82"/>
      <c r="O36" s="82"/>
      <c r="P36" s="82"/>
      <c r="Q36" s="82"/>
      <c r="R36" s="82"/>
    </row>
    <row r="37" spans="2:18" s="100" customFormat="1">
      <c r="B37"/>
      <c r="C37" s="55"/>
      <c r="D37"/>
      <c r="E37"/>
      <c r="F37"/>
      <c r="G37"/>
      <c r="H37"/>
      <c r="I37" s="82"/>
      <c r="J37" s="82"/>
      <c r="K37" s="82"/>
      <c r="L37" s="82"/>
      <c r="M37" s="82"/>
      <c r="N37" s="82"/>
      <c r="O37" s="82"/>
      <c r="P37" s="82"/>
      <c r="Q37" s="82"/>
      <c r="R37" s="82"/>
    </row>
    <row r="38" spans="2:18" s="100" customFormat="1">
      <c r="B38"/>
      <c r="C38"/>
      <c r="D38"/>
      <c r="E38"/>
      <c r="F38"/>
      <c r="G38"/>
      <c r="H38"/>
      <c r="I38" s="82"/>
      <c r="J38" s="82"/>
      <c r="K38" s="82"/>
      <c r="L38" s="82"/>
      <c r="M38" s="82"/>
      <c r="N38" s="82"/>
      <c r="O38" s="82"/>
      <c r="P38" s="82"/>
      <c r="Q38" s="82"/>
      <c r="R38" s="82"/>
    </row>
    <row r="39" spans="2:18" s="100" customFormat="1">
      <c r="B39"/>
      <c r="C39" s="54"/>
      <c r="D39" s="54"/>
      <c r="E39"/>
      <c r="F39"/>
      <c r="G39"/>
      <c r="H39"/>
      <c r="I39" s="82"/>
      <c r="J39" s="82"/>
      <c r="K39" s="82"/>
      <c r="L39" s="82"/>
      <c r="M39" s="82"/>
      <c r="N39" s="82"/>
      <c r="O39" s="82"/>
      <c r="P39" s="82"/>
      <c r="Q39" s="82"/>
      <c r="R39" s="82"/>
    </row>
    <row r="40" spans="2:18" s="100" customFormat="1">
      <c r="B40"/>
      <c r="C40"/>
      <c r="D40" s="15"/>
      <c r="E40" s="6"/>
      <c r="F40" s="15"/>
      <c r="G40" s="4"/>
      <c r="H40"/>
      <c r="I40" s="82"/>
      <c r="J40" s="82"/>
      <c r="K40" s="82"/>
      <c r="L40" s="82"/>
      <c r="M40" s="82"/>
      <c r="N40" s="82"/>
      <c r="O40" s="82"/>
      <c r="P40" s="82"/>
      <c r="Q40" s="82"/>
      <c r="R40" s="82"/>
    </row>
    <row r="41" spans="2:18" s="100" customFormat="1" ht="12.75" customHeight="1">
      <c r="B41" s="15"/>
      <c r="C41" s="15"/>
      <c r="D41" s="15"/>
      <c r="E41" s="6"/>
      <c r="F41" s="15"/>
      <c r="G41" s="4"/>
      <c r="H41" s="13"/>
      <c r="I41" s="82"/>
      <c r="J41" s="82"/>
      <c r="K41" s="82"/>
      <c r="L41" s="82"/>
      <c r="M41" s="82"/>
      <c r="N41" s="82"/>
      <c r="O41" s="82"/>
      <c r="P41" s="82"/>
      <c r="Q41" s="82"/>
      <c r="R41" s="82"/>
    </row>
    <row r="42" spans="2:18" s="100" customFormat="1">
      <c r="B42" s="15"/>
      <c r="C42" s="15"/>
      <c r="D42" s="15"/>
      <c r="E42" s="6"/>
      <c r="F42" s="15"/>
      <c r="G42" s="4"/>
      <c r="H42" s="13"/>
      <c r="I42" s="82"/>
      <c r="J42" s="82"/>
      <c r="K42" s="82"/>
      <c r="L42" s="82"/>
      <c r="M42" s="82"/>
      <c r="N42" s="82"/>
      <c r="O42" s="82"/>
      <c r="P42" s="82"/>
      <c r="Q42" s="82"/>
      <c r="R42" s="82"/>
    </row>
    <row r="43" spans="2:18" s="8" customFormat="1">
      <c r="B43" s="15"/>
      <c r="C43" s="15"/>
      <c r="D43" s="15"/>
      <c r="E43" s="6"/>
      <c r="F43" s="15"/>
      <c r="G43" s="4"/>
      <c r="H43" s="13"/>
      <c r="I43" s="82"/>
    </row>
    <row r="44" spans="2:18" s="8" customFormat="1">
      <c r="B44" s="15"/>
      <c r="C44" s="15"/>
      <c r="D44" s="15"/>
      <c r="E44" s="6"/>
      <c r="F44" s="15"/>
      <c r="G44" s="4"/>
      <c r="H44" s="13"/>
    </row>
    <row r="45" spans="2:18" s="8" customFormat="1">
      <c r="B45" s="15"/>
      <c r="C45" s="15"/>
      <c r="D45" s="15"/>
      <c r="E45" s="6"/>
      <c r="F45" s="15"/>
      <c r="G45" s="4"/>
      <c r="H45" s="13"/>
    </row>
    <row r="46" spans="2:18" s="8" customFormat="1">
      <c r="B46" s="15"/>
      <c r="C46" s="15"/>
      <c r="D46" s="15"/>
      <c r="E46" s="6"/>
      <c r="F46" s="15"/>
      <c r="G46" s="4"/>
      <c r="H46" s="13"/>
    </row>
    <row r="47" spans="2:18" s="8" customFormat="1">
      <c r="B47" s="15"/>
      <c r="C47" s="15"/>
      <c r="D47" s="15"/>
      <c r="E47" s="6"/>
      <c r="F47" s="15"/>
      <c r="G47" s="4"/>
      <c r="H47" s="13"/>
    </row>
    <row r="48" spans="2:18" s="8" customFormat="1">
      <c r="B48" s="15"/>
      <c r="C48" s="15"/>
      <c r="D48" s="15"/>
      <c r="E48" s="6"/>
      <c r="F48" s="15"/>
      <c r="G48" s="4"/>
      <c r="H48" s="13"/>
    </row>
    <row r="49" spans="1:9" s="8" customFormat="1">
      <c r="B49" s="15"/>
      <c r="C49" s="15"/>
      <c r="D49" s="15"/>
      <c r="E49" s="6"/>
      <c r="F49" s="15"/>
      <c r="G49" s="4"/>
      <c r="H49" s="13"/>
    </row>
    <row r="50" spans="1:9" s="8" customFormat="1">
      <c r="A50"/>
      <c r="B50" s="15"/>
      <c r="C50" s="15"/>
      <c r="D50" s="15"/>
      <c r="E50" s="6"/>
      <c r="F50" s="15"/>
      <c r="G50" s="4"/>
      <c r="H50" s="13"/>
    </row>
    <row r="51" spans="1:9" s="8" customFormat="1">
      <c r="A51"/>
      <c r="B51" s="15"/>
      <c r="C51" s="15"/>
      <c r="D51" s="15"/>
      <c r="E51" s="6"/>
      <c r="F51" s="15"/>
      <c r="G51" s="4"/>
      <c r="H51" s="13"/>
    </row>
    <row r="52" spans="1:9" s="8" customFormat="1">
      <c r="A52"/>
      <c r="B52" s="15"/>
      <c r="C52" s="15"/>
      <c r="D52" s="15"/>
      <c r="E52" s="6"/>
      <c r="F52" s="15"/>
      <c r="G52" s="4"/>
      <c r="H52" s="13"/>
    </row>
    <row r="53" spans="1:9" s="8" customFormat="1">
      <c r="A53"/>
      <c r="B53" s="15"/>
      <c r="C53" s="15"/>
      <c r="D53" s="15"/>
      <c r="E53" s="6"/>
      <c r="F53" s="15"/>
      <c r="G53" s="4"/>
      <c r="H53" s="13"/>
    </row>
    <row r="54" spans="1:9" s="8" customFormat="1">
      <c r="A54"/>
      <c r="B54" s="15"/>
      <c r="C54" s="15"/>
      <c r="D54" s="15"/>
      <c r="E54" s="6"/>
      <c r="F54" s="15"/>
      <c r="G54" s="4"/>
      <c r="H54" s="13"/>
    </row>
    <row r="55" spans="1:9" s="8" customFormat="1">
      <c r="A55"/>
      <c r="B55" s="15"/>
      <c r="C55" s="15"/>
      <c r="D55" s="15"/>
      <c r="E55" s="6"/>
      <c r="F55" s="15"/>
      <c r="G55" s="4"/>
      <c r="H55" s="13"/>
    </row>
    <row r="56" spans="1:9" s="8" customFormat="1">
      <c r="A56"/>
      <c r="B56" s="15"/>
      <c r="C56" s="15"/>
      <c r="D56" s="15"/>
      <c r="E56" s="6"/>
      <c r="F56" s="15"/>
      <c r="G56" s="4"/>
      <c r="H56" s="13"/>
    </row>
    <row r="57" spans="1:9">
      <c r="I57" s="8"/>
    </row>
  </sheetData>
  <printOptions horizontalCentered="1"/>
  <pageMargins left="0.75" right="0.75" top="0.39370078740157483" bottom="0.86" header="0" footer="0.62"/>
  <pageSetup scale="70" orientation="landscape" r:id="rId1"/>
  <headerFooter alignWithMargins="0"/>
  <ignoredErrors>
    <ignoredError sqref="F19 C8:C12 C13:C14" unlockedFormula="1"/>
    <ignoredError sqref="F9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>
  <dimension ref="A1:T60"/>
  <sheetViews>
    <sheetView showGridLines="0" zoomScale="97" workbookViewId="0">
      <pane ySplit="4" topLeftCell="A5" activePane="bottomLeft" state="frozen"/>
      <selection pane="bottomLeft" activeCell="F24" sqref="F24"/>
    </sheetView>
  </sheetViews>
  <sheetFormatPr baseColWidth="10" defaultColWidth="9.85546875" defaultRowHeight="12.75"/>
  <cols>
    <col min="1" max="1" width="2.7109375" style="6" customWidth="1"/>
    <col min="2" max="2" width="24.140625" style="15" customWidth="1"/>
    <col min="3" max="3" width="15.28515625" style="15" customWidth="1"/>
    <col min="4" max="4" width="11.5703125" style="15" customWidth="1"/>
    <col min="5" max="5" width="12.28515625" style="6" customWidth="1"/>
    <col min="6" max="6" width="15.42578125" style="15" customWidth="1"/>
    <col min="7" max="7" width="3.28515625" style="4" customWidth="1"/>
    <col min="8" max="8" width="5.5703125" style="13" customWidth="1"/>
    <col min="9" max="9" width="14.140625" style="6" customWidth="1"/>
    <col min="10" max="10" width="11.7109375" style="6" customWidth="1"/>
    <col min="11" max="11" width="9.85546875" style="6" customWidth="1"/>
    <col min="12" max="12" width="14.85546875" style="6" customWidth="1"/>
    <col min="13" max="13" width="5.42578125" style="6" customWidth="1"/>
    <col min="14" max="14" width="13.85546875" style="6" customWidth="1"/>
    <col min="15" max="16384" width="9.85546875" style="6"/>
  </cols>
  <sheetData>
    <row r="1" spans="2:20" ht="6.75" customHeight="1">
      <c r="B1" s="1"/>
      <c r="C1" s="1"/>
      <c r="D1"/>
      <c r="E1" s="2"/>
      <c r="H1" s="6"/>
    </row>
    <row r="2" spans="2:20" s="100" customFormat="1" ht="14.25" customHeight="1" thickBot="1">
      <c r="B2" s="101" t="s">
        <v>544</v>
      </c>
      <c r="C2" s="170"/>
      <c r="D2" s="170"/>
      <c r="E2" s="171"/>
      <c r="F2" s="103" t="str">
        <f>+TOTAL!F2</f>
        <v>OCTUBRE 2012</v>
      </c>
      <c r="G2" s="172"/>
      <c r="H2" s="82"/>
      <c r="I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2:20" s="100" customFormat="1">
      <c r="B3" s="104" t="s">
        <v>2</v>
      </c>
      <c r="C3" s="308"/>
      <c r="D3" s="182"/>
      <c r="E3" s="173" t="s">
        <v>9</v>
      </c>
      <c r="F3" s="174"/>
      <c r="G3" s="82"/>
      <c r="H3"/>
      <c r="I3"/>
      <c r="J3"/>
      <c r="K3" s="82"/>
      <c r="L3" s="82"/>
      <c r="M3" s="82"/>
      <c r="N3" s="82"/>
      <c r="O3" s="82"/>
      <c r="P3" s="82"/>
      <c r="Q3" s="82"/>
      <c r="R3" s="82"/>
      <c r="S3" s="82"/>
    </row>
    <row r="4" spans="2:20" s="100" customFormat="1" ht="13.5" thickBot="1">
      <c r="B4" s="105"/>
      <c r="C4" s="106" t="s">
        <v>7</v>
      </c>
      <c r="D4" s="106" t="s">
        <v>8</v>
      </c>
      <c r="E4" s="175" t="s">
        <v>109</v>
      </c>
      <c r="F4" s="176" t="s">
        <v>9</v>
      </c>
      <c r="G4" s="82"/>
      <c r="H4"/>
      <c r="I4"/>
      <c r="J4"/>
      <c r="K4" s="82"/>
      <c r="L4" s="82"/>
      <c r="M4" s="82"/>
      <c r="N4" s="82"/>
      <c r="O4" s="82"/>
      <c r="P4" s="82"/>
      <c r="Q4" s="82"/>
      <c r="R4" s="82"/>
      <c r="S4" s="82"/>
    </row>
    <row r="5" spans="2:20" s="100" customFormat="1">
      <c r="B5" s="542" t="s">
        <v>537</v>
      </c>
      <c r="C5" s="1048">
        <f>153500-C6</f>
        <v>38800</v>
      </c>
      <c r="D5" s="651">
        <f>+'INPUT II'!F5</f>
        <v>1817.25</v>
      </c>
      <c r="E5" s="541">
        <v>6.0399000000000003</v>
      </c>
      <c r="F5" s="543">
        <f>+C5*D5*E5</f>
        <v>425869121.06999999</v>
      </c>
      <c r="G5" s="82"/>
      <c r="H5"/>
      <c r="I5" s="55"/>
      <c r="J5"/>
      <c r="K5" s="82"/>
      <c r="L5" s="357"/>
      <c r="M5" s="82"/>
      <c r="N5" s="82"/>
      <c r="O5" s="82"/>
      <c r="P5" s="82"/>
      <c r="Q5" s="82"/>
      <c r="R5" s="82"/>
      <c r="S5" s="82"/>
    </row>
    <row r="6" spans="2:20" s="100" customFormat="1">
      <c r="B6" s="544" t="s">
        <v>590</v>
      </c>
      <c r="C6" s="1048">
        <v>114700</v>
      </c>
      <c r="D6" s="1049">
        <f>+D5</f>
        <v>1817.25</v>
      </c>
      <c r="E6" s="1191">
        <f>6.0399*(1-5%)</f>
        <v>5.7379049999999996</v>
      </c>
      <c r="F6" s="543">
        <f>+C6*D6*E6</f>
        <v>1196000741.685375</v>
      </c>
      <c r="G6" s="82"/>
      <c r="H6"/>
      <c r="I6" s="75"/>
      <c r="J6"/>
      <c r="K6" s="82"/>
      <c r="L6" s="357"/>
      <c r="M6" s="82"/>
      <c r="N6" s="82"/>
      <c r="O6" s="82"/>
      <c r="P6" s="82"/>
      <c r="Q6" s="82"/>
      <c r="R6" s="82"/>
      <c r="S6" s="82"/>
    </row>
    <row r="7" spans="2:20" s="100" customFormat="1">
      <c r="B7" s="544" t="s">
        <v>442</v>
      </c>
      <c r="C7" s="1048">
        <v>19610</v>
      </c>
      <c r="D7" s="1049">
        <f>+D6</f>
        <v>1817.25</v>
      </c>
      <c r="E7" s="546">
        <f>+E5</f>
        <v>6.0399000000000003</v>
      </c>
      <c r="F7" s="543">
        <f t="shared" ref="F7:F11" si="0">+C7*D7*E7</f>
        <v>215239522.27275002</v>
      </c>
      <c r="G7" s="82"/>
      <c r="H7"/>
      <c r="I7" s="347"/>
      <c r="J7"/>
      <c r="K7" s="82"/>
      <c r="L7" s="357"/>
      <c r="M7" s="82"/>
      <c r="N7" s="82"/>
      <c r="O7" s="82"/>
      <c r="P7" s="82"/>
      <c r="Q7" s="82"/>
      <c r="R7" s="82"/>
      <c r="S7" s="82"/>
    </row>
    <row r="8" spans="2:20" s="100" customFormat="1">
      <c r="B8" s="544" t="s">
        <v>492</v>
      </c>
      <c r="C8" s="1048">
        <v>12404</v>
      </c>
      <c r="D8" s="1049">
        <f>+D7</f>
        <v>1817.25</v>
      </c>
      <c r="E8" s="546">
        <f t="shared" ref="E8:E13" si="1">+E7</f>
        <v>6.0399000000000003</v>
      </c>
      <c r="F8" s="1172">
        <f>+C8*D8*E8</f>
        <v>136146406.64309999</v>
      </c>
      <c r="G8" s="82"/>
      <c r="H8"/>
      <c r="I8" s="55"/>
      <c r="J8"/>
      <c r="K8" s="54"/>
      <c r="L8" s="357"/>
      <c r="M8" s="82"/>
      <c r="N8" s="82"/>
      <c r="O8" s="82"/>
      <c r="P8" s="82"/>
      <c r="Q8" s="82"/>
      <c r="R8" s="82"/>
      <c r="S8" s="82"/>
    </row>
    <row r="9" spans="2:20" s="100" customFormat="1">
      <c r="B9" s="544" t="s">
        <v>538</v>
      </c>
      <c r="C9" s="1048">
        <v>0</v>
      </c>
      <c r="D9" s="1049">
        <f t="shared" ref="D9:D13" si="2">+D8</f>
        <v>1817.25</v>
      </c>
      <c r="E9" s="546">
        <f t="shared" si="1"/>
        <v>6.0399000000000003</v>
      </c>
      <c r="F9" s="543">
        <f>+C9*D9*E9</f>
        <v>0</v>
      </c>
      <c r="G9" s="157"/>
      <c r="H9" s="252"/>
      <c r="I9" s="350"/>
      <c r="J9"/>
      <c r="K9" s="255"/>
      <c r="L9" s="255"/>
      <c r="M9" s="82"/>
      <c r="N9" s="82"/>
      <c r="O9" s="82"/>
      <c r="P9" s="82"/>
      <c r="Q9" s="82"/>
      <c r="R9" s="82"/>
      <c r="S9" s="82"/>
    </row>
    <row r="10" spans="2:20" s="100" customFormat="1">
      <c r="B10" s="544" t="s">
        <v>539</v>
      </c>
      <c r="C10" s="1048">
        <v>0</v>
      </c>
      <c r="D10" s="1049">
        <f t="shared" si="2"/>
        <v>1817.25</v>
      </c>
      <c r="E10" s="546">
        <f t="shared" si="1"/>
        <v>6.0399000000000003</v>
      </c>
      <c r="F10" s="543">
        <f t="shared" si="0"/>
        <v>0</v>
      </c>
      <c r="G10" s="82"/>
      <c r="H10"/>
      <c r="I10"/>
      <c r="J10" s="745"/>
      <c r="K10" s="982"/>
      <c r="L10" s="255"/>
      <c r="M10" s="82"/>
      <c r="N10" s="82"/>
      <c r="O10" s="82"/>
      <c r="P10" s="82"/>
      <c r="Q10" s="82"/>
      <c r="R10" s="82"/>
      <c r="S10" s="82"/>
    </row>
    <row r="11" spans="2:20" s="100" customFormat="1">
      <c r="B11" s="1023" t="s">
        <v>132</v>
      </c>
      <c r="C11" s="1030">
        <v>18000</v>
      </c>
      <c r="D11" s="1049">
        <f t="shared" si="2"/>
        <v>1817.25</v>
      </c>
      <c r="E11" s="546">
        <f t="shared" si="1"/>
        <v>6.0399000000000003</v>
      </c>
      <c r="F11" s="543">
        <f t="shared" si="0"/>
        <v>197568148.95000002</v>
      </c>
      <c r="G11" s="82"/>
      <c r="H11"/>
      <c r="I11" s="55"/>
      <c r="J11" s="14"/>
      <c r="K11" s="1012"/>
      <c r="L11" s="255"/>
      <c r="M11" s="82"/>
      <c r="N11" s="82"/>
      <c r="O11" s="82"/>
      <c r="P11" s="82"/>
      <c r="Q11" s="82"/>
      <c r="R11" s="82"/>
      <c r="S11" s="82"/>
    </row>
    <row r="12" spans="2:20" s="100" customFormat="1">
      <c r="B12" s="1029" t="s">
        <v>440</v>
      </c>
      <c r="C12" s="1025"/>
      <c r="D12" s="1049">
        <f t="shared" si="2"/>
        <v>1817.25</v>
      </c>
      <c r="E12" s="546">
        <f t="shared" si="1"/>
        <v>6.0399000000000003</v>
      </c>
      <c r="F12" s="543">
        <f>+C12*$D$5*$E$12</f>
        <v>0</v>
      </c>
      <c r="G12" s="82"/>
      <c r="H12"/>
      <c r="I12" s="54"/>
      <c r="J12" s="14"/>
      <c r="K12" s="1012"/>
      <c r="L12" s="255"/>
      <c r="M12" s="82"/>
      <c r="N12" s="82"/>
      <c r="O12" s="82"/>
      <c r="P12" s="82"/>
      <c r="Q12" s="82"/>
      <c r="R12" s="82"/>
      <c r="S12" s="82"/>
    </row>
    <row r="13" spans="2:20" s="100" customFormat="1">
      <c r="B13" s="1028" t="s">
        <v>502</v>
      </c>
      <c r="C13" s="1025">
        <v>5736</v>
      </c>
      <c r="D13" s="1049">
        <f t="shared" si="2"/>
        <v>1817.25</v>
      </c>
      <c r="E13" s="546">
        <f t="shared" si="1"/>
        <v>6.0399000000000003</v>
      </c>
      <c r="F13" s="543">
        <f>+C13*$D$5*$E$12</f>
        <v>62958383.465400003</v>
      </c>
      <c r="G13" s="82"/>
      <c r="H13"/>
      <c r="I13"/>
      <c r="J13" s="14"/>
      <c r="K13" s="82"/>
      <c r="L13" s="255"/>
      <c r="M13" s="82"/>
      <c r="N13" s="82"/>
      <c r="O13" s="82"/>
      <c r="P13" s="82"/>
      <c r="Q13" s="82"/>
      <c r="R13" s="82"/>
      <c r="S13" s="82"/>
    </row>
    <row r="14" spans="2:20" s="100" customFormat="1">
      <c r="B14" s="548"/>
      <c r="C14" s="1025"/>
      <c r="D14" s="1026"/>
      <c r="E14" s="1016"/>
      <c r="F14" s="543">
        <f>+C14*$D$5*$E$14</f>
        <v>0</v>
      </c>
      <c r="G14" s="82"/>
      <c r="H14"/>
      <c r="J14"/>
      <c r="K14" s="82"/>
      <c r="L14" s="255"/>
      <c r="M14" s="82"/>
      <c r="N14" s="82"/>
      <c r="O14" s="82"/>
      <c r="P14" s="82"/>
      <c r="Q14" s="82"/>
      <c r="R14" s="82"/>
      <c r="S14" s="82"/>
    </row>
    <row r="15" spans="2:20" s="100" customFormat="1">
      <c r="B15" s="548"/>
      <c r="C15" s="1025"/>
      <c r="D15" s="1026"/>
      <c r="E15" s="1016"/>
      <c r="F15" s="543">
        <f>+C15*$D$5*$E$15</f>
        <v>0</v>
      </c>
      <c r="G15" s="82"/>
      <c r="H15"/>
      <c r="I15"/>
      <c r="J15"/>
      <c r="K15" s="82"/>
      <c r="L15" s="255"/>
      <c r="M15" s="82"/>
      <c r="N15" s="82"/>
      <c r="O15" s="82"/>
      <c r="P15" s="82"/>
      <c r="Q15" s="82"/>
      <c r="R15" s="82"/>
      <c r="S15" s="82"/>
    </row>
    <row r="16" spans="2:20" s="100" customFormat="1">
      <c r="B16" s="548"/>
      <c r="C16" s="1025"/>
      <c r="D16" s="1026"/>
      <c r="E16" s="1024"/>
      <c r="F16" s="543">
        <f>+C16*$D$5*$E$16</f>
        <v>0</v>
      </c>
      <c r="G16" s="82"/>
      <c r="H16"/>
      <c r="I16"/>
      <c r="J16"/>
      <c r="K16" s="82"/>
      <c r="L16" s="83"/>
      <c r="M16" s="82"/>
      <c r="N16" s="82"/>
      <c r="O16" s="82"/>
      <c r="P16" s="82"/>
      <c r="Q16" s="82"/>
      <c r="R16" s="82"/>
      <c r="S16" s="82"/>
    </row>
    <row r="17" spans="2:19" s="100" customFormat="1">
      <c r="B17" s="548"/>
      <c r="C17" s="1027"/>
      <c r="D17" s="1026"/>
      <c r="E17" s="1016"/>
      <c r="F17" s="543">
        <f>+C17*$D$5*$E$17</f>
        <v>0</v>
      </c>
      <c r="G17" s="108"/>
      <c r="H17"/>
      <c r="I17"/>
      <c r="J17"/>
      <c r="K17" s="82"/>
      <c r="L17" s="82"/>
      <c r="M17" s="82"/>
      <c r="N17" s="82"/>
      <c r="O17" s="82"/>
      <c r="P17" s="82"/>
      <c r="Q17" s="82"/>
      <c r="R17" s="82"/>
      <c r="S17" s="82"/>
    </row>
    <row r="18" spans="2:19" s="100" customFormat="1">
      <c r="B18" s="548"/>
      <c r="C18" s="1027"/>
      <c r="D18" s="1026"/>
      <c r="E18" s="1016"/>
      <c r="F18" s="543">
        <f>+C18*$D$5*$E$18</f>
        <v>0</v>
      </c>
      <c r="G18" s="108"/>
      <c r="H18"/>
      <c r="I18" s="54"/>
      <c r="J18"/>
      <c r="K18" s="82"/>
      <c r="L18" s="82"/>
      <c r="M18" s="82"/>
      <c r="N18" s="82"/>
      <c r="O18" s="82"/>
      <c r="P18" s="82"/>
      <c r="Q18" s="82"/>
      <c r="R18" s="82"/>
      <c r="S18" s="82"/>
    </row>
    <row r="19" spans="2:19" s="100" customFormat="1" ht="13.5" thickBot="1">
      <c r="B19" s="548"/>
      <c r="C19" s="1027"/>
      <c r="D19" s="1026"/>
      <c r="E19" s="1016"/>
      <c r="F19" s="543">
        <f>+C19*$D$5*$E$17</f>
        <v>0</v>
      </c>
      <c r="G19" s="108"/>
      <c r="H19"/>
      <c r="J19" s="82"/>
      <c r="K19" s="490"/>
      <c r="L19" s="82"/>
      <c r="M19" s="82"/>
      <c r="N19" s="82"/>
      <c r="O19" s="82"/>
      <c r="P19" s="82"/>
      <c r="Q19" s="82"/>
      <c r="R19" s="82"/>
      <c r="S19" s="82"/>
    </row>
    <row r="20" spans="2:19" s="100" customFormat="1" ht="13.5" thickBot="1">
      <c r="B20" s="549" t="s">
        <v>91</v>
      </c>
      <c r="C20" s="550">
        <f>SUM(C5:C19)</f>
        <v>209250</v>
      </c>
      <c r="D20" s="551"/>
      <c r="E20" s="552">
        <f>+E5*D5</f>
        <v>10976.008275</v>
      </c>
      <c r="F20" s="550">
        <f>SUM(F5:F19)</f>
        <v>2233782324.0866251</v>
      </c>
      <c r="G20" s="180"/>
      <c r="H20" s="83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</row>
    <row r="21" spans="2:19" s="100" customFormat="1">
      <c r="B21" s="177"/>
      <c r="C21" s="107"/>
      <c r="D21" s="178"/>
      <c r="E21" s="179"/>
      <c r="F21" s="109"/>
      <c r="G21" s="181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</row>
    <row r="22" spans="2:19" s="100" customFormat="1">
      <c r="B22" s="526"/>
      <c r="C22" s="527"/>
      <c r="D22" s="528"/>
      <c r="E22" s="529"/>
      <c r="F22" s="530"/>
      <c r="G22" s="738"/>
      <c r="H22" s="124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</row>
    <row r="23" spans="2:19" s="100" customFormat="1">
      <c r="B23" s="531" t="s">
        <v>90</v>
      </c>
      <c r="C23" s="532" t="s">
        <v>122</v>
      </c>
      <c r="D23" s="533" t="str">
        <f>+E4</f>
        <v>U$/MBTU</v>
      </c>
      <c r="E23" s="533" t="str">
        <f>+D4</f>
        <v>TRM</v>
      </c>
      <c r="F23" s="532" t="s">
        <v>123</v>
      </c>
      <c r="G23" s="82"/>
      <c r="H23" s="124"/>
      <c r="I23" s="1287">
        <v>2233782324</v>
      </c>
      <c r="J23" s="490"/>
      <c r="K23" s="82"/>
      <c r="L23" s="82"/>
      <c r="M23" s="82"/>
      <c r="N23" s="82"/>
      <c r="O23" s="82"/>
      <c r="P23" s="82"/>
      <c r="Q23" s="82"/>
      <c r="R23" s="82"/>
      <c r="S23" s="82"/>
    </row>
    <row r="24" spans="2:19" s="100" customFormat="1">
      <c r="B24" s="534"/>
      <c r="C24" s="535">
        <f>209250-114700</f>
        <v>94550</v>
      </c>
      <c r="D24" s="1075">
        <f>+E5</f>
        <v>6.0399000000000003</v>
      </c>
      <c r="E24" s="537">
        <f>+D5</f>
        <v>1817.25</v>
      </c>
      <c r="F24" s="535">
        <f>+C24*D24*E24-F32</f>
        <v>1037781582.4012501</v>
      </c>
      <c r="G24" s="82"/>
      <c r="H24" s="125"/>
      <c r="I24" s="83"/>
      <c r="J24" s="490"/>
      <c r="K24" s="490"/>
      <c r="L24" s="490"/>
      <c r="M24" s="82"/>
      <c r="N24" s="82"/>
      <c r="O24" s="82"/>
      <c r="P24" s="82"/>
      <c r="Q24" s="82"/>
      <c r="R24" s="82"/>
      <c r="S24" s="82"/>
    </row>
    <row r="25" spans="2:19" s="100" customFormat="1">
      <c r="B25" s="534"/>
      <c r="C25" s="535">
        <v>114700</v>
      </c>
      <c r="D25" s="1075">
        <f>+D24*(1-5%)</f>
        <v>5.7379049999999996</v>
      </c>
      <c r="E25" s="537">
        <f>+D6</f>
        <v>1817.25</v>
      </c>
      <c r="F25" s="535">
        <f>+C25*D25*E25-F33</f>
        <v>1196000741.685375</v>
      </c>
      <c r="G25" s="82"/>
      <c r="H25" s="125"/>
      <c r="I25" s="83"/>
      <c r="J25" s="490"/>
      <c r="K25" s="490"/>
      <c r="L25" s="490"/>
      <c r="M25" s="82"/>
      <c r="N25" s="82"/>
      <c r="O25" s="82"/>
      <c r="P25" s="82"/>
      <c r="Q25" s="82"/>
      <c r="R25" s="82"/>
      <c r="S25" s="82"/>
    </row>
    <row r="26" spans="2:19" s="100" customFormat="1">
      <c r="B26" s="1196"/>
      <c r="C26" s="1197">
        <f>+C24+C25</f>
        <v>209250</v>
      </c>
      <c r="D26" s="1198"/>
      <c r="E26" s="1199"/>
      <c r="F26" s="1293">
        <f>+F24+F25</f>
        <v>2233782324.0866251</v>
      </c>
      <c r="G26" s="82"/>
      <c r="H26" s="125"/>
      <c r="I26" s="83"/>
      <c r="J26" s="490"/>
      <c r="K26" s="490"/>
      <c r="L26" s="490"/>
      <c r="M26" s="82"/>
      <c r="N26" s="82"/>
      <c r="O26" s="82"/>
      <c r="P26" s="82"/>
      <c r="Q26" s="82"/>
      <c r="R26" s="82"/>
      <c r="S26" s="82"/>
    </row>
    <row r="27" spans="2:19" s="100" customFormat="1">
      <c r="B27" s="531" t="s">
        <v>4</v>
      </c>
      <c r="C27" s="739">
        <f>+C20-C26</f>
        <v>0</v>
      </c>
      <c r="D27" s="533"/>
      <c r="E27" s="533"/>
      <c r="F27" s="739">
        <f>+F20-F26</f>
        <v>0</v>
      </c>
      <c r="H27" s="82"/>
      <c r="I27" s="83"/>
      <c r="J27" s="490"/>
      <c r="K27" s="490"/>
      <c r="L27" s="490"/>
      <c r="M27" s="82"/>
      <c r="N27" s="82"/>
      <c r="O27" s="82"/>
      <c r="P27" s="82"/>
      <c r="Q27" s="82"/>
      <c r="R27" s="82"/>
      <c r="S27" s="82"/>
    </row>
    <row r="28" spans="2:19" s="100" customFormat="1">
      <c r="B28" s="13"/>
      <c r="C28" s="6"/>
      <c r="D28"/>
      <c r="E28" s="54"/>
      <c r="F28" s="75"/>
      <c r="H28"/>
      <c r="I28" s="82"/>
      <c r="J28" s="490"/>
      <c r="K28" s="490"/>
      <c r="L28" s="490"/>
      <c r="M28" s="82"/>
      <c r="N28" s="82"/>
      <c r="O28" s="82"/>
      <c r="P28" s="82"/>
      <c r="Q28" s="82"/>
      <c r="R28" s="82"/>
      <c r="S28" s="82"/>
    </row>
    <row r="29" spans="2:19" s="100" customFormat="1">
      <c r="B29"/>
      <c r="E29" s="621" t="s">
        <v>121</v>
      </c>
      <c r="F29" s="277">
        <f>+F26</f>
        <v>2233782324.0866251</v>
      </c>
      <c r="G29"/>
      <c r="H29"/>
      <c r="I29" s="82"/>
      <c r="J29" s="82"/>
      <c r="K29" s="82"/>
      <c r="L29" s="82"/>
      <c r="M29" s="82"/>
      <c r="N29" s="82"/>
      <c r="O29" s="82"/>
      <c r="P29" s="82"/>
      <c r="Q29" s="82"/>
      <c r="R29" s="82"/>
    </row>
    <row r="30" spans="2:19" s="100" customFormat="1">
      <c r="B30"/>
      <c r="C30" s="563"/>
      <c r="E30" s="621" t="s">
        <v>89</v>
      </c>
      <c r="F30" s="83">
        <f>+F26-F29</f>
        <v>0</v>
      </c>
      <c r="G30"/>
      <c r="H30" s="54"/>
      <c r="I30" s="83"/>
      <c r="J30" s="82"/>
      <c r="K30" s="82"/>
      <c r="L30" s="82"/>
      <c r="M30" s="82"/>
      <c r="N30" s="82"/>
      <c r="O30" s="82"/>
      <c r="P30" s="82"/>
      <c r="Q30" s="82"/>
      <c r="R30" s="82"/>
    </row>
    <row r="31" spans="2:19" s="100" customFormat="1">
      <c r="B31" s="255"/>
      <c r="C31" s="54"/>
      <c r="D31"/>
      <c r="E31"/>
      <c r="F31"/>
      <c r="G31"/>
      <c r="H31" s="54"/>
      <c r="I31" s="82"/>
      <c r="J31" s="82"/>
      <c r="K31" s="82"/>
      <c r="L31" s="82"/>
      <c r="M31" s="82"/>
      <c r="N31" s="82"/>
      <c r="O31" s="82"/>
      <c r="P31" s="82"/>
      <c r="Q31" s="82"/>
      <c r="R31" s="82"/>
    </row>
    <row r="32" spans="2:19" s="100" customFormat="1">
      <c r="B32" s="255"/>
      <c r="C32" s="54"/>
      <c r="D32"/>
      <c r="E32"/>
      <c r="F32" s="980"/>
      <c r="G32"/>
      <c r="H32"/>
      <c r="I32" s="82"/>
      <c r="J32" s="82"/>
      <c r="K32" s="82"/>
      <c r="L32" s="82"/>
      <c r="M32" s="82"/>
      <c r="N32" s="82"/>
      <c r="O32" s="82"/>
      <c r="P32" s="82"/>
      <c r="Q32" s="82"/>
      <c r="R32" s="82"/>
    </row>
    <row r="33" spans="2:18" s="100" customFormat="1">
      <c r="B33" s="255"/>
      <c r="C33" s="54"/>
      <c r="D33"/>
      <c r="E33"/>
      <c r="F33"/>
      <c r="G33"/>
      <c r="H33" s="75"/>
      <c r="I33" s="82"/>
      <c r="J33"/>
      <c r="K33"/>
      <c r="L33"/>
      <c r="M33" s="82"/>
      <c r="N33" s="82"/>
      <c r="O33" s="82"/>
      <c r="P33" s="82"/>
      <c r="Q33" s="82"/>
      <c r="R33" s="82"/>
    </row>
    <row r="34" spans="2:18" s="100" customFormat="1">
      <c r="B34" s="255"/>
      <c r="C34" s="54"/>
      <c r="D34"/>
      <c r="E34"/>
      <c r="F34"/>
      <c r="G34"/>
      <c r="H34" s="75"/>
      <c r="I34" s="82"/>
      <c r="J34"/>
      <c r="K34"/>
      <c r="L34"/>
      <c r="M34" s="82"/>
      <c r="N34" s="82"/>
      <c r="O34" s="82"/>
      <c r="P34" s="82"/>
      <c r="Q34" s="82"/>
      <c r="R34" s="82"/>
    </row>
    <row r="35" spans="2:18" s="100" customFormat="1">
      <c r="B35" s="250"/>
      <c r="C35" s="54"/>
      <c r="D35"/>
      <c r="E35"/>
      <c r="F35" s="14"/>
      <c r="G35" s="123"/>
      <c r="H35" s="75"/>
      <c r="I35" s="82"/>
      <c r="J35"/>
      <c r="K35"/>
      <c r="L35"/>
      <c r="M35" s="82"/>
      <c r="N35" s="82"/>
      <c r="O35" s="82"/>
      <c r="P35" s="82"/>
      <c r="Q35" s="82"/>
      <c r="R35" s="82"/>
    </row>
    <row r="36" spans="2:18" s="100" customFormat="1">
      <c r="B36"/>
      <c r="C36" s="54"/>
      <c r="D36"/>
      <c r="E36"/>
      <c r="F36"/>
      <c r="G36" s="14"/>
      <c r="H36" s="35"/>
      <c r="I36" s="82"/>
      <c r="J36"/>
      <c r="K36"/>
      <c r="L36"/>
      <c r="M36" s="82"/>
      <c r="N36" s="82"/>
      <c r="O36" s="82"/>
      <c r="P36" s="82"/>
      <c r="Q36" s="82"/>
      <c r="R36" s="82"/>
    </row>
    <row r="37" spans="2:18" s="100" customFormat="1">
      <c r="B37" s="55"/>
      <c r="C37" s="54"/>
      <c r="E37"/>
      <c r="F37"/>
      <c r="G37" s="54"/>
      <c r="H37"/>
      <c r="I37" s="82"/>
      <c r="J37"/>
      <c r="K37"/>
      <c r="L37"/>
      <c r="M37" s="82"/>
      <c r="N37" s="82"/>
      <c r="O37" s="82"/>
      <c r="P37" s="82"/>
      <c r="Q37" s="82"/>
      <c r="R37" s="82"/>
    </row>
    <row r="38" spans="2:18" s="100" customFormat="1">
      <c r="D38" s="54"/>
      <c r="E38"/>
      <c r="F38"/>
      <c r="G38"/>
      <c r="H38"/>
      <c r="I38" s="82"/>
      <c r="J38"/>
      <c r="K38"/>
      <c r="L38"/>
      <c r="M38" s="82"/>
      <c r="N38" s="82"/>
      <c r="O38" s="82"/>
      <c r="P38" s="82"/>
      <c r="Q38" s="82"/>
      <c r="R38" s="82"/>
    </row>
    <row r="39" spans="2:18" s="100" customFormat="1">
      <c r="B39"/>
      <c r="C39"/>
      <c r="D39"/>
      <c r="E39"/>
      <c r="F39"/>
      <c r="G39"/>
      <c r="H39"/>
      <c r="I39" s="82"/>
      <c r="J39"/>
      <c r="K39"/>
      <c r="L39"/>
      <c r="M39" s="82"/>
      <c r="N39" s="82"/>
      <c r="O39" s="82"/>
      <c r="P39" s="82"/>
      <c r="Q39" s="82"/>
      <c r="R39" s="82"/>
    </row>
    <row r="40" spans="2:18" s="100" customFormat="1">
      <c r="B40"/>
      <c r="C40" s="55"/>
      <c r="D40"/>
      <c r="E40"/>
      <c r="F40"/>
      <c r="G40"/>
      <c r="H40"/>
      <c r="I40" s="82"/>
      <c r="J40" s="82"/>
      <c r="K40" s="82"/>
      <c r="L40" s="82"/>
      <c r="M40" s="82"/>
      <c r="N40" s="82"/>
      <c r="O40" s="82"/>
      <c r="P40" s="82"/>
      <c r="Q40" s="82"/>
      <c r="R40" s="82"/>
    </row>
    <row r="41" spans="2:18" s="100" customFormat="1">
      <c r="B41"/>
      <c r="C41"/>
      <c r="D41"/>
      <c r="E41"/>
      <c r="F41"/>
      <c r="G41"/>
      <c r="H41"/>
      <c r="I41" s="82"/>
      <c r="J41" s="82"/>
      <c r="K41" s="82"/>
      <c r="L41" s="82"/>
      <c r="M41" s="82"/>
      <c r="N41" s="82"/>
      <c r="O41" s="82"/>
      <c r="P41" s="82"/>
      <c r="Q41" s="82"/>
      <c r="R41" s="82"/>
    </row>
    <row r="42" spans="2:18" s="100" customFormat="1">
      <c r="B42"/>
      <c r="C42" s="54"/>
      <c r="D42" s="54"/>
      <c r="E42"/>
      <c r="F42"/>
      <c r="G42"/>
      <c r="H42"/>
      <c r="I42" s="82"/>
      <c r="J42" s="82"/>
      <c r="K42" s="82"/>
      <c r="L42" s="82"/>
      <c r="M42" s="82"/>
      <c r="N42" s="82"/>
      <c r="O42" s="82"/>
      <c r="P42" s="82"/>
      <c r="Q42" s="82"/>
      <c r="R42" s="82"/>
    </row>
    <row r="43" spans="2:18" s="100" customFormat="1">
      <c r="B43"/>
      <c r="C43"/>
      <c r="D43" s="15"/>
      <c r="E43" s="6"/>
      <c r="F43" s="15"/>
      <c r="G43" s="4"/>
      <c r="H43"/>
      <c r="I43" s="82"/>
      <c r="J43" s="82"/>
      <c r="K43" s="82"/>
      <c r="L43" s="82"/>
      <c r="M43" s="82"/>
      <c r="N43" s="82"/>
      <c r="O43" s="82"/>
      <c r="P43" s="82"/>
      <c r="Q43" s="82"/>
      <c r="R43" s="82"/>
    </row>
    <row r="44" spans="2:18" s="100" customFormat="1" ht="12.75" customHeight="1">
      <c r="B44" s="15"/>
      <c r="C44" s="15"/>
      <c r="D44" s="15"/>
      <c r="E44" s="6"/>
      <c r="F44" s="15"/>
      <c r="G44" s="4"/>
      <c r="H44" s="13"/>
      <c r="I44" s="82"/>
      <c r="J44" s="82"/>
      <c r="K44" s="82"/>
      <c r="L44" s="82"/>
      <c r="M44" s="82"/>
      <c r="N44" s="82"/>
      <c r="O44" s="82"/>
      <c r="P44" s="82"/>
      <c r="Q44" s="82"/>
      <c r="R44" s="82"/>
    </row>
    <row r="45" spans="2:18" s="100" customFormat="1">
      <c r="B45" s="15"/>
      <c r="C45" s="15"/>
      <c r="D45" s="15"/>
      <c r="E45" s="6"/>
      <c r="F45" s="15"/>
      <c r="G45" s="4"/>
      <c r="H45" s="13"/>
      <c r="I45" s="82"/>
      <c r="J45" s="82"/>
      <c r="K45" s="82"/>
      <c r="L45" s="82"/>
      <c r="M45" s="82"/>
      <c r="N45" s="82"/>
      <c r="O45" s="82"/>
      <c r="P45" s="82"/>
      <c r="Q45" s="82"/>
      <c r="R45" s="82"/>
    </row>
    <row r="46" spans="2:18" s="8" customFormat="1">
      <c r="B46" s="15"/>
      <c r="C46" s="15"/>
      <c r="D46" s="15"/>
      <c r="E46" s="6"/>
      <c r="F46" s="15"/>
      <c r="G46" s="4"/>
      <c r="H46" s="13"/>
      <c r="I46" s="82"/>
    </row>
    <row r="47" spans="2:18" s="8" customFormat="1">
      <c r="B47" s="15"/>
      <c r="C47" s="15"/>
      <c r="D47" s="15"/>
      <c r="E47" s="6"/>
      <c r="F47" s="15"/>
      <c r="G47" s="4"/>
      <c r="H47" s="13"/>
    </row>
    <row r="48" spans="2:18" s="8" customFormat="1">
      <c r="B48" s="15"/>
      <c r="C48" s="15"/>
      <c r="D48" s="15"/>
      <c r="E48" s="6"/>
      <c r="F48" s="15"/>
      <c r="G48" s="4"/>
      <c r="H48" s="13"/>
    </row>
    <row r="49" spans="1:9" s="8" customFormat="1">
      <c r="B49" s="15"/>
      <c r="C49" s="15"/>
      <c r="D49" s="15"/>
      <c r="E49" s="6"/>
      <c r="F49" s="15"/>
      <c r="G49" s="4"/>
      <c r="H49" s="13"/>
    </row>
    <row r="50" spans="1:9" s="8" customFormat="1">
      <c r="B50" s="15"/>
      <c r="C50" s="15"/>
      <c r="D50" s="15"/>
      <c r="E50" s="6"/>
      <c r="F50" s="15"/>
      <c r="G50" s="4"/>
      <c r="H50" s="13"/>
    </row>
    <row r="51" spans="1:9" s="8" customFormat="1">
      <c r="B51" s="15"/>
      <c r="C51" s="15"/>
      <c r="D51" s="15"/>
      <c r="E51" s="6"/>
      <c r="F51" s="15"/>
      <c r="G51" s="4"/>
      <c r="H51" s="13"/>
    </row>
    <row r="52" spans="1:9" s="8" customFormat="1">
      <c r="B52" s="15"/>
      <c r="C52" s="15"/>
      <c r="D52" s="15"/>
      <c r="E52" s="6"/>
      <c r="F52" s="15"/>
      <c r="G52" s="4"/>
      <c r="H52" s="13"/>
    </row>
    <row r="53" spans="1:9" s="8" customFormat="1">
      <c r="A53"/>
      <c r="B53" s="15"/>
      <c r="C53" s="15"/>
      <c r="D53" s="15"/>
      <c r="E53" s="6"/>
      <c r="F53" s="15"/>
      <c r="G53" s="4"/>
      <c r="H53" s="13"/>
    </row>
    <row r="54" spans="1:9" s="8" customFormat="1">
      <c r="A54"/>
      <c r="B54" s="15"/>
      <c r="C54" s="15"/>
      <c r="D54" s="15"/>
      <c r="E54" s="6"/>
      <c r="F54" s="15"/>
      <c r="G54" s="4"/>
      <c r="H54" s="13"/>
    </row>
    <row r="55" spans="1:9" s="8" customFormat="1">
      <c r="A55"/>
      <c r="B55" s="15"/>
      <c r="C55" s="15"/>
      <c r="D55" s="15"/>
      <c r="E55" s="6"/>
      <c r="F55" s="15"/>
      <c r="G55" s="4"/>
      <c r="H55" s="13"/>
    </row>
    <row r="56" spans="1:9" s="8" customFormat="1">
      <c r="A56"/>
      <c r="B56" s="15"/>
      <c r="C56" s="15"/>
      <c r="D56" s="15"/>
      <c r="E56" s="6"/>
      <c r="F56" s="15"/>
      <c r="G56" s="4"/>
      <c r="H56" s="13"/>
    </row>
    <row r="57" spans="1:9" s="8" customFormat="1">
      <c r="A57"/>
      <c r="B57" s="15"/>
      <c r="C57" s="15"/>
      <c r="D57" s="15"/>
      <c r="E57" s="6"/>
      <c r="F57" s="15"/>
      <c r="G57" s="4"/>
      <c r="H57" s="13"/>
    </row>
    <row r="58" spans="1:9" s="8" customFormat="1">
      <c r="A58"/>
      <c r="B58" s="15"/>
      <c r="C58" s="15"/>
      <c r="D58" s="15"/>
      <c r="E58" s="6"/>
      <c r="F58" s="15"/>
      <c r="G58" s="4"/>
      <c r="H58" s="13"/>
    </row>
    <row r="59" spans="1:9" s="8" customFormat="1">
      <c r="A59"/>
      <c r="B59" s="15"/>
      <c r="C59" s="15"/>
      <c r="D59" s="15"/>
      <c r="E59" s="6"/>
      <c r="F59" s="15"/>
      <c r="G59" s="4"/>
      <c r="H59" s="13"/>
    </row>
    <row r="60" spans="1:9">
      <c r="I60" s="8"/>
    </row>
  </sheetData>
  <printOptions horizontalCentered="1"/>
  <pageMargins left="0.75" right="0.75" top="0.39370078740157483" bottom="0.86" header="0" footer="0.62"/>
  <pageSetup scale="70" orientation="landscape" r:id="rId1"/>
  <headerFooter alignWithMargins="0"/>
  <ignoredErrors>
    <ignoredError sqref="F18" formula="1"/>
    <ignoredError sqref="D24:D25 C5" unlocked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>
  <dimension ref="A1:T57"/>
  <sheetViews>
    <sheetView showGridLines="0" zoomScale="97" workbookViewId="0">
      <pane ySplit="4" topLeftCell="A14" activePane="bottomLeft" state="frozen"/>
      <selection pane="bottomLeft" activeCell="F27" sqref="F27"/>
    </sheetView>
  </sheetViews>
  <sheetFormatPr baseColWidth="10" defaultColWidth="9.85546875" defaultRowHeight="12.75"/>
  <cols>
    <col min="1" max="1" width="2.7109375" style="6" customWidth="1"/>
    <col min="2" max="2" width="24.140625" style="15" customWidth="1"/>
    <col min="3" max="3" width="15.28515625" style="15" customWidth="1"/>
    <col min="4" max="4" width="11.5703125" style="15" customWidth="1"/>
    <col min="5" max="5" width="12.28515625" style="6" customWidth="1"/>
    <col min="6" max="6" width="15.42578125" style="15" customWidth="1"/>
    <col min="7" max="7" width="3.28515625" style="4" customWidth="1"/>
    <col min="8" max="8" width="5.5703125" style="13" customWidth="1"/>
    <col min="9" max="9" width="10.85546875" style="6" customWidth="1"/>
    <col min="10" max="10" width="11.7109375" style="6" customWidth="1"/>
    <col min="11" max="11" width="9.85546875" style="6" customWidth="1"/>
    <col min="12" max="12" width="14.85546875" style="6" customWidth="1"/>
    <col min="13" max="13" width="5.42578125" style="6" customWidth="1"/>
    <col min="14" max="14" width="13.85546875" style="6" customWidth="1"/>
    <col min="15" max="16384" width="9.85546875" style="6"/>
  </cols>
  <sheetData>
    <row r="1" spans="2:20" ht="6.75" customHeight="1">
      <c r="B1" s="1"/>
      <c r="C1" s="1"/>
      <c r="D1"/>
      <c r="E1" s="2"/>
      <c r="H1" s="6"/>
    </row>
    <row r="2" spans="2:20" s="100" customFormat="1" ht="14.25" customHeight="1" thickBot="1">
      <c r="B2" s="101" t="s">
        <v>545</v>
      </c>
      <c r="C2" s="170"/>
      <c r="D2" s="170"/>
      <c r="E2" s="171"/>
      <c r="F2" s="103" t="str">
        <f>+TOTAL!F2</f>
        <v>OCTUBRE 2012</v>
      </c>
      <c r="G2" s="172"/>
      <c r="H2" s="82"/>
      <c r="I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2:20" s="100" customFormat="1">
      <c r="B3" s="104" t="s">
        <v>2</v>
      </c>
      <c r="C3" s="308"/>
      <c r="D3" s="182"/>
      <c r="E3" s="173" t="s">
        <v>9</v>
      </c>
      <c r="F3" s="174"/>
      <c r="G3" s="82"/>
      <c r="H3"/>
      <c r="I3"/>
      <c r="J3"/>
      <c r="K3" s="82"/>
      <c r="L3" s="82"/>
      <c r="M3" s="82"/>
      <c r="N3" s="82"/>
      <c r="O3" s="82"/>
      <c r="P3" s="82"/>
      <c r="Q3" s="82"/>
      <c r="R3" s="82"/>
      <c r="S3" s="82"/>
    </row>
    <row r="4" spans="2:20" s="100" customFormat="1" ht="13.5" thickBot="1">
      <c r="B4" s="105"/>
      <c r="C4" s="106" t="s">
        <v>7</v>
      </c>
      <c r="D4" s="106" t="s">
        <v>8</v>
      </c>
      <c r="E4" s="175" t="s">
        <v>109</v>
      </c>
      <c r="F4" s="176" t="s">
        <v>9</v>
      </c>
      <c r="G4" s="82"/>
      <c r="H4"/>
      <c r="I4"/>
      <c r="J4"/>
      <c r="K4" s="82"/>
      <c r="L4" s="82"/>
      <c r="M4" s="82"/>
      <c r="N4" s="82"/>
      <c r="O4" s="82"/>
      <c r="P4" s="82"/>
      <c r="Q4" s="82"/>
      <c r="R4" s="82"/>
      <c r="S4" s="82"/>
    </row>
    <row r="5" spans="2:20" s="100" customFormat="1">
      <c r="B5" s="542" t="s">
        <v>584</v>
      </c>
      <c r="C5" s="1177">
        <v>0</v>
      </c>
      <c r="D5" s="651">
        <f>+'INPUT II'!F5</f>
        <v>1817.25</v>
      </c>
      <c r="E5" s="541">
        <f>+(6.0399)*(1-19%)-0.46</f>
        <v>4.4323190000000006</v>
      </c>
      <c r="F5" s="543">
        <f>+C5*D5*E5-48805</f>
        <v>-48805</v>
      </c>
      <c r="G5" s="82"/>
      <c r="H5"/>
      <c r="I5"/>
      <c r="J5"/>
      <c r="K5" s="82"/>
      <c r="L5" s="357"/>
      <c r="M5" s="82"/>
      <c r="N5" s="82"/>
      <c r="O5" s="82"/>
      <c r="P5" s="82"/>
      <c r="Q5" s="82"/>
      <c r="R5" s="82"/>
      <c r="S5" s="82"/>
    </row>
    <row r="6" spans="2:20" s="100" customFormat="1">
      <c r="B6" s="544" t="s">
        <v>585</v>
      </c>
      <c r="C6" s="1177">
        <v>62680</v>
      </c>
      <c r="D6" s="1049">
        <f>+D5</f>
        <v>1817.25</v>
      </c>
      <c r="E6" s="546">
        <f>3.71-0.3</f>
        <v>3.41</v>
      </c>
      <c r="F6" s="543">
        <f>+C6*D6*E6</f>
        <v>388416834.30000001</v>
      </c>
      <c r="G6" s="82"/>
      <c r="H6"/>
      <c r="I6"/>
      <c r="J6"/>
      <c r="K6" s="82"/>
      <c r="L6" s="357"/>
      <c r="M6" s="82"/>
      <c r="N6" s="82"/>
      <c r="O6" s="82"/>
      <c r="P6" s="82"/>
      <c r="Q6" s="82"/>
      <c r="R6" s="82"/>
      <c r="S6" s="82"/>
    </row>
    <row r="7" spans="2:20" s="100" customFormat="1">
      <c r="B7" s="544" t="s">
        <v>586</v>
      </c>
      <c r="C7" s="1177">
        <v>36600</v>
      </c>
      <c r="D7" s="1049">
        <f>+D6</f>
        <v>1817.25</v>
      </c>
      <c r="E7" s="546">
        <f>5.89-0.3</f>
        <v>5.59</v>
      </c>
      <c r="F7" s="543">
        <f t="shared" ref="F7:F9" si="0">+C7*D7*E7</f>
        <v>371798446.5</v>
      </c>
      <c r="G7" s="82"/>
      <c r="H7"/>
      <c r="I7"/>
      <c r="J7"/>
      <c r="K7" s="54"/>
      <c r="L7" s="357"/>
      <c r="M7" s="82"/>
      <c r="N7" s="82"/>
      <c r="O7" s="82"/>
      <c r="P7" s="82"/>
      <c r="Q7" s="82"/>
      <c r="R7" s="82"/>
      <c r="S7" s="82"/>
    </row>
    <row r="8" spans="2:20" s="100" customFormat="1">
      <c r="B8" s="544" t="s">
        <v>591</v>
      </c>
      <c r="C8" s="1177">
        <v>1000</v>
      </c>
      <c r="D8" s="1049">
        <f>+D7</f>
        <v>1817.25</v>
      </c>
      <c r="E8" s="546">
        <v>6.0399000000000003</v>
      </c>
      <c r="F8" s="543">
        <f t="shared" si="0"/>
        <v>10976008.275</v>
      </c>
      <c r="G8" s="82"/>
      <c r="H8"/>
      <c r="I8"/>
      <c r="J8"/>
      <c r="K8" s="255"/>
      <c r="L8" s="255"/>
      <c r="M8" s="82"/>
      <c r="N8" s="82"/>
      <c r="O8" s="82"/>
      <c r="P8" s="82"/>
      <c r="Q8" s="82"/>
      <c r="R8" s="82"/>
      <c r="S8" s="82"/>
    </row>
    <row r="9" spans="2:20" s="100" customFormat="1">
      <c r="B9" s="544"/>
      <c r="C9" s="1048"/>
      <c r="D9" s="1049"/>
      <c r="E9" s="546"/>
      <c r="F9" s="543">
        <f t="shared" si="0"/>
        <v>0</v>
      </c>
      <c r="G9" s="82"/>
      <c r="H9"/>
      <c r="I9"/>
      <c r="J9" s="745"/>
      <c r="K9" s="982"/>
      <c r="L9" s="255"/>
      <c r="M9" s="82"/>
      <c r="N9" s="82"/>
      <c r="O9" s="82"/>
      <c r="P9" s="82"/>
      <c r="Q9" s="82"/>
      <c r="R9" s="82"/>
      <c r="S9" s="82"/>
    </row>
    <row r="10" spans="2:20" s="100" customFormat="1">
      <c r="B10" s="1023"/>
      <c r="C10" s="1030"/>
      <c r="D10" s="545"/>
      <c r="E10" s="546"/>
      <c r="F10" s="543">
        <f>+C10*$D$5*$E$5</f>
        <v>0</v>
      </c>
      <c r="G10" s="82"/>
      <c r="H10"/>
      <c r="I10"/>
      <c r="J10" s="14"/>
      <c r="K10" s="1012"/>
      <c r="L10" s="255"/>
      <c r="M10" s="82"/>
      <c r="N10" s="82"/>
      <c r="O10" s="82"/>
      <c r="P10" s="82"/>
      <c r="Q10" s="82"/>
      <c r="R10" s="82"/>
      <c r="S10" s="82"/>
    </row>
    <row r="11" spans="2:20" s="100" customFormat="1">
      <c r="B11" s="1029"/>
      <c r="C11" s="1025"/>
      <c r="D11" s="1026"/>
      <c r="E11" s="1016"/>
      <c r="F11" s="543">
        <f>+C11*$D$5*$E$11</f>
        <v>0</v>
      </c>
      <c r="G11" s="82"/>
      <c r="H11"/>
      <c r="I11" s="54"/>
      <c r="J11" s="14"/>
      <c r="K11" s="1012"/>
      <c r="L11" s="255"/>
      <c r="M11" s="82"/>
      <c r="N11" s="82"/>
      <c r="O11" s="82"/>
      <c r="P11" s="82"/>
      <c r="Q11" s="82"/>
      <c r="R11" s="82"/>
      <c r="S11" s="82"/>
    </row>
    <row r="12" spans="2:20" s="100" customFormat="1">
      <c r="B12" s="1028"/>
      <c r="C12" s="1025"/>
      <c r="D12" s="1026"/>
      <c r="E12" s="1016"/>
      <c r="F12" s="543">
        <f>+C12*$D$5*$E$12</f>
        <v>0</v>
      </c>
      <c r="G12" s="82"/>
      <c r="H12"/>
      <c r="I12"/>
      <c r="J12" s="14"/>
      <c r="K12" s="82"/>
      <c r="L12" s="255"/>
      <c r="M12" s="82"/>
      <c r="N12" s="82"/>
      <c r="O12" s="82"/>
      <c r="P12" s="82"/>
      <c r="Q12" s="82"/>
      <c r="R12" s="82"/>
      <c r="S12" s="82"/>
    </row>
    <row r="13" spans="2:20" s="100" customFormat="1">
      <c r="B13" s="548"/>
      <c r="C13" s="1025"/>
      <c r="D13" s="1026"/>
      <c r="E13" s="1016"/>
      <c r="F13" s="543">
        <f>+C13*$D$5*$E$13</f>
        <v>0</v>
      </c>
      <c r="G13" s="82"/>
      <c r="H13"/>
      <c r="I13"/>
      <c r="J13"/>
      <c r="K13" s="82"/>
      <c r="L13" s="255"/>
      <c r="M13" s="82"/>
      <c r="N13" s="82"/>
      <c r="O13" s="82"/>
      <c r="P13" s="82"/>
      <c r="Q13" s="82"/>
      <c r="R13" s="82"/>
      <c r="S13" s="82"/>
    </row>
    <row r="14" spans="2:20" s="100" customFormat="1">
      <c r="B14" s="548"/>
      <c r="C14" s="1025"/>
      <c r="D14" s="1026"/>
      <c r="E14" s="1016"/>
      <c r="F14" s="543">
        <f>+C14*$D$5*$E$14</f>
        <v>0</v>
      </c>
      <c r="G14" s="82"/>
      <c r="H14"/>
      <c r="I14"/>
      <c r="J14"/>
      <c r="K14" s="82"/>
      <c r="L14" s="255"/>
      <c r="M14" s="82"/>
      <c r="N14" s="82"/>
      <c r="O14" s="82"/>
      <c r="P14" s="82"/>
      <c r="Q14" s="82"/>
      <c r="R14" s="82"/>
      <c r="S14" s="82"/>
    </row>
    <row r="15" spans="2:20" s="100" customFormat="1">
      <c r="B15" s="548"/>
      <c r="C15" s="1025"/>
      <c r="D15" s="1026"/>
      <c r="E15" s="1024"/>
      <c r="F15" s="543">
        <f>+C15*$D$5*$E$15</f>
        <v>0</v>
      </c>
      <c r="G15" s="82"/>
      <c r="H15"/>
      <c r="I15"/>
      <c r="J15"/>
      <c r="K15" s="82"/>
      <c r="L15" s="83"/>
      <c r="M15" s="82"/>
      <c r="N15" s="82"/>
      <c r="O15" s="82"/>
      <c r="P15" s="82"/>
      <c r="Q15" s="82"/>
      <c r="R15" s="82"/>
      <c r="S15" s="82"/>
    </row>
    <row r="16" spans="2:20" s="100" customFormat="1">
      <c r="B16" s="548"/>
      <c r="C16" s="1027"/>
      <c r="D16" s="1026"/>
      <c r="E16" s="1016"/>
      <c r="F16" s="543">
        <f>+C16*$D$5*$E$16</f>
        <v>0</v>
      </c>
      <c r="G16" s="108"/>
      <c r="H16"/>
      <c r="I16"/>
      <c r="J16"/>
      <c r="K16" s="82"/>
      <c r="L16" s="82"/>
      <c r="M16" s="82"/>
      <c r="N16" s="82"/>
      <c r="O16" s="82"/>
      <c r="P16" s="82"/>
      <c r="Q16" s="82"/>
      <c r="R16" s="82"/>
      <c r="S16" s="82"/>
    </row>
    <row r="17" spans="2:19" s="100" customFormat="1">
      <c r="B17" s="548"/>
      <c r="C17" s="1027"/>
      <c r="D17" s="1026"/>
      <c r="E17" s="1016"/>
      <c r="F17" s="543">
        <f>+C17*$D$5*$E$17</f>
        <v>0</v>
      </c>
      <c r="G17" s="108"/>
      <c r="H17"/>
      <c r="I17" s="54"/>
      <c r="J17"/>
      <c r="K17" s="82"/>
      <c r="L17" s="82"/>
      <c r="M17" s="82"/>
      <c r="N17" s="82"/>
      <c r="O17" s="82"/>
      <c r="P17" s="82"/>
      <c r="Q17" s="82"/>
      <c r="R17" s="82"/>
      <c r="S17" s="82"/>
    </row>
    <row r="18" spans="2:19" s="100" customFormat="1" ht="13.5" thickBot="1">
      <c r="B18" s="548"/>
      <c r="C18" s="1027"/>
      <c r="D18" s="1026"/>
      <c r="E18" s="1016"/>
      <c r="F18" s="543">
        <f>+C18*$D$5*$E$16</f>
        <v>0</v>
      </c>
      <c r="G18" s="108"/>
      <c r="H18"/>
      <c r="J18" s="82"/>
      <c r="K18" s="490"/>
      <c r="L18" s="82"/>
      <c r="M18" s="82"/>
      <c r="N18" s="82"/>
      <c r="O18" s="82"/>
      <c r="P18" s="82"/>
      <c r="Q18" s="82"/>
      <c r="R18" s="82"/>
      <c r="S18" s="82"/>
    </row>
    <row r="19" spans="2:19" s="100" customFormat="1" ht="13.5" thickBot="1">
      <c r="B19" s="549" t="s">
        <v>91</v>
      </c>
      <c r="C19" s="550">
        <f>SUM(C5:C18)</f>
        <v>100280</v>
      </c>
      <c r="D19" s="551"/>
      <c r="E19" s="552">
        <f>+E5*D5</f>
        <v>8054.6317027500008</v>
      </c>
      <c r="F19" s="550">
        <f>SUM(F5:F18)</f>
        <v>771142484.07499993</v>
      </c>
      <c r="G19" s="180"/>
      <c r="H19" s="83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</row>
    <row r="20" spans="2:19" s="100" customFormat="1">
      <c r="B20" s="177"/>
      <c r="C20" s="107"/>
      <c r="D20" s="178"/>
      <c r="E20" s="179"/>
      <c r="F20" s="109"/>
      <c r="G20" s="181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</row>
    <row r="21" spans="2:19" s="100" customFormat="1">
      <c r="B21" s="526"/>
      <c r="C21" s="527"/>
      <c r="D21" s="528"/>
      <c r="E21" s="529"/>
      <c r="F21" s="530"/>
      <c r="G21" s="738"/>
      <c r="H21" s="124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</row>
    <row r="22" spans="2:19" s="100" customFormat="1">
      <c r="B22" s="531" t="s">
        <v>90</v>
      </c>
      <c r="C22" s="532" t="s">
        <v>122</v>
      </c>
      <c r="D22" s="533"/>
      <c r="E22" s="533"/>
      <c r="F22" s="532" t="s">
        <v>123</v>
      </c>
      <c r="G22" s="82"/>
      <c r="H22" s="124"/>
      <c r="I22" s="82"/>
      <c r="J22" s="490"/>
      <c r="K22" s="82"/>
      <c r="L22" s="82"/>
      <c r="M22" s="82"/>
      <c r="N22" s="82"/>
      <c r="O22" s="82"/>
      <c r="P22" s="82"/>
      <c r="Q22" s="82"/>
      <c r="R22" s="82"/>
      <c r="S22" s="82"/>
    </row>
    <row r="23" spans="2:19" s="100" customFormat="1">
      <c r="B23" s="534"/>
      <c r="C23" s="535">
        <v>100280</v>
      </c>
      <c r="D23" s="536"/>
      <c r="E23" s="537"/>
      <c r="F23" s="535">
        <f>+F19</f>
        <v>771142484.07499993</v>
      </c>
      <c r="G23" s="82"/>
      <c r="H23" s="125"/>
      <c r="J23" s="490"/>
      <c r="K23" s="490"/>
      <c r="L23" s="490"/>
      <c r="M23" s="82"/>
      <c r="N23" s="82"/>
      <c r="O23" s="82"/>
      <c r="P23" s="82"/>
      <c r="Q23" s="82"/>
      <c r="R23" s="82"/>
      <c r="S23" s="82"/>
    </row>
    <row r="24" spans="2:19" s="100" customFormat="1">
      <c r="B24" s="531" t="s">
        <v>4</v>
      </c>
      <c r="C24" s="739">
        <f>+C19-C23</f>
        <v>0</v>
      </c>
      <c r="D24" s="533"/>
      <c r="E24" s="533"/>
      <c r="F24" s="739">
        <f>+F19-F23</f>
        <v>0</v>
      </c>
      <c r="H24" s="82"/>
      <c r="I24" s="82"/>
      <c r="J24" s="490"/>
      <c r="K24" s="490"/>
      <c r="L24" s="490"/>
      <c r="M24" s="82"/>
      <c r="N24" s="82"/>
      <c r="O24" s="82"/>
      <c r="P24" s="82"/>
      <c r="Q24" s="82"/>
      <c r="R24" s="82"/>
      <c r="S24" s="82"/>
    </row>
    <row r="25" spans="2:19" s="100" customFormat="1">
      <c r="B25" s="13"/>
      <c r="C25" s="6"/>
      <c r="D25"/>
      <c r="E25" s="54"/>
      <c r="F25" s="75"/>
      <c r="H25"/>
      <c r="I25" s="82"/>
      <c r="J25" s="490"/>
      <c r="K25" s="490"/>
      <c r="L25" s="490"/>
      <c r="M25" s="82"/>
      <c r="N25" s="82"/>
      <c r="O25" s="82"/>
      <c r="P25" s="82"/>
      <c r="Q25" s="82"/>
      <c r="R25" s="82"/>
      <c r="S25" s="82"/>
    </row>
    <row r="26" spans="2:19" s="100" customFormat="1">
      <c r="B26"/>
      <c r="E26" s="621" t="s">
        <v>121</v>
      </c>
      <c r="F26" s="277">
        <f>+F23</f>
        <v>771142484.07499993</v>
      </c>
      <c r="G26"/>
      <c r="H26"/>
      <c r="I26" s="82"/>
      <c r="J26" s="82"/>
      <c r="K26" s="82"/>
      <c r="L26" s="82"/>
      <c r="M26" s="82"/>
      <c r="N26" s="82"/>
      <c r="O26" s="82"/>
      <c r="P26" s="82"/>
      <c r="Q26" s="82"/>
      <c r="R26" s="82"/>
    </row>
    <row r="27" spans="2:19" s="100" customFormat="1">
      <c r="B27"/>
      <c r="C27" s="563"/>
      <c r="E27" s="621" t="s">
        <v>89</v>
      </c>
      <c r="F27" s="83">
        <f>+F23-F26</f>
        <v>0</v>
      </c>
      <c r="G27"/>
      <c r="H27" s="54"/>
      <c r="I27" s="82"/>
      <c r="J27" s="82"/>
      <c r="K27" s="82"/>
      <c r="L27" s="82"/>
      <c r="M27" s="82"/>
      <c r="N27" s="82"/>
      <c r="O27" s="82"/>
      <c r="P27" s="82"/>
      <c r="Q27" s="82"/>
      <c r="R27" s="82"/>
    </row>
    <row r="28" spans="2:19" s="100" customFormat="1">
      <c r="B28" s="255"/>
      <c r="C28" s="54"/>
      <c r="D28"/>
      <c r="E28"/>
      <c r="F28"/>
      <c r="G28"/>
      <c r="H28" s="54"/>
      <c r="I28" s="82"/>
      <c r="J28" s="82"/>
      <c r="K28" s="82"/>
      <c r="L28" s="82"/>
      <c r="M28" s="82"/>
      <c r="N28" s="82"/>
      <c r="O28" s="82"/>
      <c r="P28" s="82"/>
      <c r="Q28" s="82"/>
      <c r="R28" s="82"/>
    </row>
    <row r="29" spans="2:19" s="100" customFormat="1">
      <c r="B29" s="255"/>
      <c r="C29" s="54"/>
      <c r="D29"/>
      <c r="E29"/>
      <c r="F29" s="980"/>
      <c r="G29"/>
      <c r="H29"/>
      <c r="I29" s="82"/>
      <c r="J29" s="82"/>
      <c r="K29" s="82"/>
      <c r="L29" s="82"/>
      <c r="M29" s="82"/>
      <c r="N29" s="82"/>
      <c r="O29" s="82"/>
      <c r="P29" s="82"/>
      <c r="Q29" s="82"/>
      <c r="R29" s="82"/>
    </row>
    <row r="30" spans="2:19" s="100" customFormat="1">
      <c r="B30" s="255"/>
      <c r="C30" s="54"/>
      <c r="D30"/>
      <c r="E30"/>
      <c r="F30"/>
      <c r="G30"/>
      <c r="H30" s="75"/>
      <c r="I30" s="82"/>
      <c r="J30"/>
      <c r="K30"/>
      <c r="L30"/>
      <c r="M30" s="82"/>
      <c r="N30" s="82"/>
      <c r="O30" s="82"/>
      <c r="P30" s="82"/>
      <c r="Q30" s="82"/>
      <c r="R30" s="82"/>
    </row>
    <row r="31" spans="2:19" s="100" customFormat="1">
      <c r="B31" s="255"/>
      <c r="C31" s="54"/>
      <c r="D31"/>
      <c r="E31"/>
      <c r="F31"/>
      <c r="G31"/>
      <c r="H31" s="75"/>
      <c r="I31" s="82"/>
      <c r="J31"/>
      <c r="K31"/>
      <c r="L31"/>
      <c r="M31" s="82"/>
      <c r="N31" s="82"/>
      <c r="O31" s="82"/>
      <c r="P31" s="82"/>
      <c r="Q31" s="82"/>
      <c r="R31" s="82"/>
    </row>
    <row r="32" spans="2:19" s="100" customFormat="1">
      <c r="B32" s="250"/>
      <c r="C32" s="54"/>
      <c r="D32"/>
      <c r="E32"/>
      <c r="F32"/>
      <c r="G32" s="123"/>
      <c r="H32" s="75"/>
      <c r="I32" s="82"/>
      <c r="J32"/>
      <c r="K32"/>
      <c r="L32"/>
      <c r="M32" s="82"/>
      <c r="N32" s="82"/>
      <c r="O32" s="82"/>
      <c r="P32" s="82"/>
      <c r="Q32" s="82"/>
      <c r="R32" s="82"/>
    </row>
    <row r="33" spans="2:18" s="100" customFormat="1">
      <c r="B33"/>
      <c r="C33" s="54"/>
      <c r="D33"/>
      <c r="E33"/>
      <c r="F33"/>
      <c r="G33" s="14"/>
      <c r="H33" s="35"/>
      <c r="I33" s="82"/>
      <c r="J33"/>
      <c r="K33"/>
      <c r="L33"/>
      <c r="M33" s="82"/>
      <c r="N33" s="82"/>
      <c r="O33" s="82"/>
      <c r="P33" s="82"/>
      <c r="Q33" s="82"/>
      <c r="R33" s="82"/>
    </row>
    <row r="34" spans="2:18" s="100" customFormat="1">
      <c r="B34" s="55"/>
      <c r="C34" s="54"/>
      <c r="E34"/>
      <c r="F34"/>
      <c r="G34" s="54"/>
      <c r="H34"/>
      <c r="I34" s="82"/>
      <c r="J34"/>
      <c r="K34"/>
      <c r="L34"/>
      <c r="M34" s="82"/>
      <c r="N34" s="82"/>
      <c r="O34" s="82"/>
      <c r="P34" s="82"/>
      <c r="Q34" s="82"/>
      <c r="R34" s="82"/>
    </row>
    <row r="35" spans="2:18" s="100" customFormat="1">
      <c r="D35" s="54"/>
      <c r="E35"/>
      <c r="F35"/>
      <c r="G35"/>
      <c r="H35"/>
      <c r="I35" s="82"/>
      <c r="J35"/>
      <c r="K35"/>
      <c r="L35"/>
      <c r="M35" s="82"/>
      <c r="N35" s="82"/>
      <c r="O35" s="82"/>
      <c r="P35" s="82"/>
      <c r="Q35" s="82"/>
      <c r="R35" s="82"/>
    </row>
    <row r="36" spans="2:18" s="100" customFormat="1">
      <c r="B36"/>
      <c r="C36"/>
      <c r="D36"/>
      <c r="E36"/>
      <c r="F36"/>
      <c r="G36"/>
      <c r="H36"/>
      <c r="I36" s="82"/>
      <c r="J36"/>
      <c r="K36"/>
      <c r="L36"/>
      <c r="M36" s="82"/>
      <c r="N36" s="82"/>
      <c r="O36" s="82"/>
      <c r="P36" s="82"/>
      <c r="Q36" s="82"/>
      <c r="R36" s="82"/>
    </row>
    <row r="37" spans="2:18" s="100" customFormat="1">
      <c r="B37"/>
      <c r="C37" s="55"/>
      <c r="D37"/>
      <c r="E37"/>
      <c r="F37"/>
      <c r="G37"/>
      <c r="H37"/>
      <c r="I37" s="82"/>
      <c r="J37" s="82"/>
      <c r="K37" s="82"/>
      <c r="L37" s="82"/>
      <c r="M37" s="82"/>
      <c r="N37" s="82"/>
      <c r="O37" s="82"/>
      <c r="P37" s="82"/>
      <c r="Q37" s="82"/>
      <c r="R37" s="82"/>
    </row>
    <row r="38" spans="2:18" s="100" customFormat="1">
      <c r="B38"/>
      <c r="C38"/>
      <c r="D38"/>
      <c r="E38"/>
      <c r="F38"/>
      <c r="G38"/>
      <c r="H38"/>
      <c r="I38" s="82"/>
      <c r="J38" s="82"/>
      <c r="K38" s="82"/>
      <c r="L38" s="82"/>
      <c r="M38" s="82"/>
      <c r="N38" s="82"/>
      <c r="O38" s="82"/>
      <c r="P38" s="82"/>
      <c r="Q38" s="82"/>
      <c r="R38" s="82"/>
    </row>
    <row r="39" spans="2:18" s="100" customFormat="1">
      <c r="B39"/>
      <c r="C39" s="54"/>
      <c r="D39" s="54"/>
      <c r="E39"/>
      <c r="F39"/>
      <c r="G39"/>
      <c r="H39"/>
      <c r="I39" s="82"/>
      <c r="J39" s="82"/>
      <c r="K39" s="82"/>
      <c r="L39" s="82"/>
      <c r="M39" s="82"/>
      <c r="N39" s="82"/>
      <c r="O39" s="82"/>
      <c r="P39" s="82"/>
      <c r="Q39" s="82"/>
      <c r="R39" s="82"/>
    </row>
    <row r="40" spans="2:18" s="100" customFormat="1">
      <c r="B40"/>
      <c r="C40"/>
      <c r="D40" s="15"/>
      <c r="E40" s="6"/>
      <c r="F40" s="15"/>
      <c r="G40" s="4"/>
      <c r="H40"/>
      <c r="I40" s="82"/>
      <c r="J40" s="82"/>
      <c r="K40" s="82"/>
      <c r="L40" s="82"/>
      <c r="M40" s="82"/>
      <c r="N40" s="82"/>
      <c r="O40" s="82"/>
      <c r="P40" s="82"/>
      <c r="Q40" s="82"/>
      <c r="R40" s="82"/>
    </row>
    <row r="41" spans="2:18" s="100" customFormat="1" ht="12.75" customHeight="1">
      <c r="B41" s="15"/>
      <c r="C41" s="15"/>
      <c r="D41" s="15"/>
      <c r="E41" s="6"/>
      <c r="F41" s="15"/>
      <c r="G41" s="4"/>
      <c r="H41" s="13"/>
      <c r="I41" s="82"/>
      <c r="J41" s="82"/>
      <c r="K41" s="82"/>
      <c r="L41" s="82"/>
      <c r="M41" s="82"/>
      <c r="N41" s="82"/>
      <c r="O41" s="82"/>
      <c r="P41" s="82"/>
      <c r="Q41" s="82"/>
      <c r="R41" s="82"/>
    </row>
    <row r="42" spans="2:18" s="100" customFormat="1">
      <c r="B42" s="15"/>
      <c r="C42" s="15"/>
      <c r="D42" s="15"/>
      <c r="E42" s="6"/>
      <c r="F42" s="15"/>
      <c r="G42" s="4"/>
      <c r="H42" s="13"/>
      <c r="I42" s="82"/>
      <c r="J42" s="82"/>
      <c r="K42" s="82"/>
      <c r="L42" s="82"/>
      <c r="M42" s="82"/>
      <c r="N42" s="82"/>
      <c r="O42" s="82"/>
      <c r="P42" s="82"/>
      <c r="Q42" s="82"/>
      <c r="R42" s="82"/>
    </row>
    <row r="43" spans="2:18" s="8" customFormat="1">
      <c r="B43" s="15"/>
      <c r="C43" s="15"/>
      <c r="D43" s="15"/>
      <c r="E43" s="6"/>
      <c r="F43" s="15"/>
      <c r="G43" s="4"/>
      <c r="H43" s="13"/>
      <c r="I43" s="82"/>
    </row>
    <row r="44" spans="2:18" s="8" customFormat="1">
      <c r="B44" s="15"/>
      <c r="C44" s="15"/>
      <c r="D44" s="15"/>
      <c r="E44" s="6"/>
      <c r="F44" s="15"/>
      <c r="G44" s="4"/>
      <c r="H44" s="13"/>
    </row>
    <row r="45" spans="2:18" s="8" customFormat="1">
      <c r="B45" s="15"/>
      <c r="C45" s="15"/>
      <c r="D45" s="15"/>
      <c r="E45" s="6"/>
      <c r="F45" s="15"/>
      <c r="G45" s="4"/>
      <c r="H45" s="13"/>
    </row>
    <row r="46" spans="2:18" s="8" customFormat="1">
      <c r="B46" s="15"/>
      <c r="C46" s="15"/>
      <c r="D46" s="15"/>
      <c r="E46" s="6"/>
      <c r="F46" s="15"/>
      <c r="G46" s="4"/>
      <c r="H46" s="13"/>
    </row>
    <row r="47" spans="2:18" s="8" customFormat="1">
      <c r="B47" s="15"/>
      <c r="C47" s="15"/>
      <c r="D47" s="15"/>
      <c r="E47" s="6"/>
      <c r="F47" s="15"/>
      <c r="G47" s="4"/>
      <c r="H47" s="13"/>
    </row>
    <row r="48" spans="2:18" s="8" customFormat="1">
      <c r="B48" s="15"/>
      <c r="C48" s="15"/>
      <c r="D48" s="15"/>
      <c r="E48" s="6"/>
      <c r="F48" s="15"/>
      <c r="G48" s="4"/>
      <c r="H48" s="13"/>
    </row>
    <row r="49" spans="1:9" s="8" customFormat="1">
      <c r="B49" s="15"/>
      <c r="C49" s="15"/>
      <c r="D49" s="15"/>
      <c r="E49" s="6"/>
      <c r="F49" s="15"/>
      <c r="G49" s="4"/>
      <c r="H49" s="13"/>
    </row>
    <row r="50" spans="1:9" s="8" customFormat="1">
      <c r="A50"/>
      <c r="B50" s="15"/>
      <c r="C50" s="15"/>
      <c r="D50" s="15"/>
      <c r="E50" s="6"/>
      <c r="F50" s="15"/>
      <c r="G50" s="4"/>
      <c r="H50" s="13"/>
    </row>
    <row r="51" spans="1:9" s="8" customFormat="1">
      <c r="A51"/>
      <c r="B51" s="15"/>
      <c r="C51" s="15"/>
      <c r="D51" s="15"/>
      <c r="E51" s="6"/>
      <c r="F51" s="15"/>
      <c r="G51" s="4"/>
      <c r="H51" s="13"/>
    </row>
    <row r="52" spans="1:9" s="8" customFormat="1">
      <c r="A52"/>
      <c r="B52" s="15"/>
      <c r="C52" s="15"/>
      <c r="D52" s="15"/>
      <c r="E52" s="6"/>
      <c r="F52" s="15"/>
      <c r="G52" s="4"/>
      <c r="H52" s="13"/>
    </row>
    <row r="53" spans="1:9" s="8" customFormat="1">
      <c r="A53"/>
      <c r="B53" s="15"/>
      <c r="C53" s="15"/>
      <c r="D53" s="15"/>
      <c r="E53" s="6"/>
      <c r="F53" s="15"/>
      <c r="G53" s="4"/>
      <c r="H53" s="13"/>
    </row>
    <row r="54" spans="1:9" s="8" customFormat="1">
      <c r="A54"/>
      <c r="B54" s="15"/>
      <c r="C54" s="15"/>
      <c r="D54" s="15"/>
      <c r="E54" s="6"/>
      <c r="F54" s="15"/>
      <c r="G54" s="4"/>
      <c r="H54" s="13"/>
    </row>
    <row r="55" spans="1:9" s="8" customFormat="1">
      <c r="A55"/>
      <c r="B55" s="15"/>
      <c r="C55" s="15"/>
      <c r="D55" s="15"/>
      <c r="E55" s="6"/>
      <c r="F55" s="15"/>
      <c r="G55" s="4"/>
      <c r="H55" s="13"/>
    </row>
    <row r="56" spans="1:9" s="8" customFormat="1">
      <c r="A56"/>
      <c r="B56" s="15"/>
      <c r="C56" s="15"/>
      <c r="D56" s="15"/>
      <c r="E56" s="6"/>
      <c r="F56" s="15"/>
      <c r="G56" s="4"/>
      <c r="H56" s="13"/>
    </row>
    <row r="57" spans="1:9">
      <c r="I57" s="8"/>
    </row>
  </sheetData>
  <printOptions horizontalCentered="1"/>
  <pageMargins left="0.75" right="0.75" top="0.39370078740157483" bottom="0.86" header="0" footer="0.62"/>
  <pageSetup scale="7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17</vt:i4>
      </vt:variant>
    </vt:vector>
  </HeadingPairs>
  <TitlesOfParts>
    <vt:vector size="30" baseType="lpstr">
      <vt:lpstr>INPUT VOL</vt:lpstr>
      <vt:lpstr>INPUT II</vt:lpstr>
      <vt:lpstr>TOTAL</vt:lpstr>
      <vt:lpstr>EcopeGj</vt:lpstr>
      <vt:lpstr>Chevron</vt:lpstr>
      <vt:lpstr>ECOP</vt:lpstr>
      <vt:lpstr>E2</vt:lpstr>
      <vt:lpstr>GDO</vt:lpstr>
      <vt:lpstr>PACIFIC</vt:lpstr>
      <vt:lpstr>PROMIGAS</vt:lpstr>
      <vt:lpstr>Gascar</vt:lpstr>
      <vt:lpstr>PETROM</vt:lpstr>
      <vt:lpstr>Hoja1</vt:lpstr>
      <vt:lpstr>Chevron!Área_de_impresión</vt:lpstr>
      <vt:lpstr>'E2'!Área_de_impresión</vt:lpstr>
      <vt:lpstr>ECOP!Área_de_impresión</vt:lpstr>
      <vt:lpstr>EcopeGj!Área_de_impresión</vt:lpstr>
      <vt:lpstr>GDO!Área_de_impresión</vt:lpstr>
      <vt:lpstr>'INPUT VOL'!Área_de_impresión</vt:lpstr>
      <vt:lpstr>PACIFIC!Área_de_impresión</vt:lpstr>
      <vt:lpstr>PETROM!Área_de_impresión</vt:lpstr>
      <vt:lpstr>PROMIGAS!Área_de_impresión</vt:lpstr>
      <vt:lpstr>TOTAL!Área_de_impresión</vt:lpstr>
      <vt:lpstr>Chevron!Títulos_a_imprimir</vt:lpstr>
      <vt:lpstr>'E2'!Títulos_a_imprimir</vt:lpstr>
      <vt:lpstr>ECOP!Títulos_a_imprimir</vt:lpstr>
      <vt:lpstr>EcopeGj!Títulos_a_imprimir</vt:lpstr>
      <vt:lpstr>GDO!Títulos_a_imprimir</vt:lpstr>
      <vt:lpstr>PACIFIC!Títulos_a_imprimir</vt:lpstr>
      <vt:lpstr>TOTAL!Títulos_a_imprimir</vt:lpstr>
    </vt:vector>
  </TitlesOfParts>
  <Company>Ingeniero Eléctrico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Martínez</dc:creator>
  <cp:lastModifiedBy>arquitecsoft</cp:lastModifiedBy>
  <cp:lastPrinted>2012-10-12T16:14:47Z</cp:lastPrinted>
  <dcterms:created xsi:type="dcterms:W3CDTF">1999-07-13T00:28:04Z</dcterms:created>
  <dcterms:modified xsi:type="dcterms:W3CDTF">2013-04-25T21:12:13Z</dcterms:modified>
</cp:coreProperties>
</file>