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4d7386182d4137d5/Ambiente de Trabalho/Estatistica (teste 2)/"/>
    </mc:Choice>
  </mc:AlternateContent>
  <xr:revisionPtr revIDLastSave="147" documentId="8_{C25BA8E9-44AB-487D-831A-2A66FB4728B7}" xr6:coauthVersionLast="47" xr6:coauthVersionMax="47" xr10:uidLastSave="{1A48ECC6-A7B4-4815-BEBC-F8D9C832BB45}"/>
  <bookViews>
    <workbookView xWindow="-110" yWindow="-110" windowWidth="19420" windowHeight="11020" firstSheet="11" activeTab="17" xr2:uid="{00000000-000D-0000-FFFF-FFFF00000000}"/>
  </bookViews>
  <sheets>
    <sheet name="Geral VAD" sheetId="1" r:id="rId1"/>
    <sheet name="3" sheetId="2" r:id="rId2"/>
    <sheet name="5" sheetId="3" r:id="rId3"/>
    <sheet name="6" sheetId="4" r:id="rId4"/>
    <sheet name="Geral Bin" sheetId="5" r:id="rId5"/>
    <sheet name="8" sheetId="6" r:id="rId6"/>
    <sheet name="9" sheetId="7" r:id="rId7"/>
    <sheet name="10" sheetId="13" r:id="rId8"/>
    <sheet name="Folha2" sheetId="14" r:id="rId9"/>
    <sheet name="Geral Poiss" sheetId="8" r:id="rId10"/>
    <sheet name="15" sheetId="9" r:id="rId11"/>
    <sheet name="16" sheetId="12" r:id="rId12"/>
    <sheet name="Extra 1" sheetId="10" r:id="rId13"/>
    <sheet name="Extra 2" sheetId="11" r:id="rId14"/>
    <sheet name="Geral VAC" sheetId="15" r:id="rId15"/>
    <sheet name="18" sheetId="16" r:id="rId16"/>
    <sheet name="Normal Exemplo" sheetId="17" r:id="rId17"/>
    <sheet name="27" sheetId="18" r:id="rId18"/>
    <sheet name="Folha4" sheetId="22" r:id="rId19"/>
    <sheet name="26" sheetId="19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9" l="1"/>
  <c r="M19" i="19"/>
  <c r="N13" i="17"/>
  <c r="N11" i="17"/>
  <c r="M11" i="17"/>
  <c r="M8" i="17"/>
  <c r="K30" i="9"/>
  <c r="L28" i="9"/>
  <c r="K28" i="9"/>
  <c r="K25" i="9"/>
  <c r="L23" i="9"/>
  <c r="K23" i="9"/>
  <c r="L21" i="9"/>
  <c r="K21" i="9"/>
  <c r="K17" i="9"/>
  <c r="L14" i="9"/>
  <c r="K14" i="9"/>
  <c r="L12" i="13"/>
  <c r="J12" i="13"/>
  <c r="J11" i="13"/>
  <c r="L15" i="7"/>
  <c r="K15" i="7"/>
  <c r="K14" i="7"/>
  <c r="I10" i="7"/>
  <c r="L17" i="10"/>
  <c r="K17" i="10"/>
  <c r="I17" i="10"/>
  <c r="D28" i="19" l="1"/>
  <c r="D30" i="19" s="1"/>
  <c r="I17" i="18"/>
  <c r="C25" i="18" s="1"/>
  <c r="G15" i="18"/>
  <c r="C24" i="18" s="1"/>
  <c r="D32" i="17"/>
  <c r="B33" i="17" s="1"/>
  <c r="B10" i="17"/>
  <c r="E45" i="19"/>
  <c r="C44" i="19" s="1"/>
  <c r="E42" i="19"/>
  <c r="C41" i="19" s="1"/>
  <c r="E39" i="19"/>
  <c r="C38" i="19" s="1"/>
  <c r="E36" i="19"/>
  <c r="C35" i="19" s="1"/>
  <c r="E33" i="19"/>
  <c r="C32" i="19" s="1"/>
  <c r="D20" i="19"/>
  <c r="D22" i="19" s="1"/>
  <c r="D24" i="19" s="1"/>
  <c r="E17" i="19"/>
  <c r="G17" i="19" s="1"/>
  <c r="E21" i="18"/>
  <c r="G21" i="18" s="1"/>
  <c r="C27" i="18" s="1"/>
  <c r="G19" i="18"/>
  <c r="E19" i="18"/>
  <c r="G17" i="18"/>
  <c r="E17" i="18"/>
  <c r="E15" i="18"/>
  <c r="B32" i="17"/>
  <c r="B28" i="17"/>
  <c r="B29" i="17" s="1"/>
  <c r="B13" i="17"/>
  <c r="B14" i="17" s="1"/>
  <c r="B9" i="17"/>
  <c r="I19" i="18" l="1"/>
  <c r="C26" i="18" s="1"/>
  <c r="D28" i="17"/>
  <c r="C62" i="16"/>
  <c r="D57" i="16"/>
  <c r="D55" i="16"/>
  <c r="E54" i="16" s="1"/>
  <c r="E59" i="16" s="1"/>
  <c r="E53" i="16"/>
  <c r="C40" i="16"/>
  <c r="C41" i="16" s="1"/>
  <c r="D33" i="16"/>
  <c r="D31" i="16"/>
  <c r="H16" i="16"/>
  <c r="F17" i="14"/>
  <c r="H18" i="14" s="1"/>
  <c r="D9" i="13"/>
  <c r="I12" i="12" l="1"/>
  <c r="H13" i="12" s="1"/>
  <c r="I9" i="12"/>
  <c r="H10" i="12" s="1"/>
  <c r="H15" i="11"/>
  <c r="H17" i="11" s="1"/>
  <c r="H18" i="11" s="1"/>
  <c r="I13" i="10"/>
  <c r="D13" i="10" s="1"/>
  <c r="H21" i="11" l="1"/>
  <c r="H22" i="11"/>
  <c r="F22" i="10"/>
  <c r="F17" i="10"/>
  <c r="H23" i="11" l="1"/>
  <c r="G42" i="9" l="1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27" i="9"/>
  <c r="G26" i="9"/>
  <c r="E22" i="9"/>
  <c r="E20" i="9"/>
  <c r="E17" i="9"/>
  <c r="D10" i="7"/>
  <c r="D10" i="6"/>
  <c r="E25" i="9"/>
  <c r="E24" i="9"/>
  <c r="E23" i="9"/>
  <c r="E21" i="9"/>
  <c r="G19" i="9"/>
  <c r="G13" i="9"/>
  <c r="E20" i="7"/>
  <c r="E25" i="7" s="1"/>
  <c r="F11" i="4" l="1"/>
  <c r="E11" i="4"/>
  <c r="D11" i="4"/>
  <c r="C11" i="4"/>
  <c r="E14" i="4" s="1"/>
  <c r="N10" i="3" l="1"/>
  <c r="Q7" i="3"/>
  <c r="M7" i="3"/>
  <c r="M8" i="3" s="1"/>
  <c r="N8" i="3" s="1"/>
  <c r="S42" i="2"/>
  <c r="L42" i="2"/>
  <c r="V40" i="2"/>
  <c r="V41" i="2" s="1"/>
  <c r="U40" i="2"/>
  <c r="U41" i="2" s="1"/>
  <c r="T40" i="2"/>
  <c r="T41" i="2" s="1"/>
  <c r="S40" i="2"/>
  <c r="S41" i="2" s="1"/>
  <c r="R40" i="2"/>
  <c r="R41" i="2" s="1"/>
  <c r="Q40" i="2"/>
  <c r="Q41" i="2" s="1"/>
  <c r="P40" i="2"/>
  <c r="P41" i="2" s="1"/>
  <c r="O40" i="2"/>
  <c r="O41" i="2" s="1"/>
  <c r="N40" i="2"/>
  <c r="N41" i="2" s="1"/>
  <c r="M40" i="2"/>
  <c r="M41" i="2" s="1"/>
  <c r="L40" i="2"/>
  <c r="T31" i="2"/>
  <c r="V34" i="2"/>
  <c r="U34" i="2"/>
  <c r="T34" i="2"/>
  <c r="S34" i="2"/>
  <c r="R34" i="2"/>
  <c r="Q34" i="2"/>
  <c r="P34" i="2"/>
  <c r="O34" i="2"/>
  <c r="N34" i="2"/>
  <c r="M34" i="2"/>
  <c r="L34" i="2"/>
  <c r="L35" i="2" s="1"/>
  <c r="M35" i="2" s="1"/>
  <c r="N35" i="2" s="1"/>
  <c r="Q29" i="2"/>
  <c r="V26" i="2"/>
  <c r="V27" i="2" s="1"/>
  <c r="U26" i="2"/>
  <c r="U27" i="2" s="1"/>
  <c r="T26" i="2"/>
  <c r="T27" i="2" s="1"/>
  <c r="S26" i="2"/>
  <c r="S27" i="2" s="1"/>
  <c r="R26" i="2"/>
  <c r="R27" i="2" s="1"/>
  <c r="Q26" i="2"/>
  <c r="Q27" i="2" s="1"/>
  <c r="P26" i="2"/>
  <c r="P27" i="2" s="1"/>
  <c r="O26" i="2"/>
  <c r="O27" i="2" s="1"/>
  <c r="N26" i="2"/>
  <c r="N27" i="2" s="1"/>
  <c r="M26" i="2"/>
  <c r="M27" i="2" s="1"/>
  <c r="L26" i="2"/>
  <c r="V12" i="2"/>
  <c r="U12" i="2"/>
  <c r="T12" i="2"/>
  <c r="S12" i="2"/>
  <c r="R12" i="2"/>
  <c r="Q12" i="2"/>
  <c r="P12" i="2"/>
  <c r="O12" i="2"/>
  <c r="N12" i="2"/>
  <c r="M12" i="2"/>
  <c r="L12" i="2"/>
  <c r="L13" i="2" s="1"/>
  <c r="C11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2" i="2"/>
  <c r="D12" i="2"/>
  <c r="E12" i="2"/>
  <c r="F12" i="2"/>
  <c r="G12" i="2"/>
  <c r="H12" i="2"/>
  <c r="D11" i="2"/>
  <c r="E11" i="2"/>
  <c r="F11" i="2"/>
  <c r="G11" i="2"/>
  <c r="H11" i="2"/>
  <c r="O8" i="3" l="1"/>
  <c r="P19" i="3"/>
  <c r="Q16" i="3"/>
  <c r="W40" i="2"/>
  <c r="V42" i="2"/>
  <c r="R42" i="2"/>
  <c r="N42" i="2"/>
  <c r="W26" i="2"/>
  <c r="U42" i="2"/>
  <c r="Q42" i="2"/>
  <c r="M42" i="2"/>
  <c r="O42" i="2"/>
  <c r="M13" i="2"/>
  <c r="T42" i="2"/>
  <c r="P42" i="2"/>
  <c r="L41" i="2"/>
  <c r="W41" i="2" s="1"/>
  <c r="O35" i="2"/>
  <c r="P35" i="2" s="1"/>
  <c r="Q35" i="2" s="1"/>
  <c r="R35" i="2" s="1"/>
  <c r="S35" i="2" s="1"/>
  <c r="T35" i="2" s="1"/>
  <c r="U35" i="2" s="1"/>
  <c r="V35" i="2" s="1"/>
  <c r="W12" i="2"/>
  <c r="L27" i="2"/>
  <c r="W27" i="2" s="1"/>
  <c r="P23" i="2" s="1"/>
  <c r="P46" i="2" s="1"/>
  <c r="W34" i="2"/>
  <c r="N13" i="2"/>
  <c r="O13" i="2" s="1"/>
  <c r="P13" i="2" s="1"/>
  <c r="P17" i="2"/>
  <c r="W42" i="2" l="1"/>
  <c r="N44" i="2" s="1"/>
  <c r="N46" i="2" s="1"/>
  <c r="R46" i="2" s="1"/>
  <c r="L48" i="2" s="1"/>
  <c r="P22" i="3"/>
  <c r="P14" i="3"/>
  <c r="N12" i="3"/>
  <c r="P8" i="3"/>
  <c r="Q13" i="2"/>
  <c r="R13" i="2" s="1"/>
  <c r="P19" i="2"/>
  <c r="S13" i="2" l="1"/>
  <c r="T13" i="2" s="1"/>
  <c r="U13" i="2" s="1"/>
  <c r="V13" i="2" s="1"/>
  <c r="P21" i="2"/>
  <c r="P15" i="2"/>
</calcChain>
</file>

<file path=xl/sharedStrings.xml><?xml version="1.0" encoding="utf-8"?>
<sst xmlns="http://schemas.openxmlformats.org/spreadsheetml/2006/main" count="517" uniqueCount="369">
  <si>
    <t>Exemplo: Lançamento de um dado não viciado</t>
  </si>
  <si>
    <t>S = { 1 , 2 , 3 , 4 , 5 , 6 }</t>
  </si>
  <si>
    <t>A = { Sai o número 4 }</t>
  </si>
  <si>
    <t>B = { Sai um número menor do que 4 }</t>
  </si>
  <si>
    <t>C = { Sai um número par }</t>
  </si>
  <si>
    <r>
      <t>X = " N.</t>
    </r>
    <r>
      <rPr>
        <vertAlign val="superscript"/>
        <sz val="12"/>
        <color theme="1"/>
        <rFont val="Arial"/>
        <family val="2"/>
      </rPr>
      <t>o</t>
    </r>
    <r>
      <rPr>
        <sz val="12"/>
        <color theme="1"/>
        <rFont val="Arial"/>
        <family val="2"/>
      </rPr>
      <t xml:space="preserve"> que sai no lançamento do dado "</t>
    </r>
  </si>
  <si>
    <t>P ( A ) = P ( X = 4 ) = 1/6</t>
  </si>
  <si>
    <t>P ( B ) = P ( X &lt; 4 ) = 3/6</t>
  </si>
  <si>
    <t>P ( C ) = P ( X = 2 v X = 4 v X = 6 ) = 3/6</t>
  </si>
  <si>
    <t>↑</t>
  </si>
  <si>
    <t>Acontecimentos</t>
  </si>
  <si>
    <t>Função probabilidade</t>
  </si>
  <si>
    <t>xi</t>
  </si>
  <si>
    <t xml:space="preserve">p ( xi ) </t>
  </si>
  <si>
    <t>1/6</t>
  </si>
  <si>
    <t xml:space="preserve">p ( xi ) = </t>
  </si>
  <si>
    <t>1/6 , se x = 1 , 2 , 3 , 4 , 5 , 6</t>
  </si>
  <si>
    <t>0, caso contrário</t>
  </si>
  <si>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Arial"/>
        <family val="2"/>
      </rPr>
      <t xml:space="preserve"> p ( xi ) = 1</t>
    </r>
  </si>
  <si>
    <r>
      <rPr>
        <b/>
        <sz val="14"/>
        <color theme="1"/>
        <rFont val="Symbol"/>
        <family val="1"/>
        <charset val="2"/>
      </rPr>
      <t>S</t>
    </r>
    <r>
      <rPr>
        <b/>
        <sz val="14"/>
        <color theme="1"/>
        <rFont val="Arial"/>
        <family val="2"/>
      </rPr>
      <t xml:space="preserve"> p ( xi ) = 1</t>
    </r>
  </si>
  <si>
    <t>Função distribuição</t>
  </si>
  <si>
    <t>F ( xi )</t>
  </si>
  <si>
    <t>2/6</t>
  </si>
  <si>
    <t>3/6</t>
  </si>
  <si>
    <t>4/6</t>
  </si>
  <si>
    <t>5/6</t>
  </si>
  <si>
    <t>6/6</t>
  </si>
  <si>
    <r>
      <t xml:space="preserve">F ( xi ) = P ( X </t>
    </r>
    <r>
      <rPr>
        <b/>
        <sz val="12"/>
        <color theme="1"/>
        <rFont val="Calibri"/>
        <family val="2"/>
      </rPr>
      <t>≤</t>
    </r>
    <r>
      <rPr>
        <b/>
        <sz val="12"/>
        <color theme="1"/>
        <rFont val="Arial"/>
        <family val="2"/>
      </rPr>
      <t xml:space="preserve"> xi )</t>
    </r>
  </si>
  <si>
    <r>
      <t xml:space="preserve">p ( xi ) = P ( X </t>
    </r>
    <r>
      <rPr>
        <b/>
        <sz val="12"/>
        <color theme="1"/>
        <rFont val="Calibri"/>
        <family val="2"/>
      </rPr>
      <t>=</t>
    </r>
    <r>
      <rPr>
        <b/>
        <sz val="12"/>
        <color theme="1"/>
        <rFont val="Arial"/>
        <family val="2"/>
      </rPr>
      <t xml:space="preserve"> xi )</t>
    </r>
  </si>
  <si>
    <t>Exemplo:  p ( 3 ) = P ( X = 3 ) = 1/6</t>
  </si>
  <si>
    <r>
      <t xml:space="preserve">Exemplo:  F ( 3 ) = P ( X </t>
    </r>
    <r>
      <rPr>
        <sz val="12"/>
        <color theme="1"/>
        <rFont val="Calibri"/>
        <family val="2"/>
      </rPr>
      <t>≤</t>
    </r>
    <r>
      <rPr>
        <i/>
        <sz val="12"/>
        <color theme="1"/>
        <rFont val="Arial"/>
        <family val="2"/>
      </rPr>
      <t xml:space="preserve"> 3 ) = 3/6</t>
    </r>
  </si>
  <si>
    <t>Dado 1</t>
  </si>
  <si>
    <t>Dado 2</t>
  </si>
  <si>
    <t>yi</t>
  </si>
  <si>
    <t>p ( yi )</t>
  </si>
  <si>
    <t>1/36</t>
  </si>
  <si>
    <t>2/36</t>
  </si>
  <si>
    <t>3/36</t>
  </si>
  <si>
    <t>4/36</t>
  </si>
  <si>
    <t>5/36</t>
  </si>
  <si>
    <t>6/36</t>
  </si>
  <si>
    <t>SOMA:</t>
  </si>
  <si>
    <t>36/36</t>
  </si>
  <si>
    <t>a)</t>
  </si>
  <si>
    <t>b)</t>
  </si>
  <si>
    <t xml:space="preserve"> ---</t>
  </si>
  <si>
    <t>Exemplos:</t>
  </si>
  <si>
    <r>
      <t xml:space="preserve">P ( X &lt; 4 ) = ? = P ( X </t>
    </r>
    <r>
      <rPr>
        <sz val="12"/>
        <color theme="1"/>
        <rFont val="Calibri"/>
        <family val="2"/>
      </rPr>
      <t>≤</t>
    </r>
    <r>
      <rPr>
        <sz val="12"/>
        <color theme="1"/>
        <rFont val="Arial"/>
        <family val="2"/>
      </rPr>
      <t xml:space="preserve"> 3 ) =</t>
    </r>
  </si>
  <si>
    <r>
      <t xml:space="preserve">P ( X &gt; 6 ) = ? = 1 - P ( X </t>
    </r>
    <r>
      <rPr>
        <sz val="12"/>
        <color theme="1"/>
        <rFont val="Calibri"/>
        <family val="2"/>
      </rPr>
      <t>≤</t>
    </r>
    <r>
      <rPr>
        <sz val="12"/>
        <color theme="1"/>
        <rFont val="Arial"/>
        <family val="2"/>
      </rPr>
      <t xml:space="preserve"> 6 ) =</t>
    </r>
  </si>
  <si>
    <r>
      <t xml:space="preserve">P ( X </t>
    </r>
    <r>
      <rPr>
        <sz val="12"/>
        <color theme="1"/>
        <rFont val="Calibri"/>
        <family val="2"/>
      </rPr>
      <t>≤</t>
    </r>
    <r>
      <rPr>
        <sz val="12"/>
        <color theme="1"/>
        <rFont val="Arial"/>
        <family val="2"/>
      </rPr>
      <t xml:space="preserve"> 8 ) = ? =</t>
    </r>
  </si>
  <si>
    <r>
      <t xml:space="preserve">P ( X </t>
    </r>
    <r>
      <rPr>
        <sz val="12"/>
        <color theme="1"/>
        <rFont val="Calibri"/>
        <family val="2"/>
      </rPr>
      <t>≥</t>
    </r>
    <r>
      <rPr>
        <sz val="12"/>
        <color theme="1"/>
        <rFont val="Arial"/>
        <family val="2"/>
      </rPr>
      <t xml:space="preserve"> 9 ) = ? = 1 - P ( X </t>
    </r>
    <r>
      <rPr>
        <sz val="12"/>
        <color theme="1"/>
        <rFont val="Calibri"/>
        <family val="2"/>
      </rPr>
      <t>≤</t>
    </r>
    <r>
      <rPr>
        <sz val="12"/>
        <color theme="1"/>
        <rFont val="Arial"/>
        <family val="2"/>
      </rPr>
      <t xml:space="preserve"> 8 ) =</t>
    </r>
  </si>
  <si>
    <t>c)</t>
  </si>
  <si>
    <t xml:space="preserve">Média da variável: </t>
  </si>
  <si>
    <t>F ( yi )</t>
  </si>
  <si>
    <t>yi . p ( yi )</t>
  </si>
  <si>
    <r>
      <rPr>
        <b/>
        <sz val="12"/>
        <color theme="1"/>
        <rFont val="Symbol"/>
        <family val="1"/>
        <charset val="2"/>
      </rPr>
      <t>m</t>
    </r>
    <r>
      <rPr>
        <b/>
        <sz val="12"/>
        <color theme="1"/>
        <rFont val="Arial"/>
        <family val="2"/>
      </rPr>
      <t xml:space="preserve"> = </t>
    </r>
    <r>
      <rPr>
        <b/>
        <sz val="12"/>
        <color theme="1"/>
        <rFont val="Symbol"/>
        <family val="1"/>
        <charset val="2"/>
      </rPr>
      <t xml:space="preserve">S </t>
    </r>
    <r>
      <rPr>
        <b/>
        <sz val="12"/>
        <color theme="1"/>
        <rFont val="Arial"/>
        <family val="2"/>
      </rPr>
      <t xml:space="preserve">yi . p ( yi ) = </t>
    </r>
  </si>
  <si>
    <t>Média populacional:</t>
  </si>
  <si>
    <t>Moda populacional:</t>
  </si>
  <si>
    <t>Moda da variável:</t>
  </si>
  <si>
    <t>xi com maior p ( xi )</t>
  </si>
  <si>
    <t>yi com maior p ( yi )</t>
  </si>
  <si>
    <t>Moda =</t>
  </si>
  <si>
    <r>
      <rPr>
        <b/>
        <sz val="12"/>
        <color theme="1"/>
        <rFont val="Symbol"/>
        <family val="1"/>
        <charset val="2"/>
      </rPr>
      <t>h</t>
    </r>
    <r>
      <rPr>
        <b/>
        <sz val="12"/>
        <color theme="1"/>
        <rFont val="Arial"/>
        <family val="2"/>
      </rPr>
      <t xml:space="preserve"> = Valor de yi com o menor F ( yi ) &gt; 0,5 =</t>
    </r>
  </si>
  <si>
    <t>Mediana populacional:</t>
  </si>
  <si>
    <r>
      <t>E [ Y</t>
    </r>
    <r>
      <rPr>
        <b/>
        <vertAlign val="superscript"/>
        <sz val="12"/>
        <color theme="1"/>
        <rFont val="Arial"/>
        <family val="2"/>
      </rPr>
      <t xml:space="preserve"> 2</t>
    </r>
    <r>
      <rPr>
        <b/>
        <sz val="12"/>
        <color theme="1"/>
        <rFont val="Arial"/>
        <family val="2"/>
      </rPr>
      <t xml:space="preserve"> ] = </t>
    </r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Arial"/>
        <family val="2"/>
      </rPr>
      <t xml:space="preserve"> yi</t>
    </r>
    <r>
      <rPr>
        <b/>
        <vertAlign val="superscript"/>
        <sz val="12"/>
        <color theme="1"/>
        <rFont val="Arial"/>
        <family val="2"/>
      </rPr>
      <t xml:space="preserve"> 2</t>
    </r>
    <r>
      <rPr>
        <b/>
        <sz val="12"/>
        <color theme="1"/>
        <rFont val="Arial"/>
        <family val="2"/>
      </rPr>
      <t xml:space="preserve"> p ( yi ) =</t>
    </r>
  </si>
  <si>
    <r>
      <t xml:space="preserve">yi </t>
    </r>
    <r>
      <rPr>
        <vertAlign val="superscript"/>
        <sz val="12"/>
        <color theme="1"/>
        <rFont val="Arial"/>
        <family val="2"/>
      </rPr>
      <t xml:space="preserve"> 2</t>
    </r>
    <r>
      <rPr>
        <sz val="12"/>
        <color theme="1"/>
        <rFont val="Arial"/>
        <family val="2"/>
      </rPr>
      <t>. p ( yi )</t>
    </r>
  </si>
  <si>
    <r>
      <t xml:space="preserve">V [ Y ] = </t>
    </r>
    <r>
      <rPr>
        <b/>
        <sz val="12"/>
        <color theme="1"/>
        <rFont val="Symbol"/>
        <family val="1"/>
        <charset val="2"/>
      </rPr>
      <t>s</t>
    </r>
    <r>
      <rPr>
        <b/>
        <vertAlign val="superscript"/>
        <sz val="12"/>
        <color theme="1"/>
        <rFont val="Arial"/>
        <family val="2"/>
      </rPr>
      <t xml:space="preserve"> 2</t>
    </r>
    <r>
      <rPr>
        <b/>
        <sz val="12"/>
        <color theme="1"/>
        <rFont val="Arial"/>
        <family val="2"/>
      </rPr>
      <t xml:space="preserve"> =  E [ Y</t>
    </r>
    <r>
      <rPr>
        <b/>
        <vertAlign val="superscript"/>
        <sz val="12"/>
        <color theme="1"/>
        <rFont val="Arial"/>
        <family val="2"/>
      </rPr>
      <t xml:space="preserve"> 2</t>
    </r>
    <r>
      <rPr>
        <b/>
        <sz val="12"/>
        <color theme="1"/>
        <rFont val="Arial"/>
        <family val="2"/>
      </rPr>
      <t xml:space="preserve"> ] - </t>
    </r>
    <r>
      <rPr>
        <b/>
        <sz val="12"/>
        <color theme="1"/>
        <rFont val="Symbol"/>
        <family val="1"/>
        <charset val="2"/>
      </rPr>
      <t>m</t>
    </r>
    <r>
      <rPr>
        <b/>
        <vertAlign val="superscript"/>
        <sz val="12"/>
        <color theme="1"/>
        <rFont val="Arial"/>
        <family val="2"/>
      </rPr>
      <t xml:space="preserve"> 2</t>
    </r>
    <r>
      <rPr>
        <b/>
        <sz val="12"/>
        <color theme="1"/>
        <rFont val="Arial"/>
        <family val="2"/>
      </rPr>
      <t xml:space="preserve"> =</t>
    </r>
  </si>
  <si>
    <t xml:space="preserve"> -</t>
  </si>
  <si>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  =</t>
    </r>
  </si>
  <si>
    <r>
      <t xml:space="preserve">Desvio padrão: </t>
    </r>
    <r>
      <rPr>
        <b/>
        <sz val="12"/>
        <color theme="1"/>
        <rFont val="Symbol"/>
        <family val="1"/>
        <charset val="2"/>
      </rPr>
      <t>s</t>
    </r>
  </si>
  <si>
    <t>&lt;=&gt;  k + 2 k + 3 k + 0,4 = 1</t>
  </si>
  <si>
    <t>&lt;=&gt;  6 k = 0,6  &lt;=&gt;  k = 0,1</t>
  </si>
  <si>
    <t>p ( xi )</t>
  </si>
  <si>
    <t>P ( X = 3 ) = ? =</t>
  </si>
  <si>
    <t>c) i)</t>
  </si>
  <si>
    <t>ii)</t>
  </si>
  <si>
    <r>
      <t xml:space="preserve">P ( X </t>
    </r>
    <r>
      <rPr>
        <sz val="12"/>
        <color theme="1"/>
        <rFont val="Calibri"/>
        <family val="2"/>
      </rPr>
      <t>≤</t>
    </r>
    <r>
      <rPr>
        <sz val="12"/>
        <color theme="1"/>
        <rFont val="Arial"/>
        <family val="2"/>
      </rPr>
      <t xml:space="preserve"> 2 ) = ? =</t>
    </r>
  </si>
  <si>
    <t>iii)</t>
  </si>
  <si>
    <r>
      <t xml:space="preserve">P ( X &lt; 3 ) = ? = P ( X </t>
    </r>
    <r>
      <rPr>
        <sz val="12"/>
        <color theme="1"/>
        <rFont val="Calibri"/>
        <family val="2"/>
      </rPr>
      <t>≤</t>
    </r>
    <r>
      <rPr>
        <sz val="12"/>
        <color theme="1"/>
        <rFont val="Arial"/>
        <family val="2"/>
      </rPr>
      <t xml:space="preserve"> 2 ) =</t>
    </r>
  </si>
  <si>
    <t>iv)</t>
  </si>
  <si>
    <r>
      <t xml:space="preserve">P ( X &gt; 1 ) = ? = 1 - P ( X </t>
    </r>
    <r>
      <rPr>
        <sz val="12"/>
        <color theme="1"/>
        <rFont val="Calibri"/>
        <family val="2"/>
      </rPr>
      <t>≤</t>
    </r>
    <r>
      <rPr>
        <sz val="12"/>
        <color theme="1"/>
        <rFont val="Arial"/>
        <family val="2"/>
      </rPr>
      <t xml:space="preserve"> 1 ) =</t>
    </r>
  </si>
  <si>
    <t>v)</t>
  </si>
  <si>
    <r>
      <t xml:space="preserve"> = P ( X = 2 ) / P ( X </t>
    </r>
    <r>
      <rPr>
        <sz val="12"/>
        <color theme="1"/>
        <rFont val="Calibri"/>
        <family val="2"/>
      </rPr>
      <t>≤</t>
    </r>
    <r>
      <rPr>
        <sz val="12"/>
        <color theme="1"/>
        <rFont val="Arial"/>
        <family val="2"/>
      </rPr>
      <t xml:space="preserve"> 2 ) =</t>
    </r>
  </si>
  <si>
    <t>vi)</t>
  </si>
  <si>
    <r>
      <t xml:space="preserve">P ( X = 2 / X &gt; 1 ) = ? = P ( X = 2 </t>
    </r>
    <r>
      <rPr>
        <sz val="12"/>
        <color theme="1"/>
        <rFont val="Calibri"/>
        <family val="2"/>
      </rPr>
      <t>ᴧ</t>
    </r>
    <r>
      <rPr>
        <sz val="12"/>
        <color theme="1"/>
        <rFont val="Arial"/>
        <family val="2"/>
      </rPr>
      <t xml:space="preserve"> X &gt; 1 )  /  P ( X &gt; 1 ) =</t>
    </r>
  </si>
  <si>
    <r>
      <t xml:space="preserve">P ( X &gt; 1 / X &lt; 3 ) = ? = P ( X &gt; 1 </t>
    </r>
    <r>
      <rPr>
        <sz val="12"/>
        <color theme="1"/>
        <rFont val="Calibri"/>
        <family val="2"/>
      </rPr>
      <t>ᴧ</t>
    </r>
    <r>
      <rPr>
        <sz val="12"/>
        <color theme="1"/>
        <rFont val="Arial"/>
        <family val="2"/>
      </rPr>
      <t xml:space="preserve"> X &lt; 3 )  /  P ( X &lt; 3 ) =</t>
    </r>
  </si>
  <si>
    <r>
      <t xml:space="preserve"> = P ( X = 2 ) / ( 1 -  P ( X </t>
    </r>
    <r>
      <rPr>
        <sz val="12"/>
        <color theme="1"/>
        <rFont val="Calibri"/>
        <family val="2"/>
      </rPr>
      <t>≤</t>
    </r>
    <r>
      <rPr>
        <sz val="12"/>
        <color theme="1"/>
        <rFont val="Arial"/>
        <family val="2"/>
      </rPr>
      <t xml:space="preserve"> 1 ) )  =</t>
    </r>
  </si>
  <si>
    <r>
      <t xml:space="preserve">← </t>
    </r>
    <r>
      <rPr>
        <b/>
        <u/>
        <sz val="14"/>
        <color theme="1"/>
        <rFont val="Arial"/>
        <family val="2"/>
      </rPr>
      <t>Variável aleatória</t>
    </r>
  </si>
  <si>
    <t>Mediana da variável:</t>
  </si>
  <si>
    <r>
      <rPr>
        <b/>
        <sz val="14"/>
        <color theme="1"/>
        <rFont val="Symbol"/>
        <family val="1"/>
        <charset val="2"/>
      </rPr>
      <t>m</t>
    </r>
    <r>
      <rPr>
        <b/>
        <sz val="14"/>
        <color theme="1"/>
        <rFont val="Arial"/>
        <family val="2"/>
      </rPr>
      <t xml:space="preserve"> = E [ X ] = </t>
    </r>
    <r>
      <rPr>
        <b/>
        <sz val="14"/>
        <color theme="1"/>
        <rFont val="Symbol"/>
        <family val="1"/>
        <charset val="2"/>
      </rPr>
      <t xml:space="preserve">S </t>
    </r>
    <r>
      <rPr>
        <b/>
        <sz val="14"/>
        <color theme="1"/>
        <rFont val="Arial"/>
        <family val="2"/>
      </rPr>
      <t>xi . p ( xi )</t>
    </r>
  </si>
  <si>
    <t>Variância da variável:</t>
  </si>
  <si>
    <t>sendo:</t>
  </si>
  <si>
    <r>
      <rPr>
        <b/>
        <sz val="12"/>
        <color theme="1"/>
        <rFont val="Symbol"/>
        <family val="1"/>
        <charset val="2"/>
      </rPr>
      <t>h</t>
    </r>
    <r>
      <rPr>
        <b/>
        <sz val="12"/>
        <color theme="1"/>
        <rFont val="Arial"/>
        <family val="2"/>
      </rPr>
      <t xml:space="preserve"> = Valor de xi com o menor F ( xi ) &gt; 0,5 </t>
    </r>
  </si>
  <si>
    <r>
      <t xml:space="preserve">V [ X ] = </t>
    </r>
    <r>
      <rPr>
        <b/>
        <sz val="12"/>
        <color theme="1"/>
        <rFont val="Symbol"/>
        <family val="1"/>
        <charset val="2"/>
      </rPr>
      <t>s</t>
    </r>
    <r>
      <rPr>
        <b/>
        <vertAlign val="superscript"/>
        <sz val="12"/>
        <color theme="1"/>
        <rFont val="Arial"/>
        <family val="2"/>
      </rPr>
      <t xml:space="preserve"> 2</t>
    </r>
    <r>
      <rPr>
        <b/>
        <sz val="12"/>
        <color theme="1"/>
        <rFont val="Arial"/>
        <family val="2"/>
      </rPr>
      <t xml:space="preserve"> =  E [ X</t>
    </r>
    <r>
      <rPr>
        <b/>
        <vertAlign val="superscript"/>
        <sz val="12"/>
        <color theme="1"/>
        <rFont val="Arial"/>
        <family val="2"/>
      </rPr>
      <t xml:space="preserve"> 2</t>
    </r>
    <r>
      <rPr>
        <b/>
        <sz val="12"/>
        <color theme="1"/>
        <rFont val="Arial"/>
        <family val="2"/>
      </rPr>
      <t xml:space="preserve"> ] - </t>
    </r>
    <r>
      <rPr>
        <b/>
        <sz val="12"/>
        <color theme="1"/>
        <rFont val="Symbol"/>
        <family val="1"/>
        <charset val="2"/>
      </rPr>
      <t>m</t>
    </r>
    <r>
      <rPr>
        <b/>
        <vertAlign val="superscript"/>
        <sz val="12"/>
        <color theme="1"/>
        <rFont val="Arial"/>
        <family val="2"/>
      </rPr>
      <t xml:space="preserve"> 2</t>
    </r>
  </si>
  <si>
    <r>
      <t>E [ X</t>
    </r>
    <r>
      <rPr>
        <b/>
        <vertAlign val="superscript"/>
        <sz val="12"/>
        <color theme="1"/>
        <rFont val="Arial"/>
        <family val="2"/>
      </rPr>
      <t xml:space="preserve"> 2</t>
    </r>
    <r>
      <rPr>
        <b/>
        <sz val="12"/>
        <color theme="1"/>
        <rFont val="Arial"/>
        <family val="2"/>
      </rPr>
      <t xml:space="preserve"> ] = </t>
    </r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Arial"/>
        <family val="2"/>
      </rPr>
      <t xml:space="preserve"> xi</t>
    </r>
    <r>
      <rPr>
        <b/>
        <vertAlign val="superscript"/>
        <sz val="12"/>
        <color theme="1"/>
        <rFont val="Arial"/>
        <family val="2"/>
      </rPr>
      <t xml:space="preserve"> 2</t>
    </r>
    <r>
      <rPr>
        <b/>
        <sz val="12"/>
        <color theme="1"/>
        <rFont val="Arial"/>
        <family val="2"/>
      </rPr>
      <t xml:space="preserve"> p ( xi )</t>
    </r>
  </si>
  <si>
    <t>Desvio padrão da variável:</t>
  </si>
  <si>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Arial"/>
        <family val="2"/>
      </rPr>
      <t xml:space="preserve"> = </t>
    </r>
    <r>
      <rPr>
        <b/>
        <sz val="12"/>
        <color theme="1"/>
        <rFont val="Calibri"/>
        <family val="2"/>
      </rPr>
      <t>√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Symbol"/>
        <family val="1"/>
        <charset val="2"/>
      </rPr>
      <t>s</t>
    </r>
    <r>
      <rPr>
        <b/>
        <vertAlign val="superscript"/>
        <sz val="12"/>
        <color theme="1"/>
        <rFont val="Arial"/>
        <family val="2"/>
      </rPr>
      <t xml:space="preserve"> 2</t>
    </r>
  </si>
  <si>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Arial"/>
        <family val="2"/>
      </rPr>
      <t xml:space="preserve"> = </t>
    </r>
    <r>
      <rPr>
        <b/>
        <sz val="12"/>
        <color theme="1"/>
        <rFont val="Calibri"/>
        <family val="2"/>
      </rPr>
      <t>√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Symbol"/>
        <family val="1"/>
        <charset val="2"/>
      </rPr>
      <t>s</t>
    </r>
    <r>
      <rPr>
        <b/>
        <vertAlign val="superscript"/>
        <sz val="12"/>
        <color theme="1"/>
        <rFont val="Arial"/>
        <family val="2"/>
      </rPr>
      <t xml:space="preserve"> 2</t>
    </r>
    <r>
      <rPr>
        <b/>
        <sz val="12"/>
        <color theme="1"/>
        <rFont val="Arial"/>
        <family val="2"/>
      </rPr>
      <t xml:space="preserve"> =</t>
    </r>
  </si>
  <si>
    <t>Coeficiente de variação da variável:</t>
  </si>
  <si>
    <r>
      <t xml:space="preserve">cv = </t>
    </r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Arial"/>
        <family val="2"/>
      </rPr>
      <t xml:space="preserve"> / </t>
    </r>
    <r>
      <rPr>
        <b/>
        <sz val="12"/>
        <color theme="1"/>
        <rFont val="Symbol"/>
        <family val="1"/>
        <charset val="2"/>
      </rPr>
      <t>m</t>
    </r>
  </si>
  <si>
    <t>Todos estes valores são popukacionais!</t>
  </si>
  <si>
    <r>
      <rPr>
        <i/>
        <sz val="12"/>
        <color theme="1"/>
        <rFont val="Arial"/>
        <family val="2"/>
      </rPr>
      <t>ou</t>
    </r>
    <r>
      <rPr>
        <sz val="12"/>
        <color theme="1"/>
        <rFont val="Arial"/>
        <family val="2"/>
      </rPr>
      <t xml:space="preserve"> </t>
    </r>
    <r>
      <rPr>
        <b/>
        <u/>
        <sz val="12"/>
        <color theme="1"/>
        <rFont val="Arial"/>
        <family val="2"/>
      </rPr>
      <t>valor esperado da variável:</t>
    </r>
  </si>
  <si>
    <t>NOTA:</t>
  </si>
  <si>
    <r>
      <t>x</t>
    </r>
    <r>
      <rPr>
        <vertAlign val="subscript"/>
        <sz val="12"/>
        <color theme="1"/>
        <rFont val="Arial"/>
        <family val="2"/>
      </rPr>
      <t>i</t>
    </r>
  </si>
  <si>
    <t>y é diretamente proporcional a x:</t>
  </si>
  <si>
    <t xml:space="preserve">y = k . x </t>
  </si>
  <si>
    <r>
      <t>p ( x</t>
    </r>
    <r>
      <rPr>
        <vertAlign val="subscript"/>
        <sz val="12"/>
        <color theme="1"/>
        <rFont val="Arial"/>
        <family val="2"/>
      </rPr>
      <t>i</t>
    </r>
    <r>
      <rPr>
        <sz val="12"/>
        <color theme="1"/>
        <rFont val="Arial"/>
        <family val="2"/>
      </rPr>
      <t xml:space="preserve"> )</t>
    </r>
  </si>
  <si>
    <t>2 k</t>
  </si>
  <si>
    <t>3 k</t>
  </si>
  <si>
    <t>4 k</t>
  </si>
  <si>
    <t>5 k</t>
  </si>
  <si>
    <t>y = k / x</t>
  </si>
  <si>
    <r>
      <rPr>
        <sz val="12"/>
        <color theme="1"/>
        <rFont val="Symbol"/>
        <family val="1"/>
        <charset val="2"/>
      </rPr>
      <t>S</t>
    </r>
    <r>
      <rPr>
        <sz val="12"/>
        <color theme="1"/>
        <rFont val="Arial"/>
        <family val="2"/>
      </rPr>
      <t xml:space="preserve"> p ( x</t>
    </r>
    <r>
      <rPr>
        <vertAlign val="subscript"/>
        <sz val="12"/>
        <color theme="1"/>
        <rFont val="Arial"/>
        <family val="2"/>
      </rPr>
      <t>i</t>
    </r>
    <r>
      <rPr>
        <sz val="12"/>
        <color theme="1"/>
        <rFont val="Arial"/>
        <family val="2"/>
      </rPr>
      <t xml:space="preserve"> ) = 1    &lt;=&gt;</t>
    </r>
  </si>
  <si>
    <t>P ( X = 2 v X = 4 ) =</t>
  </si>
  <si>
    <t>&lt;=&gt;  2 k + 3 k + 4 k + 5 k = 1  &lt;=&gt;</t>
  </si>
  <si>
    <t xml:space="preserve"> = p ( 2 ) + p ( 4 ) =</t>
  </si>
  <si>
    <t>&lt;=&gt;  14 k = 1  &lt;=&gt;  k = 1/14</t>
  </si>
  <si>
    <t>Este exercício não foi resolvido em aula. Destina-se a trabalho individual.</t>
  </si>
  <si>
    <t>Distribuição binomial</t>
  </si>
  <si>
    <t>3 condições:</t>
  </si>
  <si>
    <t>1a</t>
  </si>
  <si>
    <t>Há uma experiência aleatória que é repetida um número fixo de vezes, n</t>
  </si>
  <si>
    <t>2a</t>
  </si>
  <si>
    <t>Em cada experiência só pode haver dois resultados possíveis</t>
  </si>
  <si>
    <t>Sucesso - o resultado que se pretende contabilizar</t>
  </si>
  <si>
    <t>Falha ou insucesso - o(s) outro(s) resultado(s)</t>
  </si>
  <si>
    <t xml:space="preserve">3a </t>
  </si>
  <si>
    <t>As experiências têm de ser independentes</t>
  </si>
  <si>
    <t>(o resultado de uma não pode afetar os resultados das seguintes)</t>
  </si>
  <si>
    <t>Com reposição.</t>
  </si>
  <si>
    <t>Parâmetros:</t>
  </si>
  <si>
    <t>N.o de experiências:</t>
  </si>
  <si>
    <t>n</t>
  </si>
  <si>
    <t>Probabilidade de sucesso:</t>
  </si>
  <si>
    <t>p</t>
  </si>
  <si>
    <t>Se, em vez das n experiências, se realizar apenas uma experiência,</t>
  </si>
  <si>
    <t>qual é a probabilidade de se obter sucesso?   R: p</t>
  </si>
  <si>
    <t>X  ~  Bi ( n , p )</t>
  </si>
  <si>
    <t>X ~ Bi ( 3 ; 0,5 )</t>
  </si>
  <si>
    <t>10 Azuis + 90 Brancas</t>
  </si>
  <si>
    <t>Y ~ Bi ( 5 ; 0,1 )</t>
  </si>
  <si>
    <t>2 % de defeituosos</t>
  </si>
  <si>
    <t>Z ~ Bi (100 ; 0,02 )</t>
  </si>
  <si>
    <t>q = 1 - p</t>
  </si>
  <si>
    <t>DIST.BINOM.INTERVALO()</t>
  </si>
  <si>
    <t>X = "N.o de tendas com defeito, em 20 tendas"</t>
  </si>
  <si>
    <t>1 semana</t>
  </si>
  <si>
    <t>X = "N.o de prémios "3" em 4 apostas"</t>
  </si>
  <si>
    <t>X ~ Bi ( n = 4 ; p = 0,018 )</t>
  </si>
  <si>
    <t>5 semanas</t>
  </si>
  <si>
    <t>Y = "N.o de semanas com pelo menos um "3", em 5 semanas"</t>
  </si>
  <si>
    <t>Y ~ Bi ( n = 5 ; 0,0701 )</t>
  </si>
  <si>
    <t xml:space="preserve">P ( Y = 5 ) = ? = </t>
  </si>
  <si>
    <t>Distribuição de Poisson</t>
  </si>
  <si>
    <t>X = "N.o de clientes em 30 minutos"</t>
  </si>
  <si>
    <t>X = "N.o de tempestades em 1 ano"</t>
  </si>
  <si>
    <t>X = "N.o de buracos em 5 km de estrada"</t>
  </si>
  <si>
    <t>X " "N.o de árvores, em 2 hectares"</t>
  </si>
  <si>
    <t xml:space="preserve"> -----</t>
  </si>
  <si>
    <r>
      <rPr>
        <b/>
        <sz val="12"/>
        <color theme="1"/>
        <rFont val="Symbol"/>
        <family val="1"/>
        <charset val="2"/>
      </rPr>
      <t>D</t>
    </r>
    <r>
      <rPr>
        <b/>
        <sz val="12"/>
        <color theme="1"/>
        <rFont val="Arial"/>
        <family val="2"/>
      </rPr>
      <t>t</t>
    </r>
    <r>
      <rPr>
        <b/>
        <vertAlign val="subscript"/>
        <sz val="12"/>
        <color theme="1"/>
        <rFont val="Arial"/>
        <family val="2"/>
      </rPr>
      <t>1</t>
    </r>
  </si>
  <si>
    <r>
      <rPr>
        <b/>
        <sz val="12"/>
        <color theme="1"/>
        <rFont val="Symbol"/>
        <family val="1"/>
        <charset val="2"/>
      </rPr>
      <t>l</t>
    </r>
    <r>
      <rPr>
        <b/>
        <vertAlign val="subscript"/>
        <sz val="12"/>
        <color theme="1"/>
        <rFont val="Arial"/>
        <family val="2"/>
      </rPr>
      <t>1</t>
    </r>
  </si>
  <si>
    <r>
      <rPr>
        <b/>
        <sz val="12"/>
        <color theme="1"/>
        <rFont val="Symbol"/>
        <family val="1"/>
        <charset val="2"/>
      </rPr>
      <t>D</t>
    </r>
    <r>
      <rPr>
        <b/>
        <sz val="12"/>
        <color theme="1"/>
        <rFont val="Arial"/>
        <family val="2"/>
      </rPr>
      <t>t</t>
    </r>
    <r>
      <rPr>
        <b/>
        <vertAlign val="subscript"/>
        <sz val="12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</si>
  <si>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rPr>
        <b/>
        <sz val="12"/>
        <color theme="1"/>
        <rFont val="Symbol"/>
        <family val="1"/>
        <charset val="2"/>
      </rPr>
      <t>l</t>
    </r>
    <r>
      <rPr>
        <b/>
        <vertAlign val="sub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 xml:space="preserve"> = ?</t>
    </r>
  </si>
  <si>
    <r>
      <t xml:space="preserve">X ~ Po ( </t>
    </r>
    <r>
      <rPr>
        <b/>
        <sz val="14"/>
        <color theme="1"/>
        <rFont val="Symbol"/>
        <family val="1"/>
        <charset val="2"/>
      </rPr>
      <t>l</t>
    </r>
    <r>
      <rPr>
        <b/>
        <sz val="14"/>
        <color theme="1"/>
        <rFont val="Arial"/>
        <family val="2"/>
      </rPr>
      <t xml:space="preserve"> )</t>
    </r>
  </si>
  <si>
    <t>DIST.POISSON()</t>
  </si>
  <si>
    <t xml:space="preserve"> --------</t>
  </si>
  <si>
    <t>X ~ Po (  32 )</t>
  </si>
  <si>
    <t>P ( X &lt; 2 ) = ? =</t>
  </si>
  <si>
    <t>d)</t>
  </si>
  <si>
    <t>P ( X = 0 ) =</t>
  </si>
  <si>
    <t>P ( X = 1 ) =</t>
  </si>
  <si>
    <t>P ( X = 2 ) =</t>
  </si>
  <si>
    <t>P ( X = 3 ) =</t>
  </si>
  <si>
    <t>P ( X = 4 ) =</t>
  </si>
  <si>
    <t>P ( X = 5 ) =</t>
  </si>
  <si>
    <t>R: 3</t>
  </si>
  <si>
    <r>
      <t xml:space="preserve">X = "N.o de </t>
    </r>
    <r>
      <rPr>
        <b/>
        <sz val="12"/>
        <rFont val="Arial"/>
        <family val="2"/>
      </rPr>
      <t>sucesso</t>
    </r>
    <r>
      <rPr>
        <sz val="12"/>
        <rFont val="Arial"/>
        <family val="2"/>
      </rPr>
      <t xml:space="preserve">s em </t>
    </r>
    <r>
      <rPr>
        <b/>
        <sz val="12"/>
        <rFont val="Arial"/>
        <family val="2"/>
      </rPr>
      <t>n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>experiências"</t>
    </r>
  </si>
  <si>
    <r>
      <t xml:space="preserve">X = "N.o de </t>
    </r>
    <r>
      <rPr>
        <b/>
        <i/>
        <sz val="12"/>
        <rFont val="Arial"/>
        <family val="2"/>
      </rPr>
      <t>caras</t>
    </r>
    <r>
      <rPr>
        <i/>
        <sz val="12"/>
        <rFont val="Arial"/>
        <family val="2"/>
      </rPr>
      <t xml:space="preserve"> em </t>
    </r>
    <r>
      <rPr>
        <b/>
        <i/>
        <sz val="12"/>
        <rFont val="Arial"/>
        <family val="2"/>
      </rPr>
      <t>3</t>
    </r>
    <r>
      <rPr>
        <i/>
        <sz val="12"/>
        <rFont val="Arial"/>
        <family val="2"/>
      </rPr>
      <t xml:space="preserve"> </t>
    </r>
    <r>
      <rPr>
        <b/>
        <i/>
        <sz val="12"/>
        <rFont val="Arial"/>
        <family val="2"/>
      </rPr>
      <t>lançamentos de uma moeda"</t>
    </r>
  </si>
  <si>
    <r>
      <t xml:space="preserve">Y = "N.o de </t>
    </r>
    <r>
      <rPr>
        <b/>
        <i/>
        <sz val="12"/>
        <rFont val="Arial"/>
        <family val="2"/>
      </rPr>
      <t>bolas azuis</t>
    </r>
    <r>
      <rPr>
        <i/>
        <sz val="12"/>
        <rFont val="Arial"/>
        <family val="2"/>
      </rPr>
      <t xml:space="preserve"> em </t>
    </r>
    <r>
      <rPr>
        <b/>
        <i/>
        <sz val="12"/>
        <rFont val="Arial"/>
        <family val="2"/>
      </rPr>
      <t>5</t>
    </r>
    <r>
      <rPr>
        <i/>
        <sz val="12"/>
        <rFont val="Arial"/>
        <family val="2"/>
      </rPr>
      <t xml:space="preserve"> </t>
    </r>
    <r>
      <rPr>
        <b/>
        <i/>
        <sz val="12"/>
        <rFont val="Arial"/>
        <family val="2"/>
      </rPr>
      <t>bolas extraídas de uma caixa"</t>
    </r>
  </si>
  <si>
    <r>
      <t xml:space="preserve">Z= "N.o de </t>
    </r>
    <r>
      <rPr>
        <b/>
        <i/>
        <sz val="12"/>
        <rFont val="Arial"/>
        <family val="2"/>
      </rPr>
      <t>parafusos defeituosos</t>
    </r>
    <r>
      <rPr>
        <i/>
        <sz val="12"/>
        <rFont val="Arial"/>
        <family val="2"/>
      </rPr>
      <t xml:space="preserve"> em </t>
    </r>
    <r>
      <rPr>
        <b/>
        <i/>
        <sz val="12"/>
        <rFont val="Arial"/>
        <family val="2"/>
      </rPr>
      <t>100</t>
    </r>
    <r>
      <rPr>
        <i/>
        <sz val="12"/>
        <rFont val="Arial"/>
        <family val="2"/>
      </rPr>
      <t xml:space="preserve"> </t>
    </r>
    <r>
      <rPr>
        <b/>
        <i/>
        <sz val="12"/>
        <rFont val="Arial"/>
        <family val="2"/>
      </rPr>
      <t>parafusos produzidos"</t>
    </r>
  </si>
  <si>
    <r>
      <rPr>
        <b/>
        <sz val="14"/>
        <rFont val="Symbol"/>
        <family val="1"/>
        <charset val="2"/>
      </rPr>
      <t>m</t>
    </r>
    <r>
      <rPr>
        <b/>
        <sz val="14"/>
        <rFont val="Arial"/>
        <family val="2"/>
      </rPr>
      <t xml:space="preserve"> = n p</t>
    </r>
  </si>
  <si>
    <r>
      <rPr>
        <b/>
        <sz val="14"/>
        <rFont val="Symbol"/>
        <family val="1"/>
        <charset val="2"/>
      </rPr>
      <t>s</t>
    </r>
    <r>
      <rPr>
        <b/>
        <sz val="14"/>
        <rFont val="Arial"/>
        <family val="2"/>
      </rPr>
      <t xml:space="preserve"> </t>
    </r>
    <r>
      <rPr>
        <b/>
        <vertAlign val="superscript"/>
        <sz val="14"/>
        <rFont val="Arial"/>
        <family val="2"/>
      </rPr>
      <t xml:space="preserve">2 </t>
    </r>
    <r>
      <rPr>
        <b/>
        <sz val="14"/>
        <rFont val="Arial"/>
        <family val="2"/>
      </rPr>
      <t>= n p ( 1 - p )</t>
    </r>
  </si>
  <si>
    <r>
      <t xml:space="preserve">P ( X </t>
    </r>
    <r>
      <rPr>
        <sz val="12"/>
        <rFont val="Calibri"/>
        <family val="2"/>
      </rPr>
      <t>≥</t>
    </r>
    <r>
      <rPr>
        <sz val="12"/>
        <rFont val="Arial"/>
        <family val="2"/>
      </rPr>
      <t xml:space="preserve"> 2 ) = ? =</t>
    </r>
  </si>
  <si>
    <t>X ~ Bi ( n = 20 ;p =  0,05 )</t>
  </si>
  <si>
    <t>ou</t>
  </si>
  <si>
    <t>X ~ Bi ( 20 ; 0,05 )</t>
  </si>
  <si>
    <r>
      <t xml:space="preserve">P ( X </t>
    </r>
    <r>
      <rPr>
        <sz val="12"/>
        <rFont val="Calibri"/>
        <family val="2"/>
      </rPr>
      <t>≥</t>
    </r>
    <r>
      <rPr>
        <sz val="12"/>
        <rFont val="Arial"/>
        <family val="2"/>
      </rPr>
      <t xml:space="preserve"> 1 ) = ? =</t>
    </r>
  </si>
  <si>
    <r>
      <t xml:space="preserve">P ( X </t>
    </r>
    <r>
      <rPr>
        <sz val="12"/>
        <color theme="0"/>
        <rFont val="Calibri"/>
        <family val="2"/>
      </rPr>
      <t>≥</t>
    </r>
    <r>
      <rPr>
        <sz val="12"/>
        <color theme="0"/>
        <rFont val="Arial"/>
        <family val="2"/>
      </rPr>
      <t xml:space="preserve"> 1 ) = ? =</t>
    </r>
  </si>
  <si>
    <t>x = "N.o de prémios "3", em 20 apostas"</t>
  </si>
  <si>
    <t>X ~ Bi ( n = 20 ; 0,018 )</t>
  </si>
  <si>
    <t>X = "N.o de bolhinhas , em 20 cL de limonada"</t>
  </si>
  <si>
    <r>
      <rPr>
        <b/>
        <sz val="14"/>
        <color theme="1"/>
        <rFont val="Symbol"/>
        <family val="1"/>
        <charset val="2"/>
      </rPr>
      <t>m</t>
    </r>
    <r>
      <rPr>
        <b/>
        <sz val="14"/>
        <color theme="1"/>
        <rFont val="Arial"/>
        <family val="2"/>
      </rPr>
      <t xml:space="preserve"> = </t>
    </r>
    <r>
      <rPr>
        <b/>
        <sz val="14"/>
        <color theme="1"/>
        <rFont val="Symbol"/>
        <family val="1"/>
        <charset val="2"/>
      </rPr>
      <t>l</t>
    </r>
  </si>
  <si>
    <r>
      <rPr>
        <b/>
        <sz val="14"/>
        <color theme="1"/>
        <rFont val="Symbol"/>
        <family val="1"/>
        <charset val="2"/>
      </rPr>
      <t>s</t>
    </r>
    <r>
      <rPr>
        <b/>
        <vertAlign val="superscript"/>
        <sz val="14"/>
        <color theme="1"/>
        <rFont val="Arial"/>
        <family val="2"/>
      </rPr>
      <t xml:space="preserve"> 2</t>
    </r>
    <r>
      <rPr>
        <b/>
        <sz val="14"/>
        <color theme="1"/>
        <rFont val="Arial"/>
        <family val="2"/>
      </rPr>
      <t xml:space="preserve"> = </t>
    </r>
    <r>
      <rPr>
        <b/>
        <sz val="14"/>
        <color theme="1"/>
        <rFont val="Symbol"/>
        <family val="1"/>
        <charset val="2"/>
      </rPr>
      <t>l</t>
    </r>
  </si>
  <si>
    <r>
      <t xml:space="preserve">X = "N.o de clientes, em </t>
    </r>
    <r>
      <rPr>
        <sz val="12"/>
        <rFont val="Symbol"/>
        <family val="1"/>
        <charset val="2"/>
      </rPr>
      <t>D</t>
    </r>
    <r>
      <rPr>
        <sz val="12"/>
        <rFont val="Arial"/>
        <family val="2"/>
      </rPr>
      <t>t"</t>
    </r>
  </si>
  <si>
    <r>
      <t xml:space="preserve">X ~ Po ( </t>
    </r>
    <r>
      <rPr>
        <sz val="12"/>
        <rFont val="Symbol"/>
        <family val="1"/>
        <charset val="2"/>
      </rPr>
      <t>l</t>
    </r>
    <r>
      <rPr>
        <sz val="12"/>
        <rFont val="Arial"/>
        <family val="2"/>
      </rPr>
      <t xml:space="preserve"> )</t>
    </r>
  </si>
  <si>
    <r>
      <rPr>
        <sz val="12"/>
        <rFont val="Symbol"/>
        <family val="1"/>
        <charset val="2"/>
      </rPr>
      <t>D</t>
    </r>
    <r>
      <rPr>
        <sz val="12"/>
        <rFont val="Arial"/>
        <family val="2"/>
      </rPr>
      <t xml:space="preserve">t = 1 h  </t>
    </r>
    <r>
      <rPr>
        <sz val="12"/>
        <rFont val="Calibri"/>
        <family val="2"/>
      </rPr>
      <t>→</t>
    </r>
    <r>
      <rPr>
        <sz val="12"/>
        <rFont val="Arial"/>
        <family val="2"/>
      </rPr>
      <t xml:space="preserve">  </t>
    </r>
    <r>
      <rPr>
        <sz val="12"/>
        <rFont val="Symbol"/>
        <family val="1"/>
        <charset val="2"/>
      </rPr>
      <t>l</t>
    </r>
    <r>
      <rPr>
        <sz val="12"/>
        <rFont val="Arial"/>
        <family val="2"/>
      </rPr>
      <t xml:space="preserve"> = 3,2</t>
    </r>
  </si>
  <si>
    <r>
      <rPr>
        <sz val="12"/>
        <rFont val="Symbol"/>
        <family val="1"/>
        <charset val="2"/>
      </rPr>
      <t>D</t>
    </r>
    <r>
      <rPr>
        <sz val="12"/>
        <rFont val="Arial"/>
        <family val="2"/>
      </rPr>
      <t>t =</t>
    </r>
  </si>
  <si>
    <r>
      <rPr>
        <sz val="12"/>
        <rFont val="Symbol"/>
        <family val="1"/>
        <charset val="2"/>
      </rPr>
      <t>l</t>
    </r>
    <r>
      <rPr>
        <sz val="12"/>
        <rFont val="Arial"/>
        <family val="2"/>
      </rPr>
      <t xml:space="preserve"> =</t>
    </r>
  </si>
  <si>
    <r>
      <rPr>
        <sz val="12"/>
        <rFont val="Symbol"/>
        <family val="1"/>
        <charset val="2"/>
      </rPr>
      <t>l</t>
    </r>
    <r>
      <rPr>
        <sz val="12"/>
        <rFont val="Arial"/>
        <family val="2"/>
      </rPr>
      <t xml:space="preserve"> = ? =</t>
    </r>
  </si>
  <si>
    <t xml:space="preserve">R: </t>
  </si>
  <si>
    <t>P ( X = 6 ) =</t>
  </si>
  <si>
    <t>P ( X = 7 ) =</t>
  </si>
  <si>
    <t>P ( X = 8 ) =</t>
  </si>
  <si>
    <t>P ( X = 9 ) =</t>
  </si>
  <si>
    <t>P ( X = 10 ) =</t>
  </si>
  <si>
    <t>P ( X = 11 ) =</t>
  </si>
  <si>
    <t>P ( X = 12 ) =</t>
  </si>
  <si>
    <t>P ( X = 13 ) =</t>
  </si>
  <si>
    <t>P ( X = 14 ) =</t>
  </si>
  <si>
    <t>P ( X = 15 ) =</t>
  </si>
  <si>
    <t>P ( X = 16 ) =</t>
  </si>
  <si>
    <t>P ( X = 17 ) =</t>
  </si>
  <si>
    <t>P ( X = 18 ) =</t>
  </si>
  <si>
    <t>Uma loja comercializa um bem perecível ao fim de 7 dias.</t>
  </si>
  <si>
    <t>No início de cada semana, a loja adquire 5 unidades desse bem.</t>
  </si>
  <si>
    <t>A procura deste produto obedece a uma distribuição de Poisson com média de 0,8 / dia.</t>
  </si>
  <si>
    <r>
      <rPr>
        <sz val="10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 =</t>
    </r>
  </si>
  <si>
    <t>dia</t>
  </si>
  <si>
    <r>
      <t xml:space="preserve">X ~ Po ( </t>
    </r>
    <r>
      <rPr>
        <sz val="10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= </t>
    </r>
  </si>
  <si>
    <t>)</t>
  </si>
  <si>
    <t>a) Qual é a probabilidade de haver uma ruptura de stock?</t>
  </si>
  <si>
    <t>dias</t>
  </si>
  <si>
    <t>? =</t>
  </si>
  <si>
    <t>P ( X ≥</t>
  </si>
  <si>
    <t>) =</t>
  </si>
  <si>
    <t xml:space="preserve"> = 1 - P ( X &lt;</t>
  </si>
  <si>
    <t xml:space="preserve"> = 1 - P ( X ≤</t>
  </si>
  <si>
    <t>b) Qual é a probabilidade de a loja não vender numa semana todas as unidades por ela adquiridas?</t>
  </si>
  <si>
    <t>P ( X &lt;</t>
  </si>
  <si>
    <t xml:space="preserve"> = P ( X ≤</t>
  </si>
  <si>
    <t>Numa repartição, o tempo de atendimento de um cliente é cerca de 10 minutos.</t>
  </si>
  <si>
    <t>Os clientes chegam à média de 3 por hora.</t>
  </si>
  <si>
    <t>a)  Se houver apenas um empregado no atendimento, qual é a probabilidade de um cliente</t>
  </si>
  <si>
    <t>ter de esperar para ser atendido?</t>
  </si>
  <si>
    <r>
      <rPr>
        <sz val="10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t = </t>
    </r>
  </si>
  <si>
    <t>1 hora</t>
  </si>
  <si>
    <r>
      <rPr>
        <sz val="10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=</t>
    </r>
  </si>
  <si>
    <r>
      <rPr>
        <sz val="10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</si>
  <si>
    <t>l</t>
  </si>
  <si>
    <r>
      <rPr>
        <sz val="10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?</t>
    </r>
  </si>
  <si>
    <t>P ( X =</t>
  </si>
  <si>
    <t>b)  E se houver 2 empregados?</t>
  </si>
  <si>
    <r>
      <t>X = "N.</t>
    </r>
    <r>
      <rPr>
        <b/>
        <i/>
        <vertAlign val="superscript"/>
        <sz val="12"/>
        <color theme="1"/>
        <rFont val="Arial"/>
        <family val="2"/>
      </rPr>
      <t>o</t>
    </r>
    <r>
      <rPr>
        <b/>
        <i/>
        <sz val="12"/>
        <color theme="1"/>
        <rFont val="Arial"/>
        <family val="2"/>
      </rPr>
      <t xml:space="preserve"> de buracos em </t>
    </r>
    <r>
      <rPr>
        <b/>
        <i/>
        <sz val="12"/>
        <color theme="1"/>
        <rFont val="Symbol"/>
        <family val="1"/>
        <charset val="2"/>
      </rPr>
      <t>D</t>
    </r>
    <r>
      <rPr>
        <b/>
        <i/>
        <sz val="12"/>
        <color theme="1"/>
        <rFont val="Arial"/>
        <family val="2"/>
      </rPr>
      <t>t"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</si>
  <si>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t =</t>
    </r>
  </si>
  <si>
    <r>
      <t xml:space="preserve">m  </t>
    </r>
    <r>
      <rPr>
        <sz val="12"/>
        <color theme="1"/>
        <rFont val="Calibri"/>
        <family val="2"/>
      </rPr>
      <t>→</t>
    </r>
  </si>
  <si>
    <r>
      <t xml:space="preserve">X ~ Po ( </t>
    </r>
    <r>
      <rPr>
        <sz val="12"/>
        <color theme="1"/>
        <rFont val="Symbol"/>
        <family val="1"/>
        <charset val="2"/>
      </rPr>
      <t>l</t>
    </r>
    <r>
      <rPr>
        <sz val="12"/>
        <color theme="1"/>
        <rFont val="Arial"/>
        <family val="2"/>
      </rPr>
      <t xml:space="preserve"> =</t>
    </r>
  </si>
  <si>
    <t>)   =  ?     =</t>
  </si>
  <si>
    <r>
      <t>Parâmetro:  Média: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Symbol"/>
        <family val="1"/>
        <charset val="2"/>
      </rPr>
      <t>l</t>
    </r>
  </si>
  <si>
    <r>
      <t xml:space="preserve">No entanto, </t>
    </r>
    <r>
      <rPr>
        <b/>
        <i/>
        <sz val="12"/>
        <color theme="1"/>
        <rFont val="Symbol"/>
        <family val="1"/>
        <charset val="2"/>
      </rPr>
      <t>D</t>
    </r>
    <r>
      <rPr>
        <b/>
        <i/>
        <sz val="12"/>
        <color theme="1"/>
        <rFont val="Arial"/>
        <family val="2"/>
      </rPr>
      <t xml:space="preserve">t influencia o valor de </t>
    </r>
    <r>
      <rPr>
        <b/>
        <i/>
        <sz val="12"/>
        <color theme="1"/>
        <rFont val="Symbol"/>
        <family val="1"/>
        <charset val="2"/>
      </rPr>
      <t>l</t>
    </r>
    <r>
      <rPr>
        <b/>
        <i/>
        <sz val="12"/>
        <color theme="1"/>
        <rFont val="Arial"/>
        <family val="2"/>
      </rPr>
      <t>.</t>
    </r>
  </si>
  <si>
    <r>
      <t xml:space="preserve">O intervalo de tempo fixo etc, </t>
    </r>
    <r>
      <rPr>
        <i/>
        <sz val="12"/>
        <color theme="1"/>
        <rFont val="Symbol"/>
        <family val="1"/>
        <charset val="2"/>
      </rPr>
      <t>D</t>
    </r>
    <r>
      <rPr>
        <i/>
        <sz val="12"/>
        <color theme="1"/>
        <rFont val="Arial"/>
        <family val="2"/>
      </rPr>
      <t>t, não é um parâmetro.</t>
    </r>
  </si>
  <si>
    <t>X = " N.o de peças defeituosas em 2 peças inspecionadas"</t>
  </si>
  <si>
    <t>X ~ Bi ( n = 2 ; p = 0,03 )</t>
  </si>
  <si>
    <r>
      <t xml:space="preserve">P ( X </t>
    </r>
    <r>
      <rPr>
        <sz val="12"/>
        <color theme="1"/>
        <rFont val="Calibri"/>
        <family val="2"/>
      </rPr>
      <t>≥</t>
    </r>
    <r>
      <rPr>
        <sz val="12"/>
        <color theme="1"/>
        <rFont val="Arial"/>
        <family val="2"/>
      </rPr>
      <t xml:space="preserve"> 1 ) = ? =</t>
    </r>
  </si>
  <si>
    <t>DIST.BINOM.INTEVALO()</t>
  </si>
  <si>
    <r>
      <t xml:space="preserve">X = " N.o de avarias, em </t>
    </r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t"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</si>
  <si>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 xml:space="preserve">t = </t>
    </r>
  </si>
  <si>
    <r>
      <rPr>
        <sz val="12"/>
        <color theme="1"/>
        <rFont val="Symbol"/>
        <family val="1"/>
        <charset val="2"/>
      </rPr>
      <t xml:space="preserve">l </t>
    </r>
    <r>
      <rPr>
        <sz val="12"/>
        <color theme="1"/>
        <rFont val="Arial"/>
        <family val="2"/>
      </rPr>
      <t>=</t>
    </r>
  </si>
  <si>
    <r>
      <t xml:space="preserve">P ( X </t>
    </r>
    <r>
      <rPr>
        <sz val="12"/>
        <color theme="1"/>
        <rFont val="Calibri"/>
        <family val="2"/>
      </rPr>
      <t>≥</t>
    </r>
    <r>
      <rPr>
        <sz val="12"/>
        <color theme="1"/>
        <rFont val="Arial"/>
        <family val="2"/>
      </rPr>
      <t xml:space="preserve"> 1 ) = ? = 1 - P ( X &lt; 1 ) = 1 - P ( X = 0 ) =</t>
    </r>
  </si>
  <si>
    <t>20 máquinas</t>
  </si>
  <si>
    <t>20 x 2 = 40</t>
  </si>
  <si>
    <t>Etc…</t>
  </si>
  <si>
    <t>Variáveis Aleatórias Contínuas</t>
  </si>
  <si>
    <r>
      <t xml:space="preserve">P ( X = x ) </t>
    </r>
    <r>
      <rPr>
        <b/>
        <sz val="12"/>
        <color theme="1"/>
        <rFont val="Calibri"/>
        <family val="2"/>
      </rPr>
      <t>→</t>
    </r>
    <r>
      <rPr>
        <b/>
        <sz val="16.8"/>
        <color theme="1"/>
        <rFont val="Arial"/>
        <family val="2"/>
      </rPr>
      <t xml:space="preserve"> 0</t>
    </r>
  </si>
  <si>
    <t>Função densidade de probabilidade, f.d.p.</t>
  </si>
  <si>
    <t>f ( x )</t>
  </si>
  <si>
    <t>AT = ( B + b ) / 2 x h =( 4 + 1 ) / 2 x k = 1  &lt;=&gt;  k = 2/5 =</t>
  </si>
  <si>
    <t xml:space="preserve">P1 ( 3 ; 0,4 ) </t>
  </si>
  <si>
    <t>P2 ( 5 , 0 )</t>
  </si>
  <si>
    <t>y = 1 - 0,2 x</t>
  </si>
  <si>
    <r>
      <t xml:space="preserve">x = 4 </t>
    </r>
    <r>
      <rPr>
        <sz val="12"/>
        <color theme="1"/>
        <rFont val="Calibri"/>
        <family val="2"/>
      </rPr>
      <t>→</t>
    </r>
    <r>
      <rPr>
        <sz val="12"/>
        <color theme="1"/>
        <rFont val="Arial"/>
        <family val="2"/>
      </rPr>
      <t xml:space="preserve"> y = </t>
    </r>
  </si>
  <si>
    <t>A = 1 x 0,2 / 2 =</t>
  </si>
  <si>
    <t>P ( X &gt; 4 ) = ? = A</t>
  </si>
  <si>
    <t>P ( X &lt; 2,5 ) = ? = A</t>
  </si>
  <si>
    <t>A = ( B + b ) / 2 x h =</t>
  </si>
  <si>
    <t xml:space="preserve"> = ( 1,5 + 0,5 ) / 2 x 0,4 =</t>
  </si>
  <si>
    <t xml:space="preserve"> =</t>
  </si>
  <si>
    <t>TPC</t>
  </si>
  <si>
    <t>e)</t>
  </si>
  <si>
    <r>
      <t xml:space="preserve">P ( X &gt; 2 </t>
    </r>
    <r>
      <rPr>
        <sz val="12"/>
        <color theme="1"/>
        <rFont val="Calibri"/>
        <family val="2"/>
      </rPr>
      <t>ᴧ</t>
    </r>
    <r>
      <rPr>
        <sz val="12"/>
        <color theme="1"/>
        <rFont val="Arial"/>
        <family val="2"/>
      </rPr>
      <t xml:space="preserve"> X &lt; 4 ) / P ( X &lt; 4 ) =</t>
    </r>
  </si>
  <si>
    <t>P ( X &lt; 4 ) = 1 - b ) = 1 - 0,1 =</t>
  </si>
  <si>
    <t>P ( 2 &lt; X &lt; 4 ) / P ( X &lt; 4 ) =</t>
  </si>
  <si>
    <t xml:space="preserve">A1 = c x l = 1 x 0,4 = </t>
  </si>
  <si>
    <t>A2 = ( B + b ) / 2 x h =</t>
  </si>
  <si>
    <t xml:space="preserve">  = (0,4 + 0,2 ) / 2 x 1 =</t>
  </si>
  <si>
    <t>P ( 2 &lt; X &lt; 4 ) = A = A1 + A2 =</t>
  </si>
  <si>
    <t>P ( X &gt; 2 / X &lt; 4 ) = ?</t>
  </si>
  <si>
    <t xml:space="preserve">P ( X &gt; 2 / X &lt; 4 ) =  A / 0,9 = </t>
  </si>
  <si>
    <t>f ( x ) = F ' ( x )</t>
  </si>
  <si>
    <r>
      <t xml:space="preserve">F ( x ) = P ( X &lt; x ) = P ( X </t>
    </r>
    <r>
      <rPr>
        <sz val="12"/>
        <color theme="1"/>
        <rFont val="Calibri"/>
        <family val="2"/>
      </rPr>
      <t>≤</t>
    </r>
    <r>
      <rPr>
        <sz val="12"/>
        <color theme="1"/>
        <rFont val="Arial"/>
        <family val="2"/>
      </rPr>
      <t xml:space="preserve"> x )</t>
    </r>
  </si>
  <si>
    <t>Importante:  Foram dadas mais indicações no quadro, na aula.</t>
  </si>
  <si>
    <t>O exercício 19 foi resolvido em aula, no quadro.</t>
  </si>
  <si>
    <t>Exemplo:</t>
  </si>
  <si>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Arial"/>
        <family val="2"/>
      </rPr>
      <t xml:space="preserve"> =</t>
    </r>
  </si>
  <si>
    <r>
      <rPr>
        <sz val="12"/>
        <color theme="1"/>
        <rFont val="Symbol"/>
        <family val="1"/>
        <charset val="2"/>
      </rPr>
      <t>s</t>
    </r>
    <r>
      <rPr>
        <sz val="12"/>
        <color theme="1"/>
        <rFont val="Arial"/>
        <family val="2"/>
      </rPr>
      <t xml:space="preserve"> =</t>
    </r>
  </si>
  <si>
    <t>P ( X &lt; 28 ) = ? =</t>
  </si>
  <si>
    <t>P ( Z &lt; ( 28 - 25 ) / 4  ) =</t>
  </si>
  <si>
    <t xml:space="preserve"> = P ( Z &lt;</t>
  </si>
  <si>
    <t xml:space="preserve">) = </t>
  </si>
  <si>
    <t>DIST.S.NORM()</t>
  </si>
  <si>
    <t xml:space="preserve">P ( X &lt; 19 ) = ? = </t>
  </si>
  <si>
    <t>P ( Z &lt; ( 19 - 25 ) / 4  ) =</t>
  </si>
  <si>
    <t xml:space="preserve"> = P ( Z &lt; </t>
  </si>
  <si>
    <t xml:space="preserve">P ( X &gt; 26,5 ) = ? = </t>
  </si>
  <si>
    <t>P ( Z &gt; ( 26,5 - 25 ) / 4  ) =</t>
  </si>
  <si>
    <t xml:space="preserve"> = P ( Z &gt;</t>
  </si>
  <si>
    <t>1 - DIST.S.NORM()</t>
  </si>
  <si>
    <t>P ( 21 &lt; X &lt; 27 ) = ? =</t>
  </si>
  <si>
    <t>) =  1 -</t>
  </si>
  <si>
    <t>P ( (21 - 25)/4   &lt; Z &lt;  (27 - 25)/4  ) =</t>
  </si>
  <si>
    <t xml:space="preserve"> = P (</t>
  </si>
  <si>
    <t xml:space="preserve">&lt; Z &lt; </t>
  </si>
  <si>
    <t xml:space="preserve"> = </t>
  </si>
  <si>
    <t>DIST.S.NORM(0,5;1) - DIST.S.NORM(-1;1)</t>
  </si>
  <si>
    <t>X = "Diâmetro de uma laranja, em cm"</t>
  </si>
  <si>
    <t xml:space="preserve">P ( X &gt; 12 ) = ? = </t>
  </si>
  <si>
    <t>P ( Z &gt;</t>
  </si>
  <si>
    <t>P ( 10 &lt; X &lt; 12 ) = ? =</t>
  </si>
  <si>
    <t xml:space="preserve">P ( </t>
  </si>
  <si>
    <t>&lt; Z &lt;</t>
  </si>
  <si>
    <t>P ( 8 &lt; X &lt; 10 ) = ? =</t>
  </si>
  <si>
    <t xml:space="preserve">P ( X &lt; 8 ) = ? = </t>
  </si>
  <si>
    <t>Categoria</t>
  </si>
  <si>
    <t>A</t>
  </si>
  <si>
    <t>B</t>
  </si>
  <si>
    <t>D</t>
  </si>
  <si>
    <t>C</t>
  </si>
  <si>
    <t>%</t>
  </si>
  <si>
    <t>X = "QI de um Aluno"</t>
  </si>
  <si>
    <r>
      <t xml:space="preserve">Vou supor que X ~ N (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Arial"/>
        <family val="2"/>
      </rPr>
      <t xml:space="preserve"> , </t>
    </r>
    <r>
      <rPr>
        <sz val="12"/>
        <color theme="1"/>
        <rFont val="Symbol"/>
        <family val="1"/>
        <charset val="2"/>
      </rPr>
      <t>s</t>
    </r>
    <r>
      <rPr>
        <sz val="12"/>
        <color theme="1"/>
        <rFont val="Arial"/>
        <family val="2"/>
      </rPr>
      <t xml:space="preserve"> )</t>
    </r>
  </si>
  <si>
    <t xml:space="preserve">P ( X &gt; 86 ) = ? = P ( Z &gt; </t>
  </si>
  <si>
    <t>g)</t>
  </si>
  <si>
    <t xml:space="preserve">P ( X &lt; k? ) = </t>
  </si>
  <si>
    <t>( 84,2 % )</t>
  </si>
  <si>
    <t xml:space="preserve">z = </t>
  </si>
  <si>
    <t>INV.S.NORM()</t>
  </si>
  <si>
    <t>Introduzir sempre a área à esquerda!</t>
  </si>
  <si>
    <t>k =</t>
  </si>
  <si>
    <r>
      <t xml:space="preserve">k = </t>
    </r>
    <r>
      <rPr>
        <b/>
        <sz val="14"/>
        <color rgb="FF0070C0"/>
        <rFont val="Symbol"/>
        <family val="1"/>
        <charset val="2"/>
      </rPr>
      <t>m</t>
    </r>
    <r>
      <rPr>
        <b/>
        <sz val="14"/>
        <color rgb="FF0070C0"/>
        <rFont val="Arial"/>
        <family val="2"/>
      </rPr>
      <t xml:space="preserve"> + z </t>
    </r>
    <r>
      <rPr>
        <b/>
        <sz val="14"/>
        <color rgb="FF0070C0"/>
        <rFont val="Symbol"/>
        <family val="1"/>
        <charset val="2"/>
      </rPr>
      <t>s</t>
    </r>
  </si>
  <si>
    <t>f)</t>
  </si>
  <si>
    <t xml:space="preserve">P ( X &gt; k? ) = </t>
  </si>
  <si>
    <t>( 2,3 % )</t>
  </si>
  <si>
    <t>( 100 % - 2,3 % )</t>
  </si>
  <si>
    <t>h)</t>
  </si>
  <si>
    <r>
      <t>P</t>
    </r>
    <r>
      <rPr>
        <vertAlign val="subscript"/>
        <sz val="12"/>
        <color theme="1"/>
        <rFont val="Arial"/>
        <family val="2"/>
      </rPr>
      <t>10</t>
    </r>
    <r>
      <rPr>
        <sz val="12"/>
        <color theme="1"/>
        <rFont val="Arial"/>
        <family val="2"/>
      </rPr>
      <t xml:space="preserve"> = ? =</t>
    </r>
  </si>
  <si>
    <t>z =</t>
  </si>
  <si>
    <r>
      <t>P</t>
    </r>
    <r>
      <rPr>
        <vertAlign val="subscript"/>
        <sz val="12"/>
        <color theme="1"/>
        <rFont val="Arial"/>
        <family val="2"/>
      </rPr>
      <t>25</t>
    </r>
    <r>
      <rPr>
        <sz val="12"/>
        <color theme="1"/>
        <rFont val="Arial"/>
        <family val="2"/>
      </rPr>
      <t xml:space="preserve"> = ? =</t>
    </r>
  </si>
  <si>
    <t>(25 % )</t>
  </si>
  <si>
    <t>(10 % )</t>
  </si>
  <si>
    <r>
      <t>P</t>
    </r>
    <r>
      <rPr>
        <vertAlign val="subscript"/>
        <sz val="12"/>
        <color theme="1"/>
        <rFont val="Arial"/>
        <family val="2"/>
      </rPr>
      <t>50</t>
    </r>
    <r>
      <rPr>
        <sz val="12"/>
        <color theme="1"/>
        <rFont val="Arial"/>
        <family val="2"/>
      </rPr>
      <t xml:space="preserve"> = ? =</t>
    </r>
  </si>
  <si>
    <t>(50 % )</t>
  </si>
  <si>
    <r>
      <t>O P</t>
    </r>
    <r>
      <rPr>
        <b/>
        <i/>
        <vertAlign val="subscript"/>
        <sz val="12"/>
        <color theme="1"/>
        <rFont val="Arial"/>
        <family val="2"/>
      </rPr>
      <t>50</t>
    </r>
    <r>
      <rPr>
        <b/>
        <i/>
        <sz val="12"/>
        <color theme="1"/>
        <rFont val="Arial"/>
        <family val="2"/>
      </rPr>
      <t xml:space="preserve"> é sempre igual à </t>
    </r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Arial"/>
        <family val="2"/>
      </rPr>
      <t>!!</t>
    </r>
  </si>
  <si>
    <r>
      <t>P</t>
    </r>
    <r>
      <rPr>
        <vertAlign val="subscript"/>
        <sz val="12"/>
        <color theme="1"/>
        <rFont val="Arial"/>
        <family val="2"/>
      </rPr>
      <t>80</t>
    </r>
    <r>
      <rPr>
        <sz val="12"/>
        <color theme="1"/>
        <rFont val="Arial"/>
        <family val="2"/>
      </rPr>
      <t xml:space="preserve"> = ? =</t>
    </r>
  </si>
  <si>
    <r>
      <t>P</t>
    </r>
    <r>
      <rPr>
        <vertAlign val="subscript"/>
        <sz val="12"/>
        <color theme="1"/>
        <rFont val="Arial"/>
        <family val="2"/>
      </rPr>
      <t>90</t>
    </r>
    <r>
      <rPr>
        <sz val="12"/>
        <color theme="1"/>
        <rFont val="Arial"/>
        <family val="2"/>
      </rPr>
      <t xml:space="preserve"> = ? =</t>
    </r>
  </si>
  <si>
    <t>(80 % )</t>
  </si>
  <si>
    <t>(90 % )</t>
  </si>
  <si>
    <t>X  ~  N ( 25 ; 4 )</t>
  </si>
  <si>
    <r>
      <t xml:space="preserve">Vou supor que: X ~ N ( </t>
    </r>
    <r>
      <rPr>
        <sz val="12"/>
        <rFont val="Symbol"/>
        <family val="1"/>
        <charset val="2"/>
      </rPr>
      <t>m</t>
    </r>
    <r>
      <rPr>
        <sz val="12"/>
        <rFont val="Arial"/>
        <family val="2"/>
      </rPr>
      <t xml:space="preserve"> , </t>
    </r>
    <r>
      <rPr>
        <sz val="12"/>
        <rFont val="Symbol"/>
        <family val="1"/>
        <charset val="2"/>
      </rPr>
      <t>s</t>
    </r>
    <r>
      <rPr>
        <sz val="12"/>
        <rFont val="Arial"/>
        <family val="2"/>
      </rPr>
      <t xml:space="preserve"> )</t>
    </r>
  </si>
  <si>
    <r>
      <rPr>
        <sz val="12"/>
        <rFont val="Symbol"/>
        <family val="1"/>
        <charset val="2"/>
      </rPr>
      <t>m</t>
    </r>
    <r>
      <rPr>
        <sz val="12"/>
        <rFont val="Arial"/>
        <family val="2"/>
      </rPr>
      <t xml:space="preserve"> =</t>
    </r>
  </si>
  <si>
    <r>
      <rPr>
        <sz val="12"/>
        <rFont val="Symbol"/>
        <family val="1"/>
        <charset val="2"/>
      </rPr>
      <t>s</t>
    </r>
    <r>
      <rPr>
        <sz val="12"/>
        <rFont val="Arial"/>
        <family val="2"/>
      </rPr>
      <t xml:space="preserve"> =</t>
    </r>
  </si>
  <si>
    <t>P ( Z &lt;</t>
  </si>
  <si>
    <r>
      <t>P ( X &lt; P</t>
    </r>
    <r>
      <rPr>
        <vertAlign val="subscript"/>
        <sz val="12"/>
        <color theme="1"/>
        <rFont val="Arial"/>
        <family val="2"/>
      </rPr>
      <t>10</t>
    </r>
    <r>
      <rPr>
        <sz val="12"/>
        <color theme="1"/>
        <rFont val="Arial"/>
        <family val="2"/>
      </rPr>
      <t xml:space="preserve"> ? ) =</t>
    </r>
  </si>
  <si>
    <r>
      <t>P ( X &lt; P</t>
    </r>
    <r>
      <rPr>
        <vertAlign val="subscript"/>
        <sz val="12"/>
        <color theme="1"/>
        <rFont val="Arial"/>
        <family val="2"/>
      </rPr>
      <t>25</t>
    </r>
    <r>
      <rPr>
        <sz val="12"/>
        <color theme="1"/>
        <rFont val="Arial"/>
        <family val="2"/>
      </rPr>
      <t xml:space="preserve"> ? ) =</t>
    </r>
  </si>
  <si>
    <r>
      <t>P ( X &lt; P</t>
    </r>
    <r>
      <rPr>
        <vertAlign val="subscript"/>
        <sz val="12"/>
        <color theme="1"/>
        <rFont val="Arial"/>
        <family val="2"/>
      </rPr>
      <t>50</t>
    </r>
    <r>
      <rPr>
        <sz val="12"/>
        <color theme="1"/>
        <rFont val="Arial"/>
        <family val="2"/>
      </rPr>
      <t xml:space="preserve"> ? ) =</t>
    </r>
  </si>
  <si>
    <r>
      <t>P ( X &lt; P</t>
    </r>
    <r>
      <rPr>
        <vertAlign val="subscript"/>
        <sz val="12"/>
        <color theme="1"/>
        <rFont val="Arial"/>
        <family val="2"/>
      </rPr>
      <t>80</t>
    </r>
    <r>
      <rPr>
        <sz val="12"/>
        <color theme="1"/>
        <rFont val="Arial"/>
        <family val="2"/>
      </rPr>
      <t xml:space="preserve"> ? ) =</t>
    </r>
  </si>
  <si>
    <r>
      <t>P ( X &lt; P</t>
    </r>
    <r>
      <rPr>
        <vertAlign val="subscript"/>
        <sz val="12"/>
        <color theme="1"/>
        <rFont val="Arial"/>
        <family val="2"/>
      </rPr>
      <t>90</t>
    </r>
    <r>
      <rPr>
        <sz val="12"/>
        <color theme="1"/>
        <rFont val="Arial"/>
        <family val="2"/>
      </rPr>
      <t xml:space="preserve"> ? ) =</t>
    </r>
  </si>
  <si>
    <t>Distribuição Normal</t>
  </si>
  <si>
    <r>
      <rPr>
        <b/>
        <sz val="12"/>
        <rFont val="Calibri"/>
        <family val="2"/>
      </rPr>
      <t>→</t>
    </r>
    <r>
      <rPr>
        <b/>
        <i/>
        <sz val="12"/>
        <rFont val="Arial"/>
        <family val="2"/>
      </rPr>
      <t xml:space="preserve"> área à direita</t>
    </r>
  </si>
  <si>
    <r>
      <rPr>
        <b/>
        <sz val="12"/>
        <rFont val="Calibri"/>
        <family val="2"/>
      </rPr>
      <t>→</t>
    </r>
    <r>
      <rPr>
        <b/>
        <i/>
        <sz val="12"/>
        <rFont val="Arial"/>
        <family val="2"/>
      </rPr>
      <t xml:space="preserve"> área à esquerda</t>
    </r>
  </si>
  <si>
    <t>0,986^22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</si>
</sst>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%"/>
    <numFmt numFmtId="167" formatCode="0.0"/>
  </numFmts>
  <fonts count="5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Symbol"/>
      <family val="1"/>
      <charset val="2"/>
    </font>
    <font>
      <b/>
      <sz val="12"/>
      <color theme="1"/>
      <name val="Symbol"/>
      <family val="1"/>
      <charset val="2"/>
    </font>
    <font>
      <b/>
      <sz val="14"/>
      <color theme="1"/>
      <name val="Arial"/>
      <family val="2"/>
    </font>
    <font>
      <b/>
      <sz val="14"/>
      <color theme="1"/>
      <name val="Symbol"/>
      <family val="1"/>
      <charset val="2"/>
    </font>
    <font>
      <i/>
      <sz val="12"/>
      <color theme="1"/>
      <name val="Arial"/>
      <family val="2"/>
    </font>
    <font>
      <b/>
      <vertAlign val="superscript"/>
      <sz val="12"/>
      <color theme="1"/>
      <name val="Arial"/>
      <family val="2"/>
    </font>
    <font>
      <b/>
      <sz val="16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i/>
      <u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sz val="12"/>
      <name val="Arial"/>
      <family val="2"/>
    </font>
    <font>
      <b/>
      <i/>
      <sz val="12"/>
      <color rgb="FF0070C0"/>
      <name val="Arial"/>
      <family val="2"/>
    </font>
    <font>
      <b/>
      <vertAlign val="superscript"/>
      <sz val="14"/>
      <color theme="1"/>
      <name val="Arial"/>
      <family val="2"/>
    </font>
    <font>
      <b/>
      <vertAlign val="subscript"/>
      <sz val="12"/>
      <color theme="1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b/>
      <sz val="14"/>
      <name val="Arial"/>
      <family val="2"/>
    </font>
    <font>
      <b/>
      <sz val="14"/>
      <name val="Symbol"/>
      <family val="1"/>
      <charset val="2"/>
    </font>
    <font>
      <b/>
      <vertAlign val="superscript"/>
      <sz val="14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i/>
      <sz val="12"/>
      <color theme="0"/>
      <name val="Arial"/>
      <family val="2"/>
    </font>
    <font>
      <b/>
      <i/>
      <sz val="12"/>
      <color theme="0"/>
      <name val="Arial"/>
      <family val="2"/>
    </font>
    <font>
      <sz val="12"/>
      <name val="Calibri"/>
      <family val="2"/>
    </font>
    <font>
      <sz val="12"/>
      <color theme="0"/>
      <name val="Calibri"/>
      <family val="2"/>
    </font>
    <font>
      <b/>
      <sz val="12"/>
      <color rgb="FFFF0000"/>
      <name val="Arial"/>
      <family val="2"/>
    </font>
    <font>
      <sz val="12"/>
      <name val="Symbol"/>
      <family val="1"/>
      <charset val="2"/>
    </font>
    <font>
      <b/>
      <i/>
      <sz val="11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Symbol"/>
      <family val="1"/>
      <charset val="2"/>
    </font>
    <font>
      <b/>
      <sz val="10"/>
      <color theme="1"/>
      <name val="Arial"/>
      <family val="2"/>
    </font>
    <font>
      <b/>
      <i/>
      <vertAlign val="superscript"/>
      <sz val="12"/>
      <color theme="1"/>
      <name val="Arial"/>
      <family val="2"/>
    </font>
    <font>
      <b/>
      <i/>
      <sz val="12"/>
      <color theme="1"/>
      <name val="Symbol"/>
      <family val="1"/>
      <charset val="2"/>
    </font>
    <font>
      <b/>
      <sz val="16"/>
      <color theme="1"/>
      <name val="Symbol"/>
      <family val="1"/>
      <charset val="2"/>
    </font>
    <font>
      <i/>
      <sz val="12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6.8"/>
      <color theme="1"/>
      <name val="Arial"/>
      <family val="2"/>
    </font>
    <font>
      <b/>
      <sz val="14"/>
      <color rgb="FF0070C0"/>
      <name val="Arial"/>
      <family val="2"/>
    </font>
    <font>
      <b/>
      <sz val="14"/>
      <color rgb="FF0070C0"/>
      <name val="Symbol"/>
      <family val="1"/>
      <charset val="2"/>
    </font>
    <font>
      <b/>
      <i/>
      <vertAlign val="subscript"/>
      <sz val="12"/>
      <color theme="1"/>
      <name val="Arial"/>
      <family val="2"/>
    </font>
    <font>
      <sz val="12"/>
      <color rgb="FF0070C0"/>
      <name val="Arial"/>
      <family val="2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9" fillId="0" borderId="9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" fillId="0" borderId="9" xfId="0" applyFont="1" applyBorder="1"/>
    <xf numFmtId="0" fontId="1" fillId="2" borderId="0" xfId="0" applyFont="1" applyFill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16" fillId="0" borderId="0" xfId="0" applyFon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9" fillId="0" borderId="0" xfId="0" applyFont="1"/>
    <xf numFmtId="0" fontId="23" fillId="0" borderId="0" xfId="0" applyFont="1"/>
    <xf numFmtId="0" fontId="22" fillId="0" borderId="0" xfId="0" applyFont="1"/>
    <xf numFmtId="0" fontId="24" fillId="0" borderId="0" xfId="0" applyFont="1" applyAlignment="1">
      <alignment horizontal="right"/>
    </xf>
    <xf numFmtId="0" fontId="25" fillId="0" borderId="0" xfId="0" applyFont="1"/>
    <xf numFmtId="0" fontId="28" fillId="0" borderId="0" xfId="0" applyFont="1"/>
    <xf numFmtId="0" fontId="30" fillId="0" borderId="0" xfId="0" applyFont="1"/>
    <xf numFmtId="0" fontId="29" fillId="0" borderId="0" xfId="0" applyFont="1"/>
    <xf numFmtId="0" fontId="31" fillId="0" borderId="0" xfId="0" applyFont="1"/>
    <xf numFmtId="0" fontId="18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8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11" fontId="29" fillId="0" borderId="0" xfId="0" applyNumberFormat="1" applyFont="1" applyAlignment="1">
      <alignment horizontal="left"/>
    </xf>
    <xf numFmtId="0" fontId="22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29" fillId="0" borderId="0" xfId="0" applyFont="1" applyAlignment="1">
      <alignment horizontal="center"/>
    </xf>
    <xf numFmtId="0" fontId="36" fillId="0" borderId="0" xfId="0" applyFont="1"/>
    <xf numFmtId="0" fontId="37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164" fontId="39" fillId="0" borderId="0" xfId="0" applyNumberFormat="1" applyFont="1" applyAlignment="1">
      <alignment horizontal="left"/>
    </xf>
    <xf numFmtId="0" fontId="38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/>
    </xf>
    <xf numFmtId="0" fontId="15" fillId="0" borderId="0" xfId="0" applyFont="1"/>
    <xf numFmtId="9" fontId="2" fillId="0" borderId="0" xfId="1" applyFont="1" applyAlignment="1">
      <alignment horizontal="left"/>
    </xf>
    <xf numFmtId="49" fontId="3" fillId="0" borderId="0" xfId="0" applyNumberFormat="1" applyFont="1"/>
    <xf numFmtId="0" fontId="46" fillId="0" borderId="0" xfId="0" applyFont="1"/>
    <xf numFmtId="2" fontId="1" fillId="0" borderId="0" xfId="0" applyNumberFormat="1" applyFont="1" applyAlignment="1">
      <alignment horizontal="left"/>
    </xf>
    <xf numFmtId="49" fontId="11" fillId="0" borderId="0" xfId="0" applyNumberFormat="1" applyFont="1"/>
    <xf numFmtId="167" fontId="2" fillId="0" borderId="0" xfId="0" applyNumberFormat="1" applyFont="1" applyAlignment="1">
      <alignment horizontal="left"/>
    </xf>
    <xf numFmtId="0" fontId="24" fillId="0" borderId="0" xfId="0" applyFont="1"/>
    <xf numFmtId="164" fontId="18" fillId="0" borderId="0" xfId="0" applyNumberFormat="1" applyFont="1" applyAlignment="1">
      <alignment horizontal="center"/>
    </xf>
    <xf numFmtId="0" fontId="24" fillId="0" borderId="9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166" fontId="22" fillId="0" borderId="9" xfId="1" applyNumberFormat="1" applyFont="1" applyBorder="1" applyAlignment="1">
      <alignment horizontal="center"/>
    </xf>
    <xf numFmtId="0" fontId="28" fillId="0" borderId="0" xfId="0" applyFont="1" applyAlignment="1">
      <alignment horizontal="center"/>
    </xf>
    <xf numFmtId="164" fontId="18" fillId="0" borderId="0" xfId="0" applyNumberFormat="1" applyFont="1" applyAlignment="1">
      <alignment horizontal="left"/>
    </xf>
    <xf numFmtId="49" fontId="24" fillId="0" borderId="0" xfId="0" applyNumberFormat="1" applyFont="1"/>
    <xf numFmtId="0" fontId="49" fillId="0" borderId="0" xfId="0" applyFont="1"/>
    <xf numFmtId="0" fontId="14" fillId="0" borderId="0" xfId="0" applyFont="1"/>
    <xf numFmtId="0" fontId="3" fillId="0" borderId="0" xfId="0" applyFont="1" applyAlignment="1">
      <alignment horizontal="right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2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578303</xdr:colOff>
      <xdr:row>7</xdr:row>
      <xdr:rowOff>163285</xdr:rowOff>
    </xdr:from>
    <xdr:to>
      <xdr:col>17</xdr:col>
      <xdr:colOff>61231</xdr:colOff>
      <xdr:row>11</xdr:row>
      <xdr:rowOff>40821</xdr:rowOff>
    </xdr:to>
    <xdr:sp macro="" textlink="">
      <xdr:nvSpPr>
        <xdr:cNvPr id="2" name="Chaveta à esquerd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763124" y="1551214"/>
          <a:ext cx="95250" cy="639536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16</xdr:row>
      <xdr:rowOff>13607</xdr:rowOff>
    </xdr:from>
    <xdr:to>
      <xdr:col>8</xdr:col>
      <xdr:colOff>483054</xdr:colOff>
      <xdr:row>21</xdr:row>
      <xdr:rowOff>109448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3218089"/>
          <a:ext cx="5000625" cy="1048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584597</xdr:colOff>
      <xdr:row>7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37722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0</xdr:rowOff>
    </xdr:from>
    <xdr:to>
      <xdr:col>12</xdr:col>
      <xdr:colOff>92208</xdr:colOff>
      <xdr:row>4</xdr:row>
      <xdr:rowOff>102577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7064507" cy="483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11</xdr:row>
      <xdr:rowOff>76200</xdr:rowOff>
    </xdr:from>
    <xdr:to>
      <xdr:col>7</xdr:col>
      <xdr:colOff>76200</xdr:colOff>
      <xdr:row>11</xdr:row>
      <xdr:rowOff>85725</xdr:rowOff>
    </xdr:to>
    <xdr:cxnSp macro="">
      <xdr:nvCxnSpPr>
        <xdr:cNvPr id="2" name="Conexão reta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>
          <a:off x="2943225" y="1981200"/>
          <a:ext cx="485775" cy="952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12</xdr:row>
      <xdr:rowOff>85725</xdr:rowOff>
    </xdr:from>
    <xdr:to>
      <xdr:col>7</xdr:col>
      <xdr:colOff>95250</xdr:colOff>
      <xdr:row>12</xdr:row>
      <xdr:rowOff>95250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2962275" y="2181225"/>
          <a:ext cx="485775" cy="952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11</xdr:row>
      <xdr:rowOff>76200</xdr:rowOff>
    </xdr:from>
    <xdr:to>
      <xdr:col>7</xdr:col>
      <xdr:colOff>38100</xdr:colOff>
      <xdr:row>11</xdr:row>
      <xdr:rowOff>85726</xdr:rowOff>
    </xdr:to>
    <xdr:cxnSp macro="">
      <xdr:nvCxnSpPr>
        <xdr:cNvPr id="2" name="Conexão reta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CxnSpPr/>
      </xdr:nvCxnSpPr>
      <xdr:spPr>
        <a:xfrm flipV="1">
          <a:off x="3000375" y="1981200"/>
          <a:ext cx="571500" cy="952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12</xdr:row>
      <xdr:rowOff>76200</xdr:rowOff>
    </xdr:from>
    <xdr:to>
      <xdr:col>7</xdr:col>
      <xdr:colOff>38100</xdr:colOff>
      <xdr:row>12</xdr:row>
      <xdr:rowOff>85726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CxnSpPr/>
      </xdr:nvCxnSpPr>
      <xdr:spPr>
        <a:xfrm flipV="1">
          <a:off x="3000375" y="2171700"/>
          <a:ext cx="571500" cy="952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411668</xdr:colOff>
      <xdr:row>14</xdr:row>
      <xdr:rowOff>122464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697918" cy="2789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217714</xdr:colOff>
      <xdr:row>16</xdr:row>
      <xdr:rowOff>54428</xdr:rowOff>
    </xdr:from>
    <xdr:to>
      <xdr:col>8</xdr:col>
      <xdr:colOff>224518</xdr:colOff>
      <xdr:row>23</xdr:row>
      <xdr:rowOff>8893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4" y="2918732"/>
          <a:ext cx="4905375" cy="1287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170089</xdr:colOff>
      <xdr:row>23</xdr:row>
      <xdr:rowOff>156481</xdr:rowOff>
    </xdr:from>
    <xdr:to>
      <xdr:col>9</xdr:col>
      <xdr:colOff>360986</xdr:colOff>
      <xdr:row>34</xdr:row>
      <xdr:rowOff>95250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4354285"/>
          <a:ext cx="3252504" cy="2054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305294</xdr:colOff>
      <xdr:row>25</xdr:row>
      <xdr:rowOff>125053</xdr:rowOff>
    </xdr:from>
    <xdr:to>
      <xdr:col>8</xdr:col>
      <xdr:colOff>119287</xdr:colOff>
      <xdr:row>31</xdr:row>
      <xdr:rowOff>10365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 txBox="1"/>
      </xdr:nvSpPr>
      <xdr:spPr>
        <a:xfrm rot="3122260">
          <a:off x="4287143" y="5015061"/>
          <a:ext cx="1035116" cy="4263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200" b="1">
              <a:latin typeface="Arial" panose="020B0604020202020204" pitchFamily="34" charset="0"/>
              <a:cs typeface="Arial" panose="020B0604020202020204" pitchFamily="34" charset="0"/>
            </a:rPr>
            <a:t>y = 1 - 0,</a:t>
          </a:r>
          <a:r>
            <a:rPr lang="pt-PT" sz="1200" b="1" baseline="0">
              <a:latin typeface="Arial" panose="020B0604020202020204" pitchFamily="34" charset="0"/>
              <a:cs typeface="Arial" panose="020B0604020202020204" pitchFamily="34" charset="0"/>
            </a:rPr>
            <a:t>2 x</a:t>
          </a:r>
          <a:endParaRPr lang="pt-PT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204108</xdr:colOff>
      <xdr:row>34</xdr:row>
      <xdr:rowOff>170089</xdr:rowOff>
    </xdr:from>
    <xdr:to>
      <xdr:col>9</xdr:col>
      <xdr:colOff>381001</xdr:colOff>
      <xdr:row>45</xdr:row>
      <xdr:rowOff>138673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3394" y="6483803"/>
          <a:ext cx="3238500" cy="2077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13609</xdr:colOff>
      <xdr:row>49</xdr:row>
      <xdr:rowOff>176892</xdr:rowOff>
    </xdr:from>
    <xdr:to>
      <xdr:col>10</xdr:col>
      <xdr:colOff>308723</xdr:colOff>
      <xdr:row>61</xdr:row>
      <xdr:rowOff>27214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5216" y="9375321"/>
          <a:ext cx="3356721" cy="2149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571499</xdr:colOff>
      <xdr:row>0</xdr:row>
      <xdr:rowOff>163286</xdr:rowOff>
    </xdr:from>
    <xdr:to>
      <xdr:col>8</xdr:col>
      <xdr:colOff>47624</xdr:colOff>
      <xdr:row>2</xdr:row>
      <xdr:rowOff>163231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0463" y="163286"/>
          <a:ext cx="1925411" cy="387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244928</xdr:colOff>
      <xdr:row>2</xdr:row>
      <xdr:rowOff>122464</xdr:rowOff>
    </xdr:from>
    <xdr:to>
      <xdr:col>7</xdr:col>
      <xdr:colOff>292553</xdr:colOff>
      <xdr:row>6</xdr:row>
      <xdr:rowOff>18838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6214" y="510268"/>
          <a:ext cx="1272268" cy="671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523876</xdr:colOff>
      <xdr:row>8</xdr:row>
      <xdr:rowOff>163287</xdr:rowOff>
    </xdr:from>
    <xdr:to>
      <xdr:col>10</xdr:col>
      <xdr:colOff>27215</xdr:colOff>
      <xdr:row>16</xdr:row>
      <xdr:rowOff>146950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2840" y="1319894"/>
          <a:ext cx="3177268" cy="1521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380999</xdr:colOff>
      <xdr:row>5</xdr:row>
      <xdr:rowOff>20408</xdr:rowOff>
    </xdr:from>
    <xdr:to>
      <xdr:col>10</xdr:col>
      <xdr:colOff>374197</xdr:colOff>
      <xdr:row>13</xdr:row>
      <xdr:rowOff>129268</xdr:rowOff>
    </xdr:to>
    <xdr:sp macro="" textlink="">
      <xdr:nvSpPr>
        <xdr:cNvPr id="5" name="Nota de aviso em forma de nuvem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/>
      </xdr:nvSpPr>
      <xdr:spPr>
        <a:xfrm>
          <a:off x="4816928" y="986515"/>
          <a:ext cx="1830162" cy="1646467"/>
        </a:xfrm>
        <a:prstGeom prst="cloudCallout">
          <a:avLst>
            <a:gd name="adj1" fmla="val -68217"/>
            <a:gd name="adj2" fmla="val 57309"/>
          </a:avLst>
        </a:prstGeom>
        <a:solidFill>
          <a:schemeClr val="accent1">
            <a:alpha val="13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>
              <a:solidFill>
                <a:sysClr val="windowText" lastClr="000000"/>
              </a:solidFill>
            </a:rPr>
            <a:t>A função DIST.S.NORM() devolve o valor desta área,</a:t>
          </a:r>
          <a:r>
            <a:rPr lang="pt-PT" sz="1100" baseline="0">
              <a:solidFill>
                <a:sysClr val="windowText" lastClr="000000"/>
              </a:solidFill>
            </a:rPr>
            <a:t> ou seja: P ( Z &lt; 0,75 )</a:t>
          </a:r>
          <a:endParaRPr lang="pt-PT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40821</xdr:colOff>
      <xdr:row>14</xdr:row>
      <xdr:rowOff>176894</xdr:rowOff>
    </xdr:from>
    <xdr:to>
      <xdr:col>5</xdr:col>
      <xdr:colOff>130902</xdr:colOff>
      <xdr:row>23</xdr:row>
      <xdr:rowOff>34021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21" y="2877912"/>
          <a:ext cx="3301367" cy="1571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578305</xdr:colOff>
      <xdr:row>13</xdr:row>
      <xdr:rowOff>74839</xdr:rowOff>
    </xdr:from>
    <xdr:to>
      <xdr:col>5</xdr:col>
      <xdr:colOff>571502</xdr:colOff>
      <xdr:row>22</xdr:row>
      <xdr:rowOff>1</xdr:rowOff>
    </xdr:to>
    <xdr:sp macro="" textlink="">
      <xdr:nvSpPr>
        <xdr:cNvPr id="7" name="Nota de aviso em forma de nuvem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/>
      </xdr:nvSpPr>
      <xdr:spPr>
        <a:xfrm>
          <a:off x="1952626" y="2578553"/>
          <a:ext cx="1830162" cy="1646466"/>
        </a:xfrm>
        <a:prstGeom prst="cloudCallout">
          <a:avLst>
            <a:gd name="adj1" fmla="val -101676"/>
            <a:gd name="adj2" fmla="val 49459"/>
          </a:avLst>
        </a:prstGeom>
        <a:solidFill>
          <a:schemeClr val="accent1">
            <a:alpha val="13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>
              <a:solidFill>
                <a:sysClr val="windowText" lastClr="000000"/>
              </a:solidFill>
            </a:rPr>
            <a:t>A função DIST.S.NORM() devolve o valor desta área,</a:t>
          </a:r>
          <a:r>
            <a:rPr lang="pt-PT" sz="1100" baseline="0">
              <a:solidFill>
                <a:sysClr val="windowText" lastClr="000000"/>
              </a:solidFill>
            </a:rPr>
            <a:t> ou seja: P ( Z &lt; - 1,5 )</a:t>
          </a:r>
          <a:endParaRPr lang="pt-PT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7</xdr:col>
      <xdr:colOff>312964</xdr:colOff>
      <xdr:row>28</xdr:row>
      <xdr:rowOff>136072</xdr:rowOff>
    </xdr:from>
    <xdr:to>
      <xdr:col>12</xdr:col>
      <xdr:colOff>568768</xdr:colOff>
      <xdr:row>37</xdr:row>
      <xdr:rowOff>13608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8893" y="5116286"/>
          <a:ext cx="3317411" cy="1605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173526</xdr:colOff>
      <xdr:row>10</xdr:row>
      <xdr:rowOff>54429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6296740" cy="1959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598715</xdr:colOff>
      <xdr:row>10</xdr:row>
      <xdr:rowOff>20410</xdr:rowOff>
    </xdr:from>
    <xdr:to>
      <xdr:col>11</xdr:col>
      <xdr:colOff>265340</xdr:colOff>
      <xdr:row>13</xdr:row>
      <xdr:rowOff>114087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6929" y="1925410"/>
          <a:ext cx="1272268" cy="671981"/>
        </a:xfrm>
        <a:prstGeom prst="rect">
          <a:avLst/>
        </a:prstGeom>
        <a:solidFill>
          <a:schemeClr val="bg1">
            <a:lumMod val="95000"/>
          </a:schemeClr>
        </a:solidFill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45241</xdr:colOff>
      <xdr:row>12</xdr:row>
      <xdr:rowOff>20411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6515437" cy="230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315545</xdr:colOff>
      <xdr:row>7</xdr:row>
      <xdr:rowOff>61232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76366" cy="1394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503464</xdr:colOff>
      <xdr:row>12</xdr:row>
      <xdr:rowOff>157311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14357" cy="2504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11</xdr:col>
      <xdr:colOff>329711</xdr:colOff>
      <xdr:row>6</xdr:row>
      <xdr:rowOff>132990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7035311" cy="704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585107</xdr:colOff>
      <xdr:row>28</xdr:row>
      <xdr:rowOff>176893</xdr:rowOff>
    </xdr:from>
    <xdr:to>
      <xdr:col>9</xdr:col>
      <xdr:colOff>353785</xdr:colOff>
      <xdr:row>33</xdr:row>
      <xdr:rowOff>111912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107" y="5578929"/>
          <a:ext cx="5279571" cy="887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400121</xdr:colOff>
      <xdr:row>4</xdr:row>
      <xdr:rowOff>122463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523334" cy="884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703472</xdr:colOff>
      <xdr:row>5</xdr:row>
      <xdr:rowOff>61232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452237" cy="1013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9525</xdr:colOff>
      <xdr:row>4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3432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408215</xdr:colOff>
      <xdr:row>13</xdr:row>
      <xdr:rowOff>77602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31429" cy="25541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F28"/>
  <sheetViews>
    <sheetView zoomScale="70" zoomScaleNormal="70" workbookViewId="0">
      <selection activeCell="U26" sqref="U26"/>
    </sheetView>
  </sheetViews>
  <sheetFormatPr defaultColWidth="9.1796875" defaultRowHeight="15.5" x14ac:dyDescent="0.35"/>
  <cols>
    <col min="1" max="14" width="9.1796875" style="1"/>
    <col min="15" max="15" width="1.453125" style="1" customWidth="1"/>
    <col min="16" max="16" width="3.81640625" style="1" customWidth="1"/>
    <col min="17" max="23" width="9.1796875" style="5"/>
    <col min="24" max="24" width="9.1796875" style="1"/>
    <col min="25" max="25" width="1.453125" style="1" customWidth="1"/>
    <col min="26" max="26" width="30.1796875" style="1" customWidth="1"/>
    <col min="27" max="27" width="11.1796875" style="1" customWidth="1"/>
    <col min="28" max="16384" width="9.1796875" style="1"/>
  </cols>
  <sheetData>
    <row r="2" spans="2:32" x14ac:dyDescent="0.35">
      <c r="O2" s="31"/>
      <c r="Y2" s="31"/>
    </row>
    <row r="3" spans="2:32" ht="18" x14ac:dyDescent="0.4">
      <c r="B3" s="3" t="s">
        <v>0</v>
      </c>
      <c r="O3" s="31"/>
      <c r="Y3" s="31"/>
      <c r="AA3" s="33" t="s">
        <v>52</v>
      </c>
      <c r="AD3" s="11" t="s">
        <v>89</v>
      </c>
    </row>
    <row r="4" spans="2:32" x14ac:dyDescent="0.35">
      <c r="O4" s="31"/>
      <c r="Q4" s="32" t="s">
        <v>11</v>
      </c>
      <c r="Y4" s="31"/>
      <c r="AA4" s="27" t="s">
        <v>101</v>
      </c>
    </row>
    <row r="5" spans="2:32" ht="19" x14ac:dyDescent="0.4">
      <c r="B5" s="1" t="s">
        <v>1</v>
      </c>
      <c r="G5" s="1" t="s">
        <v>5</v>
      </c>
      <c r="L5" s="2" t="s">
        <v>87</v>
      </c>
      <c r="O5" s="31"/>
      <c r="Y5" s="31"/>
    </row>
    <row r="6" spans="2:32" x14ac:dyDescent="0.35">
      <c r="O6" s="31"/>
      <c r="Q6" s="24" t="s">
        <v>12</v>
      </c>
      <c r="R6" s="24">
        <v>1</v>
      </c>
      <c r="S6" s="24">
        <v>2</v>
      </c>
      <c r="T6" s="24">
        <v>3</v>
      </c>
      <c r="U6" s="24">
        <v>4</v>
      </c>
      <c r="V6" s="24">
        <v>5</v>
      </c>
      <c r="W6" s="24">
        <v>6</v>
      </c>
      <c r="Y6" s="31"/>
      <c r="AA6" s="33" t="s">
        <v>58</v>
      </c>
      <c r="AC6" s="6" t="s">
        <v>59</v>
      </c>
    </row>
    <row r="7" spans="2:32" x14ac:dyDescent="0.35">
      <c r="O7" s="31"/>
      <c r="Q7" s="24" t="s">
        <v>13</v>
      </c>
      <c r="R7" s="26" t="s">
        <v>14</v>
      </c>
      <c r="S7" s="26" t="s">
        <v>14</v>
      </c>
      <c r="T7" s="26" t="s">
        <v>14</v>
      </c>
      <c r="U7" s="26" t="s">
        <v>14</v>
      </c>
      <c r="V7" s="26" t="s">
        <v>14</v>
      </c>
      <c r="W7" s="26" t="s">
        <v>14</v>
      </c>
      <c r="Y7" s="31"/>
      <c r="AA7" s="33"/>
    </row>
    <row r="8" spans="2:32" x14ac:dyDescent="0.35">
      <c r="B8" s="1" t="s">
        <v>2</v>
      </c>
      <c r="G8" s="1" t="s">
        <v>6</v>
      </c>
      <c r="O8" s="31"/>
      <c r="Y8" s="31"/>
      <c r="AA8" s="33" t="s">
        <v>88</v>
      </c>
      <c r="AB8" s="5"/>
      <c r="AC8" s="5"/>
      <c r="AD8" s="5"/>
      <c r="AE8" s="5"/>
      <c r="AF8" s="7" t="s">
        <v>92</v>
      </c>
    </row>
    <row r="9" spans="2:32" x14ac:dyDescent="0.35">
      <c r="O9" s="31"/>
      <c r="R9" s="10" t="s">
        <v>16</v>
      </c>
      <c r="Y9" s="31"/>
      <c r="AA9" s="33"/>
    </row>
    <row r="10" spans="2:32" ht="17.5" x14ac:dyDescent="0.35">
      <c r="B10" s="1" t="s">
        <v>3</v>
      </c>
      <c r="G10" s="1" t="s">
        <v>7</v>
      </c>
      <c r="O10" s="31"/>
      <c r="Q10" s="5" t="s">
        <v>15</v>
      </c>
      <c r="Y10" s="31"/>
      <c r="AA10" s="33" t="s">
        <v>90</v>
      </c>
      <c r="AE10" s="7" t="s">
        <v>93</v>
      </c>
    </row>
    <row r="11" spans="2:32" x14ac:dyDescent="0.35">
      <c r="O11" s="31"/>
      <c r="R11" s="10" t="s">
        <v>17</v>
      </c>
      <c r="Y11" s="31"/>
      <c r="AC11" s="15" t="s">
        <v>91</v>
      </c>
    </row>
    <row r="12" spans="2:32" ht="17.5" x14ac:dyDescent="0.35">
      <c r="B12" s="1" t="s">
        <v>4</v>
      </c>
      <c r="G12" s="1" t="s">
        <v>8</v>
      </c>
      <c r="O12" s="31"/>
      <c r="Y12" s="31"/>
      <c r="AE12" s="7" t="s">
        <v>94</v>
      </c>
    </row>
    <row r="13" spans="2:32" x14ac:dyDescent="0.35">
      <c r="O13" s="31"/>
      <c r="Q13" s="8" t="s">
        <v>28</v>
      </c>
      <c r="T13" s="14" t="s">
        <v>29</v>
      </c>
      <c r="Y13" s="31"/>
      <c r="AC13" s="5"/>
      <c r="AD13" s="5"/>
    </row>
    <row r="14" spans="2:32" ht="18" x14ac:dyDescent="0.4">
      <c r="O14" s="31"/>
      <c r="Q14" s="12" t="s">
        <v>19</v>
      </c>
      <c r="Y14" s="31"/>
      <c r="AA14" s="33" t="s">
        <v>95</v>
      </c>
      <c r="AC14" s="6" t="s">
        <v>96</v>
      </c>
      <c r="AD14" s="5"/>
      <c r="AE14" s="5"/>
    </row>
    <row r="15" spans="2:32" x14ac:dyDescent="0.35">
      <c r="C15" s="4" t="s">
        <v>9</v>
      </c>
      <c r="O15" s="31"/>
      <c r="Y15" s="31"/>
      <c r="AC15" s="5"/>
      <c r="AD15" s="5"/>
    </row>
    <row r="16" spans="2:32" x14ac:dyDescent="0.35">
      <c r="C16" s="2" t="s">
        <v>10</v>
      </c>
      <c r="O16" s="31"/>
      <c r="Q16" s="32" t="s">
        <v>20</v>
      </c>
      <c r="Y16" s="31"/>
      <c r="AA16" s="33" t="s">
        <v>98</v>
      </c>
      <c r="AC16" s="6" t="s">
        <v>99</v>
      </c>
      <c r="AD16" s="5"/>
      <c r="AE16" s="5"/>
    </row>
    <row r="17" spans="15:31" x14ac:dyDescent="0.35">
      <c r="O17" s="31"/>
      <c r="Y17" s="31"/>
      <c r="AC17" s="6"/>
      <c r="AD17" s="5"/>
      <c r="AE17" s="5"/>
    </row>
    <row r="18" spans="15:31" x14ac:dyDescent="0.35">
      <c r="O18" s="31"/>
      <c r="Q18" s="24" t="s">
        <v>12</v>
      </c>
      <c r="R18" s="24">
        <v>1</v>
      </c>
      <c r="S18" s="24">
        <v>2</v>
      </c>
      <c r="T18" s="24">
        <v>3</v>
      </c>
      <c r="U18" s="24">
        <v>4</v>
      </c>
      <c r="V18" s="24">
        <v>5</v>
      </c>
      <c r="W18" s="24">
        <v>6</v>
      </c>
      <c r="Y18" s="31"/>
      <c r="AA18" s="34" t="s">
        <v>100</v>
      </c>
    </row>
    <row r="19" spans="15:31" x14ac:dyDescent="0.35">
      <c r="O19" s="31"/>
      <c r="Q19" s="24" t="s">
        <v>13</v>
      </c>
      <c r="R19" s="26" t="s">
        <v>14</v>
      </c>
      <c r="S19" s="26" t="s">
        <v>14</v>
      </c>
      <c r="T19" s="26" t="s">
        <v>14</v>
      </c>
      <c r="U19" s="26" t="s">
        <v>14</v>
      </c>
      <c r="V19" s="26" t="s">
        <v>14</v>
      </c>
      <c r="W19" s="26" t="s">
        <v>14</v>
      </c>
      <c r="Y19" s="31"/>
    </row>
    <row r="20" spans="15:31" x14ac:dyDescent="0.35">
      <c r="O20" s="31"/>
      <c r="Q20" s="24" t="s">
        <v>21</v>
      </c>
      <c r="R20" s="26" t="s">
        <v>14</v>
      </c>
      <c r="S20" s="26" t="s">
        <v>22</v>
      </c>
      <c r="T20" s="26" t="s">
        <v>23</v>
      </c>
      <c r="U20" s="26" t="s">
        <v>24</v>
      </c>
      <c r="V20" s="26" t="s">
        <v>25</v>
      </c>
      <c r="W20" s="26" t="s">
        <v>26</v>
      </c>
      <c r="Y20" s="31"/>
    </row>
    <row r="21" spans="15:31" x14ac:dyDescent="0.35">
      <c r="O21" s="31"/>
      <c r="R21" s="9"/>
      <c r="S21" s="9"/>
      <c r="Y21" s="31"/>
    </row>
    <row r="22" spans="15:31" x14ac:dyDescent="0.35">
      <c r="O22" s="31"/>
      <c r="Q22" s="8" t="s">
        <v>27</v>
      </c>
      <c r="T22" s="14" t="s">
        <v>30</v>
      </c>
      <c r="Y22" s="31"/>
    </row>
    <row r="23" spans="15:31" x14ac:dyDescent="0.35">
      <c r="O23" s="31"/>
      <c r="Y23" s="31"/>
    </row>
    <row r="24" spans="15:31" x14ac:dyDescent="0.35">
      <c r="O24" s="31"/>
      <c r="Y24" s="31"/>
    </row>
    <row r="25" spans="15:31" x14ac:dyDescent="0.35">
      <c r="O25" s="31"/>
      <c r="Y25" s="31"/>
    </row>
    <row r="26" spans="15:31" x14ac:dyDescent="0.35">
      <c r="O26" s="31"/>
      <c r="Y26" s="31"/>
    </row>
    <row r="27" spans="15:31" x14ac:dyDescent="0.35">
      <c r="O27" s="31"/>
      <c r="Y27" s="31"/>
    </row>
    <row r="28" spans="15:31" x14ac:dyDescent="0.35">
      <c r="O28" s="31"/>
      <c r="Y28" s="31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F25"/>
  <sheetViews>
    <sheetView zoomScale="90" zoomScaleNormal="90" workbookViewId="0">
      <selection activeCell="C1" sqref="C1"/>
    </sheetView>
  </sheetViews>
  <sheetFormatPr defaultColWidth="9.1796875" defaultRowHeight="15.5" x14ac:dyDescent="0.35"/>
  <cols>
    <col min="1" max="16384" width="9.1796875" style="1"/>
  </cols>
  <sheetData>
    <row r="2" spans="2:6" ht="18" x14ac:dyDescent="0.4">
      <c r="B2" s="71" t="s">
        <v>153</v>
      </c>
    </row>
    <row r="4" spans="2:6" x14ac:dyDescent="0.35">
      <c r="B4" s="15" t="s">
        <v>46</v>
      </c>
    </row>
    <row r="5" spans="2:6" x14ac:dyDescent="0.35">
      <c r="B5" s="1" t="s">
        <v>154</v>
      </c>
    </row>
    <row r="6" spans="2:6" x14ac:dyDescent="0.35">
      <c r="B6" s="1" t="s">
        <v>155</v>
      </c>
    </row>
    <row r="7" spans="2:6" x14ac:dyDescent="0.35">
      <c r="B7" s="1" t="s">
        <v>156</v>
      </c>
    </row>
    <row r="8" spans="2:6" x14ac:dyDescent="0.35">
      <c r="B8" s="1" t="s">
        <v>157</v>
      </c>
    </row>
    <row r="9" spans="2:6" x14ac:dyDescent="0.35">
      <c r="B9" s="1" t="s">
        <v>190</v>
      </c>
    </row>
    <row r="11" spans="2:6" ht="20" x14ac:dyDescent="0.4">
      <c r="B11" s="1" t="s">
        <v>247</v>
      </c>
      <c r="F11" s="40" t="s">
        <v>163</v>
      </c>
    </row>
    <row r="13" spans="2:6" x14ac:dyDescent="0.35">
      <c r="B13" s="15" t="s">
        <v>249</v>
      </c>
    </row>
    <row r="14" spans="2:6" x14ac:dyDescent="0.35">
      <c r="B14" s="3" t="s">
        <v>248</v>
      </c>
    </row>
    <row r="15" spans="2:6" ht="17.5" x14ac:dyDescent="0.45">
      <c r="B15" s="6" t="s">
        <v>159</v>
      </c>
      <c r="C15" s="6" t="s">
        <v>158</v>
      </c>
      <c r="D15" s="6" t="s">
        <v>160</v>
      </c>
    </row>
    <row r="16" spans="2:6" ht="17.5" x14ac:dyDescent="0.45">
      <c r="B16" s="6" t="s">
        <v>161</v>
      </c>
      <c r="C16" s="6" t="s">
        <v>158</v>
      </c>
      <c r="D16" s="6" t="s">
        <v>162</v>
      </c>
    </row>
    <row r="23" spans="2:4" x14ac:dyDescent="0.35">
      <c r="B23" s="39" t="s">
        <v>164</v>
      </c>
    </row>
    <row r="25" spans="2:4" ht="21" x14ac:dyDescent="0.4">
      <c r="B25" s="40" t="s">
        <v>191</v>
      </c>
      <c r="D25" s="40" t="s">
        <v>192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8:L45"/>
  <sheetViews>
    <sheetView topLeftCell="A10" zoomScale="90" zoomScaleNormal="90" workbookViewId="0">
      <selection activeCell="K31" sqref="K31"/>
    </sheetView>
  </sheetViews>
  <sheetFormatPr defaultColWidth="9.1796875" defaultRowHeight="15.5" x14ac:dyDescent="0.35"/>
  <cols>
    <col min="1" max="4" width="9.1796875" style="1"/>
    <col min="5" max="5" width="15.81640625" style="1" bestFit="1" customWidth="1"/>
    <col min="6" max="16384" width="9.1796875" style="1"/>
  </cols>
  <sheetData>
    <row r="8" spans="1:12" x14ac:dyDescent="0.35">
      <c r="A8" s="38"/>
      <c r="B8" s="38"/>
      <c r="C8" s="38"/>
      <c r="D8" s="38"/>
    </row>
    <row r="9" spans="1:12" x14ac:dyDescent="0.35">
      <c r="A9" s="38"/>
      <c r="B9" s="38" t="s">
        <v>193</v>
      </c>
      <c r="C9" s="38"/>
      <c r="D9" s="38"/>
      <c r="E9" s="38"/>
      <c r="F9" s="38"/>
      <c r="G9" s="38"/>
      <c r="H9" s="38"/>
      <c r="I9" s="38"/>
      <c r="J9" s="45"/>
    </row>
    <row r="10" spans="1:12" x14ac:dyDescent="0.35">
      <c r="A10" s="45"/>
      <c r="B10" s="38" t="s">
        <v>194</v>
      </c>
      <c r="C10" s="38"/>
      <c r="D10" s="38"/>
      <c r="E10" s="38"/>
      <c r="F10" s="38" t="s">
        <v>195</v>
      </c>
      <c r="G10" s="38"/>
      <c r="H10" s="38"/>
      <c r="I10" s="38"/>
      <c r="J10" s="45"/>
    </row>
    <row r="11" spans="1:12" x14ac:dyDescent="0.35">
      <c r="A11" s="45"/>
      <c r="B11" s="38"/>
      <c r="C11" s="38"/>
      <c r="D11" s="38"/>
      <c r="E11" s="38"/>
      <c r="F11" s="45"/>
      <c r="G11" s="45"/>
      <c r="H11" s="45"/>
      <c r="I11" s="45"/>
      <c r="J11" s="45"/>
    </row>
    <row r="12" spans="1:12" x14ac:dyDescent="0.35">
      <c r="A12" s="38"/>
      <c r="B12" s="56" t="s">
        <v>43</v>
      </c>
      <c r="C12" s="49" t="s">
        <v>196</v>
      </c>
      <c r="D12" s="53">
        <v>1</v>
      </c>
      <c r="E12" s="58" t="s">
        <v>165</v>
      </c>
      <c r="F12" s="49" t="s">
        <v>197</v>
      </c>
      <c r="G12" s="53">
        <v>3.2</v>
      </c>
      <c r="H12" s="38"/>
      <c r="I12" s="38"/>
      <c r="J12" s="45"/>
    </row>
    <row r="13" spans="1:12" x14ac:dyDescent="0.35">
      <c r="A13" s="38"/>
      <c r="B13" s="38"/>
      <c r="C13" s="49" t="s">
        <v>196</v>
      </c>
      <c r="D13" s="53">
        <v>10</v>
      </c>
      <c r="E13" s="58" t="s">
        <v>165</v>
      </c>
      <c r="F13" s="49" t="s">
        <v>198</v>
      </c>
      <c r="G13" s="53">
        <f>D13*G12/D12</f>
        <v>32</v>
      </c>
      <c r="H13" s="38"/>
      <c r="I13" s="38"/>
      <c r="J13" s="45"/>
    </row>
    <row r="14" spans="1:12" x14ac:dyDescent="0.35">
      <c r="A14" s="45"/>
      <c r="B14" s="38"/>
      <c r="C14" s="42" t="s">
        <v>166</v>
      </c>
      <c r="D14" s="38"/>
      <c r="E14" s="38"/>
      <c r="F14" s="38"/>
      <c r="G14" s="38"/>
      <c r="H14" s="45"/>
      <c r="I14" s="45"/>
      <c r="J14" s="45"/>
      <c r="K14" s="1">
        <f>_xlfn.POISSON.DIST(16,13.2,1)</f>
        <v>0.82078827026256251</v>
      </c>
      <c r="L14" s="1">
        <f>1-K14</f>
        <v>0.17921172973743749</v>
      </c>
    </row>
    <row r="15" spans="1:12" x14ac:dyDescent="0.35">
      <c r="A15" s="45"/>
      <c r="B15" s="38"/>
      <c r="C15" s="38"/>
      <c r="D15" s="38"/>
      <c r="E15" s="38"/>
      <c r="F15" s="38"/>
      <c r="G15" s="38"/>
      <c r="H15" s="45"/>
      <c r="I15" s="45"/>
      <c r="J15" s="45"/>
    </row>
    <row r="16" spans="1:12" x14ac:dyDescent="0.35">
      <c r="A16" s="45"/>
      <c r="B16" s="56" t="s">
        <v>44</v>
      </c>
      <c r="C16" s="49" t="s">
        <v>196</v>
      </c>
      <c r="D16" s="53">
        <v>1</v>
      </c>
      <c r="E16" s="58" t="s">
        <v>165</v>
      </c>
      <c r="F16" s="49" t="s">
        <v>197</v>
      </c>
      <c r="G16" s="53">
        <v>3.2</v>
      </c>
      <c r="H16" s="38"/>
      <c r="I16" s="45"/>
      <c r="J16" s="45"/>
    </row>
    <row r="17" spans="1:12" x14ac:dyDescent="0.35">
      <c r="A17" s="45"/>
      <c r="B17" s="38"/>
      <c r="C17" s="38"/>
      <c r="D17" s="49" t="s">
        <v>167</v>
      </c>
      <c r="E17" s="50">
        <f>_xlfn.POISSON.DIST(1,3.2,1)</f>
        <v>0.17120125670913811</v>
      </c>
      <c r="F17" s="39" t="s">
        <v>164</v>
      </c>
      <c r="G17" s="45"/>
      <c r="H17" s="45"/>
      <c r="I17" s="45"/>
      <c r="J17" s="45"/>
      <c r="K17" s="1">
        <f>_xlfn.POISSON.DIST(15,13.2,1)</f>
        <v>0.7456474131933386</v>
      </c>
    </row>
    <row r="18" spans="1:12" s="38" customFormat="1" x14ac:dyDescent="0.35"/>
    <row r="19" spans="1:12" s="38" customFormat="1" x14ac:dyDescent="0.35">
      <c r="B19" s="56" t="s">
        <v>51</v>
      </c>
      <c r="C19" s="49" t="s">
        <v>196</v>
      </c>
      <c r="D19" s="53">
        <v>0.5</v>
      </c>
      <c r="E19" s="58" t="s">
        <v>165</v>
      </c>
      <c r="F19" s="49" t="s">
        <v>197</v>
      </c>
      <c r="G19" s="53">
        <f>G12/2</f>
        <v>1.6</v>
      </c>
    </row>
    <row r="20" spans="1:12" x14ac:dyDescent="0.35">
      <c r="A20" s="45"/>
      <c r="B20" s="60" t="s">
        <v>168</v>
      </c>
      <c r="C20" s="38"/>
      <c r="D20" s="49" t="s">
        <v>169</v>
      </c>
      <c r="E20" s="38">
        <f>_xlfn.POISSON.DIST(0,3.2,0)</f>
        <v>4.0762203978366211E-2</v>
      </c>
      <c r="F20" s="45"/>
      <c r="G20" s="45"/>
      <c r="H20" s="45"/>
      <c r="I20" s="45"/>
      <c r="J20" s="45"/>
    </row>
    <row r="21" spans="1:12" x14ac:dyDescent="0.35">
      <c r="A21" s="45"/>
      <c r="B21" s="45"/>
      <c r="C21" s="38"/>
      <c r="D21" s="49" t="s">
        <v>170</v>
      </c>
      <c r="E21" s="38">
        <f>_xlfn.POISSON.DIST(1,3.2,0)</f>
        <v>0.13043905273077186</v>
      </c>
      <c r="F21" s="45"/>
      <c r="G21" s="45"/>
      <c r="H21" s="45"/>
      <c r="I21" s="45"/>
      <c r="J21" s="45"/>
      <c r="K21" s="1">
        <f>_xlfn.POISSON.DIST(5,5.4,1)</f>
        <v>0.54613210435819926</v>
      </c>
      <c r="L21" s="1">
        <f>1-K21</f>
        <v>0.45386789564180074</v>
      </c>
    </row>
    <row r="22" spans="1:12" x14ac:dyDescent="0.35">
      <c r="A22" s="45"/>
      <c r="B22" s="45"/>
      <c r="C22" s="38"/>
      <c r="D22" s="49" t="s">
        <v>171</v>
      </c>
      <c r="E22" s="38">
        <f>_xlfn.POISSON.DIST(2,3.2,0)</f>
        <v>0.20870248436923503</v>
      </c>
      <c r="F22" s="45"/>
      <c r="G22" s="45"/>
      <c r="H22" s="45"/>
      <c r="I22" s="45"/>
      <c r="J22" s="45"/>
    </row>
    <row r="23" spans="1:12" x14ac:dyDescent="0.35">
      <c r="A23" s="45"/>
      <c r="B23" s="45"/>
      <c r="C23" s="38"/>
      <c r="D23" s="49" t="s">
        <v>172</v>
      </c>
      <c r="E23" s="42">
        <f>_xlfn.POISSON.DIST(3,3.2,0)</f>
        <v>0.22261598332718405</v>
      </c>
      <c r="F23" s="59" t="s">
        <v>175</v>
      </c>
      <c r="G23" s="38"/>
      <c r="H23" s="45"/>
      <c r="I23" s="45"/>
      <c r="J23" s="45"/>
      <c r="K23" s="1">
        <f>_xlfn.POISSON.DIST(0,0.54,1)</f>
        <v>0.58274825237398964</v>
      </c>
      <c r="L23" s="1">
        <f>1-K23</f>
        <v>0.41725174762601036</v>
      </c>
    </row>
    <row r="24" spans="1:12" x14ac:dyDescent="0.35">
      <c r="A24" s="45"/>
      <c r="B24" s="45"/>
      <c r="C24" s="38"/>
      <c r="D24" s="49" t="s">
        <v>173</v>
      </c>
      <c r="E24" s="38">
        <f>_xlfn.POISSON.DIST(4,3.2,0)</f>
        <v>0.17809278666174727</v>
      </c>
      <c r="F24" s="45"/>
      <c r="G24" s="45"/>
      <c r="H24" s="45"/>
      <c r="I24" s="45"/>
      <c r="J24" s="45"/>
    </row>
    <row r="25" spans="1:12" x14ac:dyDescent="0.35">
      <c r="A25" s="45"/>
      <c r="B25" s="45"/>
      <c r="C25" s="45"/>
      <c r="D25" s="51" t="s">
        <v>174</v>
      </c>
      <c r="E25" s="45">
        <f>_xlfn.POISSON.DIST(5,3.2,0)</f>
        <v>0.11397938346351821</v>
      </c>
      <c r="F25" s="45"/>
      <c r="G25" s="45"/>
      <c r="H25" s="45"/>
      <c r="I25" s="45"/>
      <c r="J25" s="45"/>
      <c r="K25" s="1">
        <f>_xlfn.POISSON.DIST(0,1.08,1)</f>
        <v>0.33959552564493911</v>
      </c>
    </row>
    <row r="26" spans="1:12" x14ac:dyDescent="0.35">
      <c r="A26" s="45"/>
      <c r="B26" s="45"/>
      <c r="C26" s="49" t="s">
        <v>196</v>
      </c>
      <c r="D26" s="53">
        <v>5</v>
      </c>
      <c r="E26" s="58" t="s">
        <v>165</v>
      </c>
      <c r="F26" s="49" t="s">
        <v>197</v>
      </c>
      <c r="G26" s="53">
        <f>5*3.2</f>
        <v>16</v>
      </c>
      <c r="H26" s="45"/>
      <c r="I26" s="45"/>
      <c r="J26" s="45"/>
    </row>
    <row r="27" spans="1:12" x14ac:dyDescent="0.35">
      <c r="B27" s="1">
        <v>0</v>
      </c>
      <c r="C27" s="38"/>
      <c r="D27" s="49" t="s">
        <v>169</v>
      </c>
      <c r="E27" s="38">
        <f>_xlfn.POISSON.DIST(B27,16,0)</f>
        <v>1.1253517471925912E-7</v>
      </c>
      <c r="F27" s="45"/>
      <c r="G27" s="45"/>
    </row>
    <row r="28" spans="1:12" x14ac:dyDescent="0.35">
      <c r="B28" s="1">
        <v>1</v>
      </c>
      <c r="C28" s="38"/>
      <c r="D28" s="49" t="s">
        <v>170</v>
      </c>
      <c r="E28" s="38">
        <f t="shared" ref="E28:E45" si="0">_xlfn.POISSON.DIST(B28,16,0)</f>
        <v>1.8005627955081457E-6</v>
      </c>
      <c r="F28" s="45"/>
      <c r="G28" s="45"/>
      <c r="K28" s="1">
        <f>_xlfn.POISSON.DIST(2,7.6,1)</f>
        <v>1.8756919725354093E-2</v>
      </c>
      <c r="L28" s="1">
        <f>1-K28</f>
        <v>0.98124308027464591</v>
      </c>
    </row>
    <row r="29" spans="1:12" x14ac:dyDescent="0.35">
      <c r="B29" s="1">
        <v>2</v>
      </c>
      <c r="C29" s="38"/>
      <c r="D29" s="49" t="s">
        <v>171</v>
      </c>
      <c r="E29" s="38">
        <f t="shared" si="0"/>
        <v>1.4404502364065184E-5</v>
      </c>
      <c r="F29" s="45"/>
      <c r="G29" s="45"/>
    </row>
    <row r="30" spans="1:12" x14ac:dyDescent="0.35">
      <c r="B30" s="1">
        <v>3</v>
      </c>
      <c r="C30" s="38"/>
      <c r="D30" s="49" t="s">
        <v>172</v>
      </c>
      <c r="E30" s="38">
        <f t="shared" si="0"/>
        <v>7.6824012608347548E-5</v>
      </c>
      <c r="G30" s="38"/>
      <c r="K30" s="1">
        <f>_xlfn.POISSON.DIST(7,7.6,1)</f>
        <v>0.51004186537924934</v>
      </c>
    </row>
    <row r="31" spans="1:12" x14ac:dyDescent="0.35">
      <c r="B31" s="1">
        <v>4</v>
      </c>
      <c r="C31" s="38"/>
      <c r="D31" s="49" t="s">
        <v>173</v>
      </c>
      <c r="E31" s="38">
        <f t="shared" si="0"/>
        <v>3.0729605043339014E-4</v>
      </c>
      <c r="F31" s="45"/>
      <c r="G31" s="45"/>
    </row>
    <row r="32" spans="1:12" x14ac:dyDescent="0.35">
      <c r="B32" s="1">
        <v>5</v>
      </c>
      <c r="D32" s="49" t="s">
        <v>174</v>
      </c>
      <c r="E32" s="38">
        <f t="shared" si="0"/>
        <v>9.8334736138684892E-4</v>
      </c>
    </row>
    <row r="33" spans="2:7" x14ac:dyDescent="0.35">
      <c r="B33" s="1">
        <v>6</v>
      </c>
      <c r="D33" s="49" t="s">
        <v>200</v>
      </c>
      <c r="E33" s="38">
        <f t="shared" si="0"/>
        <v>2.6222596303649283E-3</v>
      </c>
    </row>
    <row r="34" spans="2:7" x14ac:dyDescent="0.35">
      <c r="B34" s="1">
        <v>7</v>
      </c>
      <c r="D34" s="49" t="s">
        <v>201</v>
      </c>
      <c r="E34" s="38">
        <f t="shared" si="0"/>
        <v>5.993736297976982E-3</v>
      </c>
    </row>
    <row r="35" spans="2:7" x14ac:dyDescent="0.35">
      <c r="B35" s="1">
        <v>8</v>
      </c>
      <c r="D35" s="49" t="s">
        <v>202</v>
      </c>
      <c r="E35" s="38">
        <f t="shared" si="0"/>
        <v>1.1987472595953967E-2</v>
      </c>
    </row>
    <row r="36" spans="2:7" x14ac:dyDescent="0.35">
      <c r="B36" s="1">
        <v>9</v>
      </c>
      <c r="D36" s="49" t="s">
        <v>203</v>
      </c>
      <c r="E36" s="38">
        <f t="shared" si="0"/>
        <v>2.1311062392807036E-2</v>
      </c>
    </row>
    <row r="37" spans="2:7" x14ac:dyDescent="0.35">
      <c r="B37" s="1">
        <v>10</v>
      </c>
      <c r="D37" s="49" t="s">
        <v>204</v>
      </c>
      <c r="E37" s="38">
        <f t="shared" si="0"/>
        <v>3.4097699828491299E-2</v>
      </c>
    </row>
    <row r="38" spans="2:7" x14ac:dyDescent="0.35">
      <c r="B38" s="1">
        <v>11</v>
      </c>
      <c r="D38" s="49" t="s">
        <v>205</v>
      </c>
      <c r="E38" s="38">
        <f t="shared" si="0"/>
        <v>4.9596654295987343E-2</v>
      </c>
    </row>
    <row r="39" spans="2:7" x14ac:dyDescent="0.35">
      <c r="B39" s="1">
        <v>12</v>
      </c>
      <c r="D39" s="49" t="s">
        <v>206</v>
      </c>
      <c r="E39" s="38">
        <f t="shared" si="0"/>
        <v>6.6128872394649749E-2</v>
      </c>
    </row>
    <row r="40" spans="2:7" x14ac:dyDescent="0.35">
      <c r="B40" s="1">
        <v>13</v>
      </c>
      <c r="D40" s="49" t="s">
        <v>207</v>
      </c>
      <c r="E40" s="38">
        <f t="shared" si="0"/>
        <v>8.1389381408799671E-2</v>
      </c>
    </row>
    <row r="41" spans="2:7" x14ac:dyDescent="0.35">
      <c r="B41" s="1">
        <v>14</v>
      </c>
      <c r="D41" s="49" t="s">
        <v>208</v>
      </c>
      <c r="E41" s="38">
        <f t="shared" si="0"/>
        <v>9.3016435895771091E-2</v>
      </c>
    </row>
    <row r="42" spans="2:7" x14ac:dyDescent="0.35">
      <c r="B42" s="1">
        <v>15</v>
      </c>
      <c r="D42" s="49" t="s">
        <v>209</v>
      </c>
      <c r="E42" s="42">
        <f t="shared" si="0"/>
        <v>9.9217531622155811E-2</v>
      </c>
      <c r="F42" s="59" t="s">
        <v>199</v>
      </c>
      <c r="G42" s="8">
        <f>(15+16)/2</f>
        <v>15.5</v>
      </c>
    </row>
    <row r="43" spans="2:7" x14ac:dyDescent="0.35">
      <c r="B43" s="1">
        <v>16</v>
      </c>
      <c r="D43" s="49" t="s">
        <v>210</v>
      </c>
      <c r="E43" s="42">
        <f t="shared" si="0"/>
        <v>9.9217531622155838E-2</v>
      </c>
    </row>
    <row r="44" spans="2:7" x14ac:dyDescent="0.35">
      <c r="B44" s="1">
        <v>17</v>
      </c>
      <c r="D44" s="49" t="s">
        <v>211</v>
      </c>
      <c r="E44" s="38">
        <f t="shared" si="0"/>
        <v>9.3381206232617239E-2</v>
      </c>
    </row>
    <row r="45" spans="2:7" x14ac:dyDescent="0.35">
      <c r="B45" s="1">
        <v>18</v>
      </c>
      <c r="D45" s="49" t="s">
        <v>212</v>
      </c>
      <c r="E45" s="38">
        <f t="shared" si="0"/>
        <v>8.3005516651215333E-2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"/>
  <sheetViews>
    <sheetView zoomScale="90" zoomScaleNormal="90" workbookViewId="0">
      <selection activeCell="H10" sqref="H10"/>
    </sheetView>
  </sheetViews>
  <sheetFormatPr defaultColWidth="9.1796875" defaultRowHeight="15.5" x14ac:dyDescent="0.35"/>
  <cols>
    <col min="1" max="5" width="9.1796875" style="1"/>
    <col min="6" max="6" width="7" style="1" customWidth="1"/>
    <col min="7" max="8" width="9.1796875" style="1"/>
    <col min="9" max="9" width="6.1796875" style="1" customWidth="1"/>
    <col min="10" max="16384" width="9.1796875" style="1"/>
  </cols>
  <sheetData>
    <row r="1" spans="1:10" x14ac:dyDescent="0.35">
      <c r="B1" s="39" t="s">
        <v>117</v>
      </c>
    </row>
    <row r="7" spans="1:10" ht="18" x14ac:dyDescent="0.35">
      <c r="A7" s="3" t="s">
        <v>242</v>
      </c>
      <c r="E7" s="27" t="s">
        <v>243</v>
      </c>
      <c r="F7" s="5">
        <v>500</v>
      </c>
      <c r="G7" s="1" t="s">
        <v>244</v>
      </c>
      <c r="H7" s="1" t="s">
        <v>245</v>
      </c>
      <c r="I7" s="5">
        <v>1</v>
      </c>
      <c r="J7" s="1" t="s">
        <v>219</v>
      </c>
    </row>
    <row r="8" spans="1:10" x14ac:dyDescent="0.35">
      <c r="A8" s="3"/>
      <c r="E8" s="27"/>
      <c r="F8" s="5"/>
      <c r="I8" s="5"/>
    </row>
    <row r="9" spans="1:10" x14ac:dyDescent="0.35">
      <c r="E9" s="27" t="s">
        <v>243</v>
      </c>
      <c r="F9" s="5">
        <v>1000</v>
      </c>
      <c r="G9" s="1" t="s">
        <v>244</v>
      </c>
      <c r="H9" s="1" t="s">
        <v>245</v>
      </c>
      <c r="I9" s="5">
        <f>2*I7</f>
        <v>2</v>
      </c>
      <c r="J9" s="1" t="s">
        <v>219</v>
      </c>
    </row>
    <row r="10" spans="1:10" x14ac:dyDescent="0.35">
      <c r="E10" s="27" t="s">
        <v>240</v>
      </c>
      <c r="F10" s="5">
        <v>0</v>
      </c>
      <c r="G10" s="1" t="s">
        <v>246</v>
      </c>
      <c r="H10" s="70">
        <f>_xlfn.POISSON.DIST(0,I9,0)</f>
        <v>0.1353352832366127</v>
      </c>
    </row>
    <row r="12" spans="1:10" x14ac:dyDescent="0.35">
      <c r="E12" s="27" t="s">
        <v>243</v>
      </c>
      <c r="F12" s="5">
        <v>2000</v>
      </c>
      <c r="G12" s="1" t="s">
        <v>244</v>
      </c>
      <c r="H12" s="1" t="s">
        <v>245</v>
      </c>
      <c r="I12" s="5">
        <f>4*I7</f>
        <v>4</v>
      </c>
      <c r="J12" s="1" t="s">
        <v>219</v>
      </c>
    </row>
    <row r="13" spans="1:10" x14ac:dyDescent="0.35">
      <c r="E13" s="27" t="s">
        <v>240</v>
      </c>
      <c r="F13" s="5">
        <v>0</v>
      </c>
      <c r="G13" s="1" t="s">
        <v>246</v>
      </c>
      <c r="H13" s="70">
        <f>_xlfn.POISSON.DIST(0,I12,0)</f>
        <v>1.8315638888734179E-2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L22"/>
  <sheetViews>
    <sheetView topLeftCell="A3" zoomScale="90" zoomScaleNormal="90" workbookViewId="0">
      <selection activeCell="F17" sqref="F17"/>
    </sheetView>
  </sheetViews>
  <sheetFormatPr defaultRowHeight="14.5" x14ac:dyDescent="0.35"/>
  <cols>
    <col min="4" max="4" width="5.1796875" customWidth="1"/>
    <col min="5" max="5" width="4" customWidth="1"/>
    <col min="7" max="7" width="4.54296875" customWidth="1"/>
  </cols>
  <sheetData>
    <row r="1" spans="2:9" ht="15.5" x14ac:dyDescent="0.35">
      <c r="B1" s="39" t="s">
        <v>117</v>
      </c>
    </row>
    <row r="2" spans="2:9" ht="15.5" x14ac:dyDescent="0.35">
      <c r="B2" s="39"/>
    </row>
    <row r="3" spans="2:9" x14ac:dyDescent="0.35">
      <c r="B3" s="61" t="s">
        <v>213</v>
      </c>
    </row>
    <row r="4" spans="2:9" x14ac:dyDescent="0.35">
      <c r="B4" s="61" t="s">
        <v>214</v>
      </c>
    </row>
    <row r="5" spans="2:9" x14ac:dyDescent="0.35">
      <c r="B5" s="61" t="s">
        <v>215</v>
      </c>
    </row>
    <row r="6" spans="2:9" x14ac:dyDescent="0.35">
      <c r="B6" s="62"/>
    </row>
    <row r="7" spans="2:9" x14ac:dyDescent="0.35">
      <c r="B7" s="62"/>
      <c r="C7" s="63" t="s">
        <v>216</v>
      </c>
      <c r="D7" s="64">
        <v>1</v>
      </c>
      <c r="E7" t="s">
        <v>217</v>
      </c>
    </row>
    <row r="8" spans="2:9" x14ac:dyDescent="0.35">
      <c r="B8" s="62"/>
      <c r="C8" s="65" t="s">
        <v>218</v>
      </c>
      <c r="D8" s="64">
        <v>0.8</v>
      </c>
      <c r="E8" t="s">
        <v>219</v>
      </c>
    </row>
    <row r="10" spans="2:9" x14ac:dyDescent="0.35">
      <c r="B10" s="62" t="s">
        <v>220</v>
      </c>
    </row>
    <row r="11" spans="2:9" x14ac:dyDescent="0.35">
      <c r="B11" s="62"/>
    </row>
    <row r="12" spans="2:9" x14ac:dyDescent="0.35">
      <c r="B12" s="62"/>
      <c r="C12" s="63" t="s">
        <v>216</v>
      </c>
      <c r="D12" s="64">
        <v>7</v>
      </c>
      <c r="E12" t="s">
        <v>221</v>
      </c>
      <c r="F12" s="64">
        <v>1</v>
      </c>
      <c r="G12" s="64"/>
      <c r="H12" s="64">
        <v>0.8</v>
      </c>
      <c r="I12" s="64"/>
    </row>
    <row r="13" spans="2:9" x14ac:dyDescent="0.35">
      <c r="B13" s="62"/>
      <c r="C13" s="65" t="s">
        <v>218</v>
      </c>
      <c r="D13" s="64">
        <f>I13</f>
        <v>5.6000000000000005</v>
      </c>
      <c r="E13" t="s">
        <v>219</v>
      </c>
      <c r="F13" s="64">
        <v>7</v>
      </c>
      <c r="G13" s="64"/>
      <c r="H13" s="64" t="s">
        <v>222</v>
      </c>
      <c r="I13" s="66">
        <f>H12*F13/F12</f>
        <v>5.6000000000000005</v>
      </c>
    </row>
    <row r="14" spans="2:9" x14ac:dyDescent="0.35">
      <c r="B14" s="62"/>
    </row>
    <row r="15" spans="2:9" x14ac:dyDescent="0.35">
      <c r="C15" s="63" t="s">
        <v>223</v>
      </c>
      <c r="D15" s="64">
        <v>6</v>
      </c>
      <c r="E15" t="s">
        <v>224</v>
      </c>
    </row>
    <row r="16" spans="2:9" x14ac:dyDescent="0.35">
      <c r="C16" s="63" t="s">
        <v>225</v>
      </c>
      <c r="D16" s="64">
        <v>6</v>
      </c>
      <c r="E16" t="s">
        <v>224</v>
      </c>
    </row>
    <row r="17" spans="2:12" x14ac:dyDescent="0.35">
      <c r="C17" s="63" t="s">
        <v>226</v>
      </c>
      <c r="D17" s="64">
        <v>5</v>
      </c>
      <c r="E17" t="s">
        <v>224</v>
      </c>
      <c r="F17" s="67">
        <f>1-_xlfn.POISSON.DIST(D17,D13,1)</f>
        <v>0.48813906162449694</v>
      </c>
      <c r="I17">
        <f>_xlfn.POISSON.DIST(5,7.8,1)</f>
        <v>0.21025110554874324</v>
      </c>
      <c r="K17">
        <f>1-I17</f>
        <v>0.78974889445125673</v>
      </c>
      <c r="L17">
        <f>_xlfn.POISSON.DIST(7,7.8,1)</f>
        <v>0.4812090170920974</v>
      </c>
    </row>
    <row r="19" spans="2:12" x14ac:dyDescent="0.35">
      <c r="B19" s="62" t="s">
        <v>227</v>
      </c>
    </row>
    <row r="21" spans="2:12" x14ac:dyDescent="0.35">
      <c r="C21" s="63" t="s">
        <v>228</v>
      </c>
      <c r="D21" s="64">
        <v>5</v>
      </c>
      <c r="E21" t="s">
        <v>224</v>
      </c>
    </row>
    <row r="22" spans="2:12" x14ac:dyDescent="0.35">
      <c r="C22" s="63" t="s">
        <v>229</v>
      </c>
      <c r="D22" s="64">
        <v>4</v>
      </c>
      <c r="E22" t="s">
        <v>224</v>
      </c>
      <c r="F22" s="67">
        <f>_xlfn.POISSON.DIST(D22,D13,1)</f>
        <v>0.34215001737678613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H23"/>
  <sheetViews>
    <sheetView topLeftCell="A3" zoomScale="90" zoomScaleNormal="90" workbookViewId="0">
      <selection activeCell="H23" sqref="H23"/>
    </sheetView>
  </sheetViews>
  <sheetFormatPr defaultRowHeight="14.5" x14ac:dyDescent="0.35"/>
  <cols>
    <col min="6" max="6" width="3.81640625" customWidth="1"/>
    <col min="7" max="7" width="3.453125" customWidth="1"/>
  </cols>
  <sheetData>
    <row r="1" spans="2:8" ht="15.5" x14ac:dyDescent="0.35">
      <c r="B1" s="39" t="s">
        <v>117</v>
      </c>
    </row>
    <row r="2" spans="2:8" ht="15.5" x14ac:dyDescent="0.35">
      <c r="B2" s="39"/>
    </row>
    <row r="3" spans="2:8" x14ac:dyDescent="0.35">
      <c r="B3" s="61" t="s">
        <v>230</v>
      </c>
      <c r="C3" s="62"/>
    </row>
    <row r="4" spans="2:8" x14ac:dyDescent="0.35">
      <c r="B4" s="61" t="s">
        <v>231</v>
      </c>
      <c r="C4" s="62"/>
    </row>
    <row r="5" spans="2:8" x14ac:dyDescent="0.35">
      <c r="B5" s="62"/>
      <c r="C5" s="62"/>
    </row>
    <row r="6" spans="2:8" x14ac:dyDescent="0.35">
      <c r="B6" s="62" t="s">
        <v>232</v>
      </c>
      <c r="C6" s="62"/>
    </row>
    <row r="7" spans="2:8" x14ac:dyDescent="0.35">
      <c r="B7" s="62" t="s">
        <v>233</v>
      </c>
      <c r="C7" s="62"/>
    </row>
    <row r="9" spans="2:8" x14ac:dyDescent="0.35">
      <c r="B9" s="63" t="s">
        <v>234</v>
      </c>
      <c r="C9" t="s">
        <v>235</v>
      </c>
    </row>
    <row r="10" spans="2:8" x14ac:dyDescent="0.35">
      <c r="B10" s="63" t="s">
        <v>236</v>
      </c>
      <c r="C10" s="66">
        <v>3</v>
      </c>
    </row>
    <row r="11" spans="2:8" x14ac:dyDescent="0.35">
      <c r="E11" s="64" t="s">
        <v>237</v>
      </c>
      <c r="F11" s="64"/>
      <c r="G11" s="64"/>
      <c r="H11" s="68" t="s">
        <v>238</v>
      </c>
    </row>
    <row r="12" spans="2:8" x14ac:dyDescent="0.35">
      <c r="E12" s="64">
        <v>60</v>
      </c>
      <c r="F12" s="64"/>
      <c r="G12" s="64"/>
      <c r="H12" s="64">
        <v>3</v>
      </c>
    </row>
    <row r="13" spans="2:8" x14ac:dyDescent="0.35">
      <c r="E13" s="64">
        <v>10</v>
      </c>
      <c r="F13" s="64"/>
      <c r="G13" s="64"/>
      <c r="H13" s="64" t="s">
        <v>239</v>
      </c>
    </row>
    <row r="15" spans="2:8" x14ac:dyDescent="0.35">
      <c r="G15" s="63" t="s">
        <v>236</v>
      </c>
      <c r="H15" s="66">
        <f>H12*E13/E12</f>
        <v>0.5</v>
      </c>
    </row>
    <row r="17" spans="2:8" x14ac:dyDescent="0.35">
      <c r="E17" s="63" t="s">
        <v>240</v>
      </c>
      <c r="F17" s="64">
        <v>0</v>
      </c>
      <c r="G17" t="s">
        <v>224</v>
      </c>
      <c r="H17" s="69">
        <f>_xlfn.POISSON.DIST(F17,H$15,0)</f>
        <v>0.60653065971263342</v>
      </c>
    </row>
    <row r="18" spans="2:8" x14ac:dyDescent="0.35">
      <c r="E18" s="63" t="s">
        <v>223</v>
      </c>
      <c r="F18" s="64">
        <v>1</v>
      </c>
      <c r="G18" t="s">
        <v>224</v>
      </c>
      <c r="H18" s="67">
        <f>1-H17</f>
        <v>0.39346934028736658</v>
      </c>
    </row>
    <row r="20" spans="2:8" x14ac:dyDescent="0.35">
      <c r="B20" s="62" t="s">
        <v>241</v>
      </c>
    </row>
    <row r="21" spans="2:8" x14ac:dyDescent="0.35">
      <c r="E21" s="63" t="s">
        <v>240</v>
      </c>
      <c r="F21" s="64">
        <v>0</v>
      </c>
      <c r="G21" t="s">
        <v>224</v>
      </c>
      <c r="H21" s="69">
        <f>_xlfn.POISSON.DIST(F21,H$15,0)</f>
        <v>0.60653065971263342</v>
      </c>
    </row>
    <row r="22" spans="2:8" x14ac:dyDescent="0.35">
      <c r="E22" s="63" t="s">
        <v>240</v>
      </c>
      <c r="F22" s="64">
        <v>1</v>
      </c>
      <c r="G22" t="s">
        <v>224</v>
      </c>
      <c r="H22" s="69">
        <f>_xlfn.POISSON.DIST(F22,H$15,0)</f>
        <v>0.30326532985631671</v>
      </c>
    </row>
    <row r="23" spans="2:8" x14ac:dyDescent="0.35">
      <c r="E23" s="63" t="s">
        <v>223</v>
      </c>
      <c r="F23" s="64">
        <v>2</v>
      </c>
      <c r="G23" t="s">
        <v>224</v>
      </c>
      <c r="H23" s="67">
        <f>1-H21-H22</f>
        <v>9.0204010431049864E-2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G13"/>
  <sheetViews>
    <sheetView zoomScale="90" zoomScaleNormal="90" workbookViewId="0">
      <selection activeCell="K9" sqref="K9"/>
    </sheetView>
  </sheetViews>
  <sheetFormatPr defaultColWidth="9.1796875" defaultRowHeight="15.5" x14ac:dyDescent="0.35"/>
  <cols>
    <col min="1" max="16384" width="9.1796875" style="1"/>
  </cols>
  <sheetData>
    <row r="2" spans="2:7" ht="18" x14ac:dyDescent="0.4">
      <c r="B2" s="71" t="s">
        <v>261</v>
      </c>
    </row>
    <row r="4" spans="2:7" ht="21.5" x14ac:dyDescent="0.45">
      <c r="B4" s="2" t="s">
        <v>262</v>
      </c>
    </row>
    <row r="6" spans="2:7" ht="18" x14ac:dyDescent="0.4">
      <c r="B6" s="34" t="s">
        <v>263</v>
      </c>
      <c r="G6" s="40" t="s">
        <v>264</v>
      </c>
    </row>
    <row r="8" spans="2:7" x14ac:dyDescent="0.35">
      <c r="B8" s="1" t="s">
        <v>287</v>
      </c>
    </row>
    <row r="10" spans="2:7" x14ac:dyDescent="0.35">
      <c r="B10" s="1" t="s">
        <v>288</v>
      </c>
    </row>
    <row r="12" spans="2:7" x14ac:dyDescent="0.35">
      <c r="B12" s="3" t="s">
        <v>289</v>
      </c>
    </row>
    <row r="13" spans="2:7" x14ac:dyDescent="0.35">
      <c r="B13" s="3" t="s">
        <v>290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6:H62"/>
  <sheetViews>
    <sheetView zoomScale="90" zoomScaleNormal="90" workbookViewId="0">
      <selection activeCell="D72" sqref="D72"/>
    </sheetView>
  </sheetViews>
  <sheetFormatPr defaultColWidth="9.1796875" defaultRowHeight="15.5" x14ac:dyDescent="0.35"/>
  <cols>
    <col min="1" max="16384" width="9.1796875" style="1"/>
  </cols>
  <sheetData>
    <row r="16" spans="1:8" x14ac:dyDescent="0.35">
      <c r="A16" s="6" t="s">
        <v>43</v>
      </c>
      <c r="G16" s="27" t="s">
        <v>265</v>
      </c>
      <c r="H16" s="8">
        <f>2/5</f>
        <v>0.4</v>
      </c>
    </row>
    <row r="25" spans="1:4" x14ac:dyDescent="0.35">
      <c r="A25" s="6" t="s">
        <v>44</v>
      </c>
      <c r="B25" s="1" t="s">
        <v>271</v>
      </c>
    </row>
    <row r="27" spans="1:4" x14ac:dyDescent="0.35">
      <c r="B27" s="1" t="s">
        <v>266</v>
      </c>
    </row>
    <row r="28" spans="1:4" x14ac:dyDescent="0.35">
      <c r="B28" s="1" t="s">
        <v>267</v>
      </c>
    </row>
    <row r="30" spans="1:4" x14ac:dyDescent="0.35">
      <c r="B30" s="1" t="s">
        <v>268</v>
      </c>
    </row>
    <row r="31" spans="1:4" x14ac:dyDescent="0.35">
      <c r="C31" s="27" t="s">
        <v>269</v>
      </c>
      <c r="D31" s="10">
        <f>1-0.2*4</f>
        <v>0.19999999999999996</v>
      </c>
    </row>
    <row r="33" spans="1:4" x14ac:dyDescent="0.35">
      <c r="C33" s="27" t="s">
        <v>270</v>
      </c>
      <c r="D33" s="8">
        <f>0.2/2</f>
        <v>0.1</v>
      </c>
    </row>
    <row r="36" spans="1:4" x14ac:dyDescent="0.35">
      <c r="A36" s="6" t="s">
        <v>51</v>
      </c>
      <c r="B36" s="1" t="s">
        <v>272</v>
      </c>
    </row>
    <row r="38" spans="1:4" x14ac:dyDescent="0.35">
      <c r="B38" s="1" t="s">
        <v>273</v>
      </c>
    </row>
    <row r="39" spans="1:4" x14ac:dyDescent="0.35">
      <c r="B39" s="1" t="s">
        <v>274</v>
      </c>
    </row>
    <row r="40" spans="1:4" x14ac:dyDescent="0.35">
      <c r="B40" s="27" t="s">
        <v>275</v>
      </c>
      <c r="C40" s="10">
        <f>(1.5+0.5)/2*0.4</f>
        <v>0.4</v>
      </c>
    </row>
    <row r="41" spans="1:4" x14ac:dyDescent="0.35">
      <c r="B41" s="27" t="s">
        <v>275</v>
      </c>
      <c r="C41" s="72">
        <f>C40</f>
        <v>0.4</v>
      </c>
    </row>
    <row r="47" spans="1:4" x14ac:dyDescent="0.35">
      <c r="A47" s="6" t="s">
        <v>168</v>
      </c>
      <c r="B47" s="39" t="s">
        <v>276</v>
      </c>
    </row>
    <row r="49" spans="1:5" x14ac:dyDescent="0.35">
      <c r="A49" s="6" t="s">
        <v>277</v>
      </c>
      <c r="B49" s="1" t="s">
        <v>285</v>
      </c>
    </row>
    <row r="50" spans="1:5" x14ac:dyDescent="0.35">
      <c r="B50" s="1" t="s">
        <v>278</v>
      </c>
    </row>
    <row r="51" spans="1:5" x14ac:dyDescent="0.35">
      <c r="B51" s="1" t="s">
        <v>280</v>
      </c>
    </row>
    <row r="53" spans="1:5" x14ac:dyDescent="0.35">
      <c r="D53" s="27" t="s">
        <v>279</v>
      </c>
      <c r="E53" s="10">
        <f>1-0.1</f>
        <v>0.9</v>
      </c>
    </row>
    <row r="54" spans="1:5" x14ac:dyDescent="0.35">
      <c r="D54" s="27" t="s">
        <v>284</v>
      </c>
      <c r="E54" s="10">
        <f>D55+D57</f>
        <v>0.70000000000000007</v>
      </c>
    </row>
    <row r="55" spans="1:5" x14ac:dyDescent="0.35">
      <c r="C55" s="27" t="s">
        <v>281</v>
      </c>
      <c r="D55" s="10">
        <f>1*0.4</f>
        <v>0.4</v>
      </c>
    </row>
    <row r="56" spans="1:5" x14ac:dyDescent="0.35">
      <c r="C56" s="27" t="s">
        <v>282</v>
      </c>
    </row>
    <row r="57" spans="1:5" x14ac:dyDescent="0.35">
      <c r="C57" s="27" t="s">
        <v>283</v>
      </c>
      <c r="D57" s="10">
        <f>(0.4+0.2)/2*1</f>
        <v>0.30000000000000004</v>
      </c>
    </row>
    <row r="59" spans="1:5" x14ac:dyDescent="0.35">
      <c r="D59" s="27" t="s">
        <v>286</v>
      </c>
      <c r="E59" s="8">
        <f>E54/E53</f>
        <v>0.77777777777777779</v>
      </c>
    </row>
    <row r="62" spans="1:5" x14ac:dyDescent="0.35">
      <c r="C62" s="1">
        <f>-2*0.5^3+3*0.5^2</f>
        <v>0.5</v>
      </c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38"/>
  <sheetViews>
    <sheetView zoomScale="90" zoomScaleNormal="90" workbookViewId="0">
      <selection activeCell="B14" sqref="B14"/>
    </sheetView>
  </sheetViews>
  <sheetFormatPr defaultColWidth="9.1796875" defaultRowHeight="15.5" x14ac:dyDescent="0.35"/>
  <cols>
    <col min="1" max="1" width="11.453125" style="1" customWidth="1"/>
    <col min="2" max="16384" width="9.1796875" style="1"/>
  </cols>
  <sheetData>
    <row r="2" spans="1:14" x14ac:dyDescent="0.35">
      <c r="B2" s="88" t="s">
        <v>365</v>
      </c>
    </row>
    <row r="4" spans="1:14" x14ac:dyDescent="0.35">
      <c r="A4" s="89" t="s">
        <v>291</v>
      </c>
      <c r="B4" s="1" t="s">
        <v>355</v>
      </c>
    </row>
    <row r="5" spans="1:14" x14ac:dyDescent="0.35">
      <c r="B5" s="27" t="s">
        <v>292</v>
      </c>
      <c r="C5" s="10">
        <v>25</v>
      </c>
    </row>
    <row r="6" spans="1:14" x14ac:dyDescent="0.35">
      <c r="B6" s="27" t="s">
        <v>293</v>
      </c>
      <c r="C6" s="10">
        <v>4</v>
      </c>
    </row>
    <row r="8" spans="1:14" x14ac:dyDescent="0.35">
      <c r="A8" s="38"/>
      <c r="B8" s="49" t="s">
        <v>294</v>
      </c>
      <c r="C8" s="38" t="s">
        <v>295</v>
      </c>
      <c r="D8" s="38"/>
      <c r="E8" s="45"/>
      <c r="M8" s="1">
        <f>(95-81)/SQRT(52)</f>
        <v>1.9414506867883021</v>
      </c>
    </row>
    <row r="9" spans="1:14" x14ac:dyDescent="0.35">
      <c r="A9" s="49" t="s">
        <v>296</v>
      </c>
      <c r="B9" s="53">
        <f>(28-C5)/C6</f>
        <v>0.75</v>
      </c>
      <c r="C9" s="38" t="s">
        <v>297</v>
      </c>
      <c r="D9" s="45"/>
      <c r="E9" s="45"/>
    </row>
    <row r="10" spans="1:14" x14ac:dyDescent="0.35">
      <c r="A10" s="49" t="s">
        <v>275</v>
      </c>
      <c r="B10" s="50">
        <f>_xlfn.NORM.S.DIST(B9,1)</f>
        <v>0.77337264762313174</v>
      </c>
      <c r="C10" s="39" t="s">
        <v>298</v>
      </c>
      <c r="D10" s="45"/>
      <c r="E10" s="45"/>
    </row>
    <row r="11" spans="1:14" x14ac:dyDescent="0.35">
      <c r="A11" s="45"/>
      <c r="B11" s="45"/>
      <c r="C11" s="45"/>
      <c r="D11" s="45"/>
      <c r="E11" s="45"/>
      <c r="M11" s="1">
        <f>_xlfn.NORM.S.DIST(M8,1)</f>
        <v>0.97389818232934267</v>
      </c>
      <c r="N11" s="1">
        <f>1-M11</f>
        <v>2.6101817670657335E-2</v>
      </c>
    </row>
    <row r="12" spans="1:14" x14ac:dyDescent="0.35">
      <c r="A12" s="38"/>
      <c r="B12" s="49" t="s">
        <v>299</v>
      </c>
      <c r="C12" s="38" t="s">
        <v>300</v>
      </c>
      <c r="D12" s="38"/>
      <c r="E12" s="45"/>
    </row>
    <row r="13" spans="1:14" x14ac:dyDescent="0.35">
      <c r="A13" s="49" t="s">
        <v>301</v>
      </c>
      <c r="B13" s="53">
        <f>(19-C5)/C6</f>
        <v>-1.5</v>
      </c>
      <c r="C13" s="38" t="s">
        <v>297</v>
      </c>
      <c r="D13" s="45"/>
      <c r="E13" s="45"/>
      <c r="N13" s="1">
        <f>151*N11</f>
        <v>3.9413744682692577</v>
      </c>
    </row>
    <row r="14" spans="1:14" x14ac:dyDescent="0.35">
      <c r="A14" s="49" t="s">
        <v>275</v>
      </c>
      <c r="B14" s="50">
        <f>_xlfn.NORM.S.DIST(B13,1)</f>
        <v>6.6807201268858057E-2</v>
      </c>
      <c r="C14" s="39" t="s">
        <v>298</v>
      </c>
      <c r="D14" s="38"/>
      <c r="E14" s="45"/>
    </row>
    <row r="15" spans="1:14" x14ac:dyDescent="0.35">
      <c r="A15" s="45"/>
      <c r="B15" s="45"/>
      <c r="C15" s="45"/>
      <c r="D15" s="45"/>
      <c r="E15" s="45"/>
    </row>
    <row r="18" spans="1:8" x14ac:dyDescent="0.35">
      <c r="H18" s="1">
        <v>0.75</v>
      </c>
    </row>
    <row r="24" spans="1:8" x14ac:dyDescent="0.35">
      <c r="B24" s="5">
        <v>-1.5</v>
      </c>
    </row>
    <row r="27" spans="1:8" x14ac:dyDescent="0.35">
      <c r="B27" s="27" t="s">
        <v>302</v>
      </c>
      <c r="C27" s="1" t="s">
        <v>303</v>
      </c>
    </row>
    <row r="28" spans="1:8" x14ac:dyDescent="0.35">
      <c r="A28" s="27" t="s">
        <v>304</v>
      </c>
      <c r="B28" s="10">
        <f>(26.5-C5)/C6</f>
        <v>0.375</v>
      </c>
      <c r="C28" s="1" t="s">
        <v>307</v>
      </c>
      <c r="D28" s="10">
        <f>_xlfn.NORM.S.DIST(B28,1)</f>
        <v>0.64616976667272386</v>
      </c>
    </row>
    <row r="29" spans="1:8" x14ac:dyDescent="0.35">
      <c r="A29" s="27" t="s">
        <v>275</v>
      </c>
      <c r="B29" s="8">
        <f>1-_xlfn.NORM.S.DIST(B28,1)</f>
        <v>0.35383023332727614</v>
      </c>
      <c r="C29" s="39" t="s">
        <v>305</v>
      </c>
    </row>
    <row r="31" spans="1:8" x14ac:dyDescent="0.35">
      <c r="C31" s="27" t="s">
        <v>306</v>
      </c>
      <c r="D31" s="1" t="s">
        <v>308</v>
      </c>
    </row>
    <row r="32" spans="1:8" x14ac:dyDescent="0.35">
      <c r="A32" s="27" t="s">
        <v>309</v>
      </c>
      <c r="B32" s="5">
        <f>(21-C5)/C6</f>
        <v>-1</v>
      </c>
      <c r="C32" s="5" t="s">
        <v>310</v>
      </c>
      <c r="D32" s="5">
        <f>(27-C5)/C6</f>
        <v>0.5</v>
      </c>
      <c r="E32" s="1" t="s">
        <v>297</v>
      </c>
    </row>
    <row r="33" spans="1:11" x14ac:dyDescent="0.35">
      <c r="A33" s="27" t="s">
        <v>311</v>
      </c>
      <c r="B33" s="8">
        <f>_xlfn.NORM.S.DIST(D32,1)-_xlfn.NORM.S.DIST(B32,1)</f>
        <v>0.53280720734255616</v>
      </c>
      <c r="C33" s="39" t="s">
        <v>312</v>
      </c>
    </row>
    <row r="38" spans="1:11" x14ac:dyDescent="0.35">
      <c r="J38" s="10">
        <v>-1</v>
      </c>
      <c r="K38" s="5">
        <v>0.5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2:M27"/>
  <sheetViews>
    <sheetView tabSelected="1" topLeftCell="A4" zoomScale="90" zoomScaleNormal="90" workbookViewId="0">
      <selection activeCell="N17" sqref="N17"/>
    </sheetView>
  </sheetViews>
  <sheetFormatPr defaultColWidth="9.1796875" defaultRowHeight="15.5" x14ac:dyDescent="0.35"/>
  <cols>
    <col min="1" max="1" width="9.1796875" style="1"/>
    <col min="2" max="2" width="12" style="1" customWidth="1"/>
    <col min="3" max="3" width="9.1796875" style="1"/>
    <col min="4" max="4" width="7.7265625" style="1" customWidth="1"/>
    <col min="5" max="5" width="9.26953125" style="1" customWidth="1"/>
    <col min="6" max="6" width="6.81640625" style="1" customWidth="1"/>
    <col min="7" max="7" width="9.1796875" style="1"/>
    <col min="8" max="8" width="4.26953125" style="1" customWidth="1"/>
    <col min="9" max="9" width="9.1796875" style="1"/>
    <col min="10" max="10" width="3.453125" style="1" customWidth="1"/>
    <col min="11" max="11" width="11.453125" style="1" customWidth="1"/>
    <col min="12" max="15" width="9.1796875" style="1"/>
    <col min="16" max="16" width="10.08984375" style="1" bestFit="1" customWidth="1"/>
    <col min="17" max="16384" width="9.1796875" style="1"/>
  </cols>
  <sheetData>
    <row r="12" spans="1:13" x14ac:dyDescent="0.35">
      <c r="A12" s="45"/>
      <c r="B12" s="38" t="s">
        <v>313</v>
      </c>
      <c r="C12" s="38"/>
      <c r="D12" s="45"/>
      <c r="E12" s="45"/>
      <c r="F12" s="45"/>
      <c r="G12" s="38"/>
      <c r="H12" s="38"/>
      <c r="I12" s="38"/>
      <c r="J12" s="38"/>
      <c r="K12" s="38"/>
      <c r="L12" s="38"/>
      <c r="M12" s="45"/>
    </row>
    <row r="13" spans="1:13" x14ac:dyDescent="0.35">
      <c r="A13" s="45"/>
      <c r="B13" s="38" t="s">
        <v>356</v>
      </c>
      <c r="C13" s="38"/>
      <c r="D13" s="38"/>
      <c r="E13" s="38"/>
      <c r="F13" s="49" t="s">
        <v>357</v>
      </c>
      <c r="G13" s="53">
        <v>11</v>
      </c>
      <c r="H13" s="49" t="s">
        <v>358</v>
      </c>
      <c r="I13" s="53">
        <v>1.5</v>
      </c>
      <c r="J13" s="45"/>
      <c r="K13" s="45"/>
      <c r="L13" s="45"/>
      <c r="M13" s="45"/>
    </row>
    <row r="14" spans="1:13" x14ac:dyDescent="0.3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84"/>
      <c r="L14" s="84"/>
      <c r="M14" s="45"/>
    </row>
    <row r="15" spans="1:13" x14ac:dyDescent="0.35">
      <c r="A15" s="45"/>
      <c r="B15" s="38"/>
      <c r="C15" s="49" t="s">
        <v>314</v>
      </c>
      <c r="D15" s="58" t="s">
        <v>315</v>
      </c>
      <c r="E15" s="79">
        <f>(12-G13)/I13</f>
        <v>0.66666666666666663</v>
      </c>
      <c r="F15" s="58" t="s">
        <v>224</v>
      </c>
      <c r="G15" s="85">
        <f>1-_xlfn.NORM.S.DIST(E15,1)</f>
        <v>0.25249253754692291</v>
      </c>
      <c r="H15" s="38"/>
      <c r="I15" s="38"/>
      <c r="J15" s="45"/>
      <c r="K15" s="45"/>
      <c r="L15" s="45"/>
      <c r="M15" s="45"/>
    </row>
    <row r="16" spans="1:13" x14ac:dyDescent="0.35">
      <c r="A16" s="45"/>
      <c r="B16" s="38"/>
      <c r="C16" s="38"/>
      <c r="D16" s="38"/>
      <c r="E16" s="38"/>
      <c r="F16" s="38"/>
      <c r="G16" s="38"/>
      <c r="H16" s="38"/>
      <c r="I16" s="38"/>
      <c r="J16" s="45"/>
      <c r="K16" s="45"/>
      <c r="L16" s="45"/>
      <c r="M16" s="45"/>
    </row>
    <row r="17" spans="1:13" x14ac:dyDescent="0.35">
      <c r="A17" s="45"/>
      <c r="B17" s="38"/>
      <c r="C17" s="49" t="s">
        <v>316</v>
      </c>
      <c r="D17" s="58" t="s">
        <v>317</v>
      </c>
      <c r="E17" s="58">
        <f>(10-G13)/I13</f>
        <v>-0.66666666666666663</v>
      </c>
      <c r="F17" s="58" t="s">
        <v>318</v>
      </c>
      <c r="G17" s="58">
        <f>(12-G13)/I13</f>
        <v>0.66666666666666663</v>
      </c>
      <c r="H17" s="38" t="s">
        <v>224</v>
      </c>
      <c r="I17" s="85">
        <f>_xlfn.NORM.S.DIST(G17,1)-_xlfn.NORM.S.DIST(E17,1)</f>
        <v>0.49501492490615417</v>
      </c>
      <c r="J17" s="45"/>
      <c r="M17" s="45"/>
    </row>
    <row r="18" spans="1:13" x14ac:dyDescent="0.35">
      <c r="A18" s="45"/>
      <c r="B18" s="45"/>
      <c r="C18" s="45"/>
      <c r="D18" s="45"/>
      <c r="E18" s="45"/>
      <c r="F18" s="45"/>
      <c r="G18" s="45"/>
      <c r="H18" s="45"/>
      <c r="I18" s="45"/>
      <c r="J18" s="45"/>
      <c r="M18" s="45"/>
    </row>
    <row r="19" spans="1:13" x14ac:dyDescent="0.35">
      <c r="A19" s="38"/>
      <c r="B19" s="38"/>
      <c r="C19" s="49" t="s">
        <v>319</v>
      </c>
      <c r="D19" s="58" t="s">
        <v>317</v>
      </c>
      <c r="E19" s="58">
        <f>(8-G13)/I13</f>
        <v>-2</v>
      </c>
      <c r="F19" s="58" t="s">
        <v>318</v>
      </c>
      <c r="G19" s="58">
        <f>(10-G13)/I13</f>
        <v>-0.66666666666666663</v>
      </c>
      <c r="H19" s="38" t="s">
        <v>224</v>
      </c>
      <c r="I19" s="53">
        <f>_xlfn.NORM.S.DIST(G19,1)-_xlfn.NORM.S.DIST(E19,1)</f>
        <v>0.22974240559874373</v>
      </c>
      <c r="J19" s="45"/>
      <c r="M19" s="45"/>
    </row>
    <row r="20" spans="1:13" x14ac:dyDescent="0.35">
      <c r="A20" s="38"/>
      <c r="B20" s="38"/>
      <c r="C20" s="38"/>
      <c r="D20" s="38"/>
      <c r="E20" s="38"/>
      <c r="F20" s="38"/>
      <c r="G20" s="38"/>
      <c r="H20" s="38"/>
      <c r="I20" s="38"/>
      <c r="J20" s="45"/>
      <c r="M20" s="45"/>
    </row>
    <row r="21" spans="1:13" x14ac:dyDescent="0.35">
      <c r="A21" s="38"/>
      <c r="B21" s="38"/>
      <c r="C21" s="49" t="s">
        <v>320</v>
      </c>
      <c r="D21" s="58" t="s">
        <v>359</v>
      </c>
      <c r="E21" s="58">
        <f>(8-G13)/I13</f>
        <v>-2</v>
      </c>
      <c r="F21" s="58" t="s">
        <v>224</v>
      </c>
      <c r="G21" s="53">
        <f>_xlfn.NORM.S.DIST(E21,1)</f>
        <v>2.2750131948179191E-2</v>
      </c>
      <c r="H21" s="38"/>
      <c r="I21" s="38"/>
      <c r="J21" s="45"/>
      <c r="M21" s="45"/>
    </row>
    <row r="22" spans="1:13" x14ac:dyDescent="0.3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3" x14ac:dyDescent="0.35">
      <c r="A23" s="45"/>
      <c r="B23" s="80" t="s">
        <v>321</v>
      </c>
      <c r="C23" s="81" t="s">
        <v>326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</row>
    <row r="24" spans="1:13" x14ac:dyDescent="0.35">
      <c r="B24" s="82" t="s">
        <v>322</v>
      </c>
      <c r="C24" s="83">
        <f>G15</f>
        <v>0.25249253754692291</v>
      </c>
    </row>
    <row r="25" spans="1:13" x14ac:dyDescent="0.35">
      <c r="B25" s="82" t="s">
        <v>323</v>
      </c>
      <c r="C25" s="83">
        <f>I17</f>
        <v>0.49501492490615417</v>
      </c>
    </row>
    <row r="26" spans="1:13" x14ac:dyDescent="0.35">
      <c r="B26" s="82" t="s">
        <v>325</v>
      </c>
      <c r="C26" s="83">
        <f>I19</f>
        <v>0.22974240559874373</v>
      </c>
    </row>
    <row r="27" spans="1:13" x14ac:dyDescent="0.35">
      <c r="B27" s="82" t="s">
        <v>324</v>
      </c>
      <c r="C27" s="83">
        <f>G21</f>
        <v>2.2750131948179191E-2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CE85-82A4-48CA-B8DB-86655B02BB2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9:AD48"/>
  <sheetViews>
    <sheetView zoomScaleNormal="100" workbookViewId="0">
      <selection activeCell="N26" sqref="N26"/>
    </sheetView>
  </sheetViews>
  <sheetFormatPr defaultColWidth="9.1796875" defaultRowHeight="15.5" x14ac:dyDescent="0.35"/>
  <cols>
    <col min="1" max="1" width="9.1796875" style="1"/>
    <col min="2" max="2" width="8.1796875" style="1" customWidth="1"/>
    <col min="3" max="9" width="4.7265625" style="5" customWidth="1"/>
    <col min="10" max="10" width="9.1796875" style="1"/>
    <col min="11" max="11" width="12.1796875" style="5" customWidth="1"/>
    <col min="12" max="23" width="8.7265625" style="5" customWidth="1"/>
    <col min="24" max="30" width="9.1796875" style="5"/>
    <col min="31" max="16384" width="9.1796875" style="1"/>
  </cols>
  <sheetData>
    <row r="9" spans="2:23" x14ac:dyDescent="0.35">
      <c r="C9" s="14" t="s">
        <v>31</v>
      </c>
    </row>
    <row r="10" spans="2:23" ht="16" thickBot="1" x14ac:dyDescent="0.4">
      <c r="B10" s="15" t="s">
        <v>32</v>
      </c>
      <c r="C10" s="13">
        <v>1</v>
      </c>
      <c r="D10" s="13">
        <v>2</v>
      </c>
      <c r="E10" s="13">
        <v>3</v>
      </c>
      <c r="F10" s="13">
        <v>4</v>
      </c>
      <c r="G10" s="13">
        <v>5</v>
      </c>
      <c r="H10" s="13">
        <v>6</v>
      </c>
      <c r="I10" s="13"/>
      <c r="K10" s="24" t="s">
        <v>33</v>
      </c>
      <c r="L10" s="24">
        <v>2</v>
      </c>
      <c r="M10" s="24">
        <v>3</v>
      </c>
      <c r="N10" s="24">
        <v>4</v>
      </c>
      <c r="O10" s="24">
        <v>5</v>
      </c>
      <c r="P10" s="24">
        <v>6</v>
      </c>
      <c r="Q10" s="24">
        <v>7</v>
      </c>
      <c r="R10" s="24">
        <v>8</v>
      </c>
      <c r="S10" s="24">
        <v>9</v>
      </c>
      <c r="T10" s="24">
        <v>10</v>
      </c>
      <c r="U10" s="24">
        <v>11</v>
      </c>
      <c r="V10" s="24">
        <v>12</v>
      </c>
      <c r="W10" s="25" t="s">
        <v>41</v>
      </c>
    </row>
    <row r="11" spans="2:23" x14ac:dyDescent="0.35">
      <c r="B11" s="13">
        <v>1</v>
      </c>
      <c r="C11" s="16">
        <f>C$10+$B11</f>
        <v>2</v>
      </c>
      <c r="D11" s="17">
        <f t="shared" ref="D11:H16" si="0">D$10+$B11</f>
        <v>3</v>
      </c>
      <c r="E11" s="17">
        <f t="shared" si="0"/>
        <v>4</v>
      </c>
      <c r="F11" s="17">
        <f t="shared" si="0"/>
        <v>5</v>
      </c>
      <c r="G11" s="17">
        <f t="shared" si="0"/>
        <v>6</v>
      </c>
      <c r="H11" s="18">
        <f t="shared" si="0"/>
        <v>7</v>
      </c>
      <c r="I11" s="6"/>
      <c r="J11" s="6" t="s">
        <v>43</v>
      </c>
      <c r="K11" s="24" t="s">
        <v>34</v>
      </c>
      <c r="L11" s="26" t="s">
        <v>35</v>
      </c>
      <c r="M11" s="26" t="s">
        <v>36</v>
      </c>
      <c r="N11" s="26" t="s">
        <v>37</v>
      </c>
      <c r="O11" s="26" t="s">
        <v>38</v>
      </c>
      <c r="P11" s="26" t="s">
        <v>39</v>
      </c>
      <c r="Q11" s="26" t="s">
        <v>40</v>
      </c>
      <c r="R11" s="26" t="s">
        <v>39</v>
      </c>
      <c r="S11" s="26" t="s">
        <v>38</v>
      </c>
      <c r="T11" s="26" t="s">
        <v>37</v>
      </c>
      <c r="U11" s="26" t="s">
        <v>36</v>
      </c>
      <c r="V11" s="26" t="s">
        <v>35</v>
      </c>
      <c r="W11" s="25" t="s">
        <v>42</v>
      </c>
    </row>
    <row r="12" spans="2:23" x14ac:dyDescent="0.35">
      <c r="B12" s="13">
        <v>2</v>
      </c>
      <c r="C12" s="19">
        <f>C$10+$B12</f>
        <v>3</v>
      </c>
      <c r="D12" s="6">
        <f t="shared" si="0"/>
        <v>4</v>
      </c>
      <c r="E12" s="6">
        <f t="shared" si="0"/>
        <v>5</v>
      </c>
      <c r="F12" s="6">
        <f t="shared" si="0"/>
        <v>6</v>
      </c>
      <c r="G12" s="6">
        <f t="shared" si="0"/>
        <v>7</v>
      </c>
      <c r="H12" s="20">
        <f t="shared" si="0"/>
        <v>8</v>
      </c>
      <c r="I12" s="6"/>
      <c r="J12" s="6"/>
      <c r="K12" s="24" t="s">
        <v>34</v>
      </c>
      <c r="L12" s="24">
        <f>1/36</f>
        <v>2.7777777777777776E-2</v>
      </c>
      <c r="M12" s="24">
        <f>2/36</f>
        <v>5.5555555555555552E-2</v>
      </c>
      <c r="N12" s="24">
        <f>3/36</f>
        <v>8.3333333333333329E-2</v>
      </c>
      <c r="O12" s="24">
        <f>4/36</f>
        <v>0.1111111111111111</v>
      </c>
      <c r="P12" s="24">
        <f>5/36</f>
        <v>0.1388888888888889</v>
      </c>
      <c r="Q12" s="24">
        <f>6/36</f>
        <v>0.16666666666666666</v>
      </c>
      <c r="R12" s="24">
        <f>5/36</f>
        <v>0.1388888888888889</v>
      </c>
      <c r="S12" s="24">
        <f>4/36</f>
        <v>0.1111111111111111</v>
      </c>
      <c r="T12" s="24">
        <f>3/36</f>
        <v>8.3333333333333329E-2</v>
      </c>
      <c r="U12" s="24">
        <f>2/36</f>
        <v>5.5555555555555552E-2</v>
      </c>
      <c r="V12" s="24">
        <f>1/36</f>
        <v>2.7777777777777776E-2</v>
      </c>
      <c r="W12" s="25">
        <f>SUM(L12:V12)</f>
        <v>1.0000000000000002</v>
      </c>
    </row>
    <row r="13" spans="2:23" x14ac:dyDescent="0.35">
      <c r="B13" s="13">
        <v>3</v>
      </c>
      <c r="C13" s="19">
        <f t="shared" ref="C13:C16" si="1">C$10+$B13</f>
        <v>4</v>
      </c>
      <c r="D13" s="6">
        <f t="shared" si="0"/>
        <v>5</v>
      </c>
      <c r="E13" s="6">
        <f t="shared" si="0"/>
        <v>6</v>
      </c>
      <c r="F13" s="6">
        <f t="shared" si="0"/>
        <v>7</v>
      </c>
      <c r="G13" s="6">
        <f t="shared" si="0"/>
        <v>8</v>
      </c>
      <c r="H13" s="20">
        <f t="shared" si="0"/>
        <v>9</v>
      </c>
      <c r="I13" s="6"/>
      <c r="J13" s="6" t="s">
        <v>44</v>
      </c>
      <c r="K13" s="24" t="s">
        <v>53</v>
      </c>
      <c r="L13" s="24">
        <f>L12</f>
        <v>2.7777777777777776E-2</v>
      </c>
      <c r="M13" s="24">
        <f>L13+M12</f>
        <v>8.3333333333333329E-2</v>
      </c>
      <c r="N13" s="24">
        <f t="shared" ref="N13:V13" si="2">M13+N12</f>
        <v>0.16666666666666666</v>
      </c>
      <c r="O13" s="24">
        <f t="shared" si="2"/>
        <v>0.27777777777777779</v>
      </c>
      <c r="P13" s="24">
        <f t="shared" si="2"/>
        <v>0.41666666666666669</v>
      </c>
      <c r="Q13" s="24">
        <f t="shared" si="2"/>
        <v>0.58333333333333337</v>
      </c>
      <c r="R13" s="24">
        <f t="shared" si="2"/>
        <v>0.72222222222222232</v>
      </c>
      <c r="S13" s="24">
        <f t="shared" si="2"/>
        <v>0.83333333333333348</v>
      </c>
      <c r="T13" s="24">
        <f t="shared" si="2"/>
        <v>0.91666666666666685</v>
      </c>
      <c r="U13" s="24">
        <f t="shared" si="2"/>
        <v>0.97222222222222243</v>
      </c>
      <c r="V13" s="24">
        <f t="shared" si="2"/>
        <v>1.0000000000000002</v>
      </c>
      <c r="W13" s="24" t="s">
        <v>45</v>
      </c>
    </row>
    <row r="14" spans="2:23" x14ac:dyDescent="0.35">
      <c r="B14" s="13">
        <v>4</v>
      </c>
      <c r="C14" s="19">
        <f t="shared" si="1"/>
        <v>5</v>
      </c>
      <c r="D14" s="6">
        <f t="shared" si="0"/>
        <v>6</v>
      </c>
      <c r="E14" s="6">
        <f t="shared" si="0"/>
        <v>7</v>
      </c>
      <c r="F14" s="6">
        <f t="shared" si="0"/>
        <v>8</v>
      </c>
      <c r="G14" s="6">
        <f t="shared" si="0"/>
        <v>9</v>
      </c>
      <c r="H14" s="20">
        <f t="shared" si="0"/>
        <v>10</v>
      </c>
      <c r="I14" s="6"/>
      <c r="J14" s="6"/>
    </row>
    <row r="15" spans="2:23" x14ac:dyDescent="0.35">
      <c r="B15" s="13">
        <v>5</v>
      </c>
      <c r="C15" s="19">
        <f t="shared" si="1"/>
        <v>6</v>
      </c>
      <c r="D15" s="6">
        <f t="shared" si="0"/>
        <v>7</v>
      </c>
      <c r="E15" s="6">
        <f t="shared" si="0"/>
        <v>8</v>
      </c>
      <c r="F15" s="6">
        <f t="shared" si="0"/>
        <v>9</v>
      </c>
      <c r="G15" s="6">
        <f t="shared" si="0"/>
        <v>10</v>
      </c>
      <c r="H15" s="20">
        <f t="shared" si="0"/>
        <v>11</v>
      </c>
      <c r="I15" s="6"/>
      <c r="K15" s="3" t="s">
        <v>46</v>
      </c>
      <c r="O15" s="27" t="s">
        <v>49</v>
      </c>
      <c r="P15" s="10">
        <f>R13</f>
        <v>0.72222222222222232</v>
      </c>
    </row>
    <row r="16" spans="2:23" ht="16" thickBot="1" x14ac:dyDescent="0.4">
      <c r="B16" s="13">
        <v>6</v>
      </c>
      <c r="C16" s="21">
        <f t="shared" si="1"/>
        <v>7</v>
      </c>
      <c r="D16" s="22">
        <f t="shared" si="0"/>
        <v>8</v>
      </c>
      <c r="E16" s="22">
        <f t="shared" si="0"/>
        <v>9</v>
      </c>
      <c r="F16" s="22">
        <f t="shared" si="0"/>
        <v>10</v>
      </c>
      <c r="G16" s="22">
        <f t="shared" si="0"/>
        <v>11</v>
      </c>
      <c r="H16" s="23">
        <f t="shared" si="0"/>
        <v>12</v>
      </c>
      <c r="I16" s="6"/>
      <c r="P16" s="10"/>
    </row>
    <row r="17" spans="10:23" x14ac:dyDescent="0.35">
      <c r="O17" s="27" t="s">
        <v>47</v>
      </c>
      <c r="P17" s="10">
        <f>M13</f>
        <v>8.3333333333333329E-2</v>
      </c>
    </row>
    <row r="18" spans="10:23" x14ac:dyDescent="0.35">
      <c r="P18" s="10"/>
    </row>
    <row r="19" spans="10:23" x14ac:dyDescent="0.35">
      <c r="O19" s="27" t="s">
        <v>48</v>
      </c>
      <c r="P19" s="10">
        <f>1-P13</f>
        <v>0.58333333333333326</v>
      </c>
    </row>
    <row r="21" spans="10:23" x14ac:dyDescent="0.35">
      <c r="O21" s="27" t="s">
        <v>50</v>
      </c>
      <c r="P21" s="10">
        <f>1-R13</f>
        <v>0.27777777777777768</v>
      </c>
    </row>
    <row r="23" spans="10:23" x14ac:dyDescent="0.35">
      <c r="J23" s="6" t="s">
        <v>51</v>
      </c>
      <c r="K23" s="14" t="s">
        <v>56</v>
      </c>
      <c r="O23" s="7" t="s">
        <v>55</v>
      </c>
      <c r="P23" s="10">
        <f>W27</f>
        <v>6.9999999999999991</v>
      </c>
    </row>
    <row r="25" spans="10:23" x14ac:dyDescent="0.35">
      <c r="K25" s="24" t="s">
        <v>33</v>
      </c>
      <c r="L25" s="24">
        <v>2</v>
      </c>
      <c r="M25" s="24">
        <v>3</v>
      </c>
      <c r="N25" s="24">
        <v>4</v>
      </c>
      <c r="O25" s="24">
        <v>5</v>
      </c>
      <c r="P25" s="24">
        <v>6</v>
      </c>
      <c r="Q25" s="24">
        <v>7</v>
      </c>
      <c r="R25" s="24">
        <v>8</v>
      </c>
      <c r="S25" s="24">
        <v>9</v>
      </c>
      <c r="T25" s="24">
        <v>10</v>
      </c>
      <c r="U25" s="24">
        <v>11</v>
      </c>
      <c r="V25" s="24">
        <v>12</v>
      </c>
      <c r="W25" s="25" t="s">
        <v>41</v>
      </c>
    </row>
    <row r="26" spans="10:23" ht="18" x14ac:dyDescent="0.4">
      <c r="K26" s="24" t="s">
        <v>34</v>
      </c>
      <c r="L26" s="24">
        <f>1/36</f>
        <v>2.7777777777777776E-2</v>
      </c>
      <c r="M26" s="24">
        <f>2/36</f>
        <v>5.5555555555555552E-2</v>
      </c>
      <c r="N26" s="24">
        <f>3/36</f>
        <v>8.3333333333333329E-2</v>
      </c>
      <c r="O26" s="24">
        <f>4/36</f>
        <v>0.1111111111111111</v>
      </c>
      <c r="P26" s="24">
        <f>5/36</f>
        <v>0.1388888888888889</v>
      </c>
      <c r="Q26" s="28">
        <f>6/36</f>
        <v>0.16666666666666666</v>
      </c>
      <c r="R26" s="24">
        <f>5/36</f>
        <v>0.1388888888888889</v>
      </c>
      <c r="S26" s="24">
        <f>4/36</f>
        <v>0.1111111111111111</v>
      </c>
      <c r="T26" s="24">
        <f>3/36</f>
        <v>8.3333333333333329E-2</v>
      </c>
      <c r="U26" s="24">
        <f>2/36</f>
        <v>5.5555555555555552E-2</v>
      </c>
      <c r="V26" s="24">
        <f>1/36</f>
        <v>2.7777777777777776E-2</v>
      </c>
      <c r="W26" s="25">
        <f>SUM(L26:V26)</f>
        <v>1.0000000000000002</v>
      </c>
    </row>
    <row r="27" spans="10:23" x14ac:dyDescent="0.35">
      <c r="K27" s="24" t="s">
        <v>54</v>
      </c>
      <c r="L27" s="24">
        <f>L25*L26</f>
        <v>5.5555555555555552E-2</v>
      </c>
      <c r="M27" s="24">
        <f t="shared" ref="M27:V27" si="3">M25*M26</f>
        <v>0.16666666666666666</v>
      </c>
      <c r="N27" s="24">
        <f t="shared" si="3"/>
        <v>0.33333333333333331</v>
      </c>
      <c r="O27" s="24">
        <f t="shared" si="3"/>
        <v>0.55555555555555558</v>
      </c>
      <c r="P27" s="24">
        <f t="shared" si="3"/>
        <v>0.83333333333333337</v>
      </c>
      <c r="Q27" s="24">
        <f t="shared" si="3"/>
        <v>1.1666666666666665</v>
      </c>
      <c r="R27" s="24">
        <f t="shared" si="3"/>
        <v>1.1111111111111112</v>
      </c>
      <c r="S27" s="24">
        <f t="shared" si="3"/>
        <v>1</v>
      </c>
      <c r="T27" s="24">
        <f t="shared" si="3"/>
        <v>0.83333333333333326</v>
      </c>
      <c r="U27" s="24">
        <f t="shared" si="3"/>
        <v>0.61111111111111105</v>
      </c>
      <c r="V27" s="24">
        <f t="shared" si="3"/>
        <v>0.33333333333333331</v>
      </c>
      <c r="W27" s="25">
        <f>SUM(L27:V27)</f>
        <v>6.9999999999999991</v>
      </c>
    </row>
    <row r="29" spans="10:23" x14ac:dyDescent="0.35">
      <c r="K29" s="14" t="s">
        <v>57</v>
      </c>
      <c r="N29" s="6" t="s">
        <v>60</v>
      </c>
      <c r="P29" s="5" t="s">
        <v>61</v>
      </c>
      <c r="Q29" s="10">
        <f>Q25</f>
        <v>7</v>
      </c>
    </row>
    <row r="31" spans="10:23" x14ac:dyDescent="0.35">
      <c r="K31" s="14" t="s">
        <v>63</v>
      </c>
      <c r="S31" s="7" t="s">
        <v>62</v>
      </c>
      <c r="T31" s="10">
        <f>Q33</f>
        <v>7</v>
      </c>
    </row>
    <row r="33" spans="11:23" x14ac:dyDescent="0.35">
      <c r="K33" s="24" t="s">
        <v>33</v>
      </c>
      <c r="L33" s="24">
        <v>2</v>
      </c>
      <c r="M33" s="24">
        <v>3</v>
      </c>
      <c r="N33" s="24">
        <v>4</v>
      </c>
      <c r="O33" s="24">
        <v>5</v>
      </c>
      <c r="P33" s="24">
        <v>6</v>
      </c>
      <c r="Q33" s="24">
        <v>7</v>
      </c>
      <c r="R33" s="24">
        <v>8</v>
      </c>
      <c r="S33" s="24">
        <v>9</v>
      </c>
      <c r="T33" s="24">
        <v>10</v>
      </c>
      <c r="U33" s="24">
        <v>11</v>
      </c>
      <c r="V33" s="24">
        <v>12</v>
      </c>
      <c r="W33" s="25" t="s">
        <v>41</v>
      </c>
    </row>
    <row r="34" spans="11:23" x14ac:dyDescent="0.35">
      <c r="K34" s="24" t="s">
        <v>34</v>
      </c>
      <c r="L34" s="24">
        <f>1/36</f>
        <v>2.7777777777777776E-2</v>
      </c>
      <c r="M34" s="24">
        <f>2/36</f>
        <v>5.5555555555555552E-2</v>
      </c>
      <c r="N34" s="24">
        <f>3/36</f>
        <v>8.3333333333333329E-2</v>
      </c>
      <c r="O34" s="24">
        <f>4/36</f>
        <v>0.1111111111111111</v>
      </c>
      <c r="P34" s="24">
        <f>5/36</f>
        <v>0.1388888888888889</v>
      </c>
      <c r="Q34" s="24">
        <f>6/36</f>
        <v>0.16666666666666666</v>
      </c>
      <c r="R34" s="24">
        <f>5/36</f>
        <v>0.1388888888888889</v>
      </c>
      <c r="S34" s="24">
        <f>4/36</f>
        <v>0.1111111111111111</v>
      </c>
      <c r="T34" s="24">
        <f>3/36</f>
        <v>8.3333333333333329E-2</v>
      </c>
      <c r="U34" s="24">
        <f>2/36</f>
        <v>5.5555555555555552E-2</v>
      </c>
      <c r="V34" s="24">
        <f>1/36</f>
        <v>2.7777777777777776E-2</v>
      </c>
      <c r="W34" s="25">
        <f>SUM(L34:V34)</f>
        <v>1.0000000000000002</v>
      </c>
    </row>
    <row r="35" spans="11:23" ht="18" x14ac:dyDescent="0.4">
      <c r="K35" s="24" t="s">
        <v>53</v>
      </c>
      <c r="L35" s="24">
        <f>L34</f>
        <v>2.7777777777777776E-2</v>
      </c>
      <c r="M35" s="24">
        <f>L35+M34</f>
        <v>8.3333333333333329E-2</v>
      </c>
      <c r="N35" s="24">
        <f t="shared" ref="N35" si="4">M35+N34</f>
        <v>0.16666666666666666</v>
      </c>
      <c r="O35" s="24">
        <f t="shared" ref="O35" si="5">N35+O34</f>
        <v>0.27777777777777779</v>
      </c>
      <c r="P35" s="24">
        <f t="shared" ref="P35" si="6">O35+P34</f>
        <v>0.41666666666666669</v>
      </c>
      <c r="Q35" s="28">
        <f t="shared" ref="Q35" si="7">P35+Q34</f>
        <v>0.58333333333333337</v>
      </c>
      <c r="R35" s="24">
        <f t="shared" ref="R35" si="8">Q35+R34</f>
        <v>0.72222222222222232</v>
      </c>
      <c r="S35" s="24">
        <f t="shared" ref="S35" si="9">R35+S34</f>
        <v>0.83333333333333348</v>
      </c>
      <c r="T35" s="24">
        <f t="shared" ref="T35" si="10">S35+T34</f>
        <v>0.91666666666666685</v>
      </c>
      <c r="U35" s="24">
        <f t="shared" ref="U35" si="11">T35+U34</f>
        <v>0.97222222222222243</v>
      </c>
      <c r="V35" s="24">
        <f t="shared" ref="V35" si="12">U35+V34</f>
        <v>1.0000000000000002</v>
      </c>
      <c r="W35" s="24" t="s">
        <v>45</v>
      </c>
    </row>
    <row r="37" spans="11:23" x14ac:dyDescent="0.35">
      <c r="K37" s="5" t="s">
        <v>69</v>
      </c>
    </row>
    <row r="39" spans="11:23" x14ac:dyDescent="0.35">
      <c r="K39" s="24" t="s">
        <v>33</v>
      </c>
      <c r="L39" s="24">
        <v>2</v>
      </c>
      <c r="M39" s="24">
        <v>3</v>
      </c>
      <c r="N39" s="24">
        <v>4</v>
      </c>
      <c r="O39" s="24">
        <v>5</v>
      </c>
      <c r="P39" s="24">
        <v>6</v>
      </c>
      <c r="Q39" s="24">
        <v>7</v>
      </c>
      <c r="R39" s="24">
        <v>8</v>
      </c>
      <c r="S39" s="24">
        <v>9</v>
      </c>
      <c r="T39" s="24">
        <v>10</v>
      </c>
      <c r="U39" s="24">
        <v>11</v>
      </c>
      <c r="V39" s="24">
        <v>12</v>
      </c>
      <c r="W39" s="25" t="s">
        <v>41</v>
      </c>
    </row>
    <row r="40" spans="11:23" ht="18" x14ac:dyDescent="0.4">
      <c r="K40" s="24" t="s">
        <v>34</v>
      </c>
      <c r="L40" s="24">
        <f>1/36</f>
        <v>2.7777777777777776E-2</v>
      </c>
      <c r="M40" s="24">
        <f>2/36</f>
        <v>5.5555555555555552E-2</v>
      </c>
      <c r="N40" s="24">
        <f>3/36</f>
        <v>8.3333333333333329E-2</v>
      </c>
      <c r="O40" s="24">
        <f>4/36</f>
        <v>0.1111111111111111</v>
      </c>
      <c r="P40" s="24">
        <f>5/36</f>
        <v>0.1388888888888889</v>
      </c>
      <c r="Q40" s="28">
        <f>6/36</f>
        <v>0.16666666666666666</v>
      </c>
      <c r="R40" s="24">
        <f>5/36</f>
        <v>0.1388888888888889</v>
      </c>
      <c r="S40" s="24">
        <f>4/36</f>
        <v>0.1111111111111111</v>
      </c>
      <c r="T40" s="24">
        <f>3/36</f>
        <v>8.3333333333333329E-2</v>
      </c>
      <c r="U40" s="24">
        <f>2/36</f>
        <v>5.5555555555555552E-2</v>
      </c>
      <c r="V40" s="24">
        <f>1/36</f>
        <v>2.7777777777777776E-2</v>
      </c>
      <c r="W40" s="25">
        <f>SUM(L40:V40)</f>
        <v>1.0000000000000002</v>
      </c>
    </row>
    <row r="41" spans="11:23" x14ac:dyDescent="0.35">
      <c r="K41" s="24" t="s">
        <v>54</v>
      </c>
      <c r="L41" s="24">
        <f>L39*L40</f>
        <v>5.5555555555555552E-2</v>
      </c>
      <c r="M41" s="24">
        <f t="shared" ref="M41" si="13">M39*M40</f>
        <v>0.16666666666666666</v>
      </c>
      <c r="N41" s="24">
        <f t="shared" ref="N41" si="14">N39*N40</f>
        <v>0.33333333333333331</v>
      </c>
      <c r="O41" s="24">
        <f t="shared" ref="O41" si="15">O39*O40</f>
        <v>0.55555555555555558</v>
      </c>
      <c r="P41" s="24">
        <f t="shared" ref="P41" si="16">P39*P40</f>
        <v>0.83333333333333337</v>
      </c>
      <c r="Q41" s="24">
        <f t="shared" ref="Q41" si="17">Q39*Q40</f>
        <v>1.1666666666666665</v>
      </c>
      <c r="R41" s="24">
        <f t="shared" ref="R41" si="18">R39*R40</f>
        <v>1.1111111111111112</v>
      </c>
      <c r="S41" s="24">
        <f t="shared" ref="S41" si="19">S39*S40</f>
        <v>1</v>
      </c>
      <c r="T41" s="24">
        <f t="shared" ref="T41" si="20">T39*T40</f>
        <v>0.83333333333333326</v>
      </c>
      <c r="U41" s="24">
        <f t="shared" ref="U41" si="21">U39*U40</f>
        <v>0.61111111111111105</v>
      </c>
      <c r="V41" s="24">
        <f t="shared" ref="V41" si="22">V39*V40</f>
        <v>0.33333333333333331</v>
      </c>
      <c r="W41" s="25">
        <f>SUM(L41:V41)</f>
        <v>6.9999999999999991</v>
      </c>
    </row>
    <row r="42" spans="11:23" ht="18.5" x14ac:dyDescent="0.35">
      <c r="K42" s="24" t="s">
        <v>65</v>
      </c>
      <c r="L42" s="5">
        <f>L39^2*L40</f>
        <v>0.1111111111111111</v>
      </c>
      <c r="M42" s="5">
        <f t="shared" ref="M42:V42" si="23">M39^2*M40</f>
        <v>0.5</v>
      </c>
      <c r="N42" s="5">
        <f t="shared" si="23"/>
        <v>1.3333333333333333</v>
      </c>
      <c r="O42" s="5">
        <f t="shared" si="23"/>
        <v>2.7777777777777777</v>
      </c>
      <c r="P42" s="5">
        <f t="shared" si="23"/>
        <v>5</v>
      </c>
      <c r="Q42" s="5">
        <f t="shared" si="23"/>
        <v>8.1666666666666661</v>
      </c>
      <c r="R42" s="5">
        <f t="shared" si="23"/>
        <v>8.8888888888888893</v>
      </c>
      <c r="S42" s="5">
        <f t="shared" si="23"/>
        <v>9</v>
      </c>
      <c r="T42" s="5">
        <f t="shared" si="23"/>
        <v>8.3333333333333321</v>
      </c>
      <c r="U42" s="5">
        <f t="shared" si="23"/>
        <v>6.7222222222222214</v>
      </c>
      <c r="V42" s="5">
        <f t="shared" si="23"/>
        <v>4</v>
      </c>
      <c r="W42" s="25">
        <f>SUM(L42:V42)</f>
        <v>54.833333333333321</v>
      </c>
    </row>
    <row r="44" spans="11:23" ht="17.5" x14ac:dyDescent="0.35">
      <c r="M44" s="7" t="s">
        <v>64</v>
      </c>
      <c r="N44" s="5">
        <f>W42</f>
        <v>54.833333333333321</v>
      </c>
    </row>
    <row r="46" spans="11:23" ht="20" x14ac:dyDescent="0.4">
      <c r="M46" s="7" t="s">
        <v>66</v>
      </c>
      <c r="N46" s="5">
        <f>N44</f>
        <v>54.833333333333321</v>
      </c>
      <c r="O46" s="29" t="s">
        <v>67</v>
      </c>
      <c r="P46" s="5">
        <f>P23</f>
        <v>6.9999999999999991</v>
      </c>
      <c r="Q46" s="5" t="s">
        <v>68</v>
      </c>
      <c r="R46" s="5">
        <f>N46-P46^2</f>
        <v>5.8333333333333357</v>
      </c>
    </row>
    <row r="48" spans="11:23" ht="17.5" x14ac:dyDescent="0.35">
      <c r="K48" s="6" t="s">
        <v>97</v>
      </c>
      <c r="L48" s="5">
        <f>SQRT(R46)</f>
        <v>2.4152294576982403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4:M45"/>
  <sheetViews>
    <sheetView zoomScale="85" zoomScaleNormal="85" workbookViewId="0">
      <selection activeCell="L19" sqref="L19"/>
    </sheetView>
  </sheetViews>
  <sheetFormatPr defaultColWidth="9.1796875" defaultRowHeight="15.5" x14ac:dyDescent="0.35"/>
  <cols>
    <col min="1" max="4" width="9.1796875" style="1"/>
    <col min="5" max="5" width="9.7265625" style="1" bestFit="1" customWidth="1"/>
    <col min="6" max="6" width="6" style="1" customWidth="1"/>
    <col min="7" max="7" width="7.81640625" style="1" customWidth="1"/>
    <col min="8" max="11" width="9.1796875" style="1"/>
    <col min="12" max="13" width="9.90625" style="1" bestFit="1" customWidth="1"/>
    <col min="14" max="16384" width="9.1796875" style="1"/>
  </cols>
  <sheetData>
    <row r="14" spans="2:9" x14ac:dyDescent="0.35">
      <c r="B14" s="1" t="s">
        <v>327</v>
      </c>
    </row>
    <row r="15" spans="2:9" x14ac:dyDescent="0.35">
      <c r="B15" s="1" t="s">
        <v>328</v>
      </c>
      <c r="F15" s="27" t="s">
        <v>292</v>
      </c>
      <c r="G15" s="10">
        <v>100</v>
      </c>
      <c r="H15" s="27" t="s">
        <v>293</v>
      </c>
      <c r="I15" s="10">
        <v>15</v>
      </c>
    </row>
    <row r="17" spans="1:13" x14ac:dyDescent="0.35">
      <c r="A17" s="6" t="s">
        <v>168</v>
      </c>
      <c r="D17" s="27" t="s">
        <v>329</v>
      </c>
      <c r="E17" s="5">
        <f>(86-G15)/I15</f>
        <v>-0.93333333333333335</v>
      </c>
      <c r="F17" s="5" t="s">
        <v>224</v>
      </c>
      <c r="G17" s="8">
        <f>1-_xlfn.NORM.S.DIST(E17,1)</f>
        <v>0.82467605514777054</v>
      </c>
    </row>
    <row r="19" spans="1:13" x14ac:dyDescent="0.35">
      <c r="A19" s="6" t="s">
        <v>338</v>
      </c>
      <c r="C19" s="27" t="s">
        <v>339</v>
      </c>
      <c r="D19" s="10">
        <v>2.3E-2</v>
      </c>
      <c r="E19" s="73" t="s">
        <v>340</v>
      </c>
      <c r="F19" s="38"/>
      <c r="G19" s="38"/>
      <c r="H19" s="78" t="s">
        <v>366</v>
      </c>
      <c r="I19" s="38"/>
      <c r="M19" s="1">
        <f>_xlfn.NORM.S.INV(0.52)</f>
        <v>5.0153583464733656E-2</v>
      </c>
    </row>
    <row r="20" spans="1:13" x14ac:dyDescent="0.35">
      <c r="B20" s="38"/>
      <c r="C20" s="49" t="s">
        <v>331</v>
      </c>
      <c r="D20" s="53">
        <f>1-D19</f>
        <v>0.97699999999999998</v>
      </c>
      <c r="E20" s="86" t="s">
        <v>341</v>
      </c>
      <c r="F20" s="38"/>
      <c r="G20" s="38"/>
      <c r="H20" s="78" t="s">
        <v>367</v>
      </c>
      <c r="I20" s="38"/>
    </row>
    <row r="21" spans="1:13" x14ac:dyDescent="0.35">
      <c r="B21" s="38"/>
      <c r="C21" s="49"/>
      <c r="D21" s="53"/>
      <c r="E21" s="86"/>
      <c r="F21" s="38"/>
      <c r="G21" s="38"/>
      <c r="H21" s="38"/>
      <c r="I21" s="38"/>
      <c r="M21" s="1">
        <f>81+(M19*SQRT(52))</f>
        <v>81.361662633660714</v>
      </c>
    </row>
    <row r="22" spans="1:13" x14ac:dyDescent="0.35">
      <c r="B22" s="38"/>
      <c r="C22" s="49" t="s">
        <v>333</v>
      </c>
      <c r="D22" s="53">
        <f>_xlfn.NORM.S.INV(D20)</f>
        <v>1.9953933101678243</v>
      </c>
      <c r="E22" s="39" t="s">
        <v>334</v>
      </c>
      <c r="F22" s="38"/>
      <c r="G22" s="78" t="s">
        <v>335</v>
      </c>
      <c r="I22" s="38"/>
    </row>
    <row r="23" spans="1:13" x14ac:dyDescent="0.35">
      <c r="B23" s="38"/>
      <c r="C23" s="38"/>
      <c r="D23" s="38"/>
      <c r="E23" s="45"/>
      <c r="F23" s="45"/>
      <c r="G23" s="38"/>
      <c r="H23" s="38"/>
      <c r="I23" s="38"/>
    </row>
    <row r="24" spans="1:13" ht="18" x14ac:dyDescent="0.4">
      <c r="B24" s="38"/>
      <c r="C24" s="49" t="s">
        <v>336</v>
      </c>
      <c r="D24" s="50">
        <f>G15+D22*I15</f>
        <v>129.93089965251735</v>
      </c>
      <c r="E24" s="74" t="s">
        <v>337</v>
      </c>
      <c r="F24" s="45"/>
      <c r="G24" s="45"/>
      <c r="H24" s="45"/>
    </row>
    <row r="26" spans="1:13" x14ac:dyDescent="0.35">
      <c r="A26" s="6" t="s">
        <v>330</v>
      </c>
      <c r="C26" s="27" t="s">
        <v>331</v>
      </c>
      <c r="D26" s="10">
        <v>0.84199999999999997</v>
      </c>
      <c r="E26" s="73" t="s">
        <v>332</v>
      </c>
      <c r="G26" s="38"/>
      <c r="H26" s="38"/>
      <c r="I26" s="38"/>
      <c r="J26" s="38"/>
      <c r="K26" s="38"/>
    </row>
    <row r="27" spans="1:13" x14ac:dyDescent="0.35">
      <c r="E27" s="87"/>
      <c r="F27" s="87"/>
      <c r="G27" s="38"/>
      <c r="H27" s="38"/>
      <c r="I27" s="38"/>
      <c r="J27" s="38"/>
      <c r="K27" s="38"/>
    </row>
    <row r="28" spans="1:13" x14ac:dyDescent="0.35">
      <c r="B28" s="38"/>
      <c r="C28" s="49" t="s">
        <v>333</v>
      </c>
      <c r="D28" s="53">
        <f>_xlfn.NORM.S.INV(0.842)</f>
        <v>1.0027116650265504</v>
      </c>
      <c r="E28" s="39" t="s">
        <v>334</v>
      </c>
      <c r="F28" s="87"/>
      <c r="G28" s="78" t="s">
        <v>335</v>
      </c>
      <c r="I28" s="38"/>
      <c r="J28" s="38"/>
      <c r="K28" s="38"/>
    </row>
    <row r="29" spans="1:13" x14ac:dyDescent="0.35">
      <c r="B29" s="38"/>
      <c r="C29" s="38"/>
      <c r="D29" s="38"/>
      <c r="E29" s="45"/>
      <c r="F29" s="45"/>
      <c r="G29" s="45"/>
      <c r="H29" s="45"/>
      <c r="I29" s="45"/>
    </row>
    <row r="30" spans="1:13" ht="18" x14ac:dyDescent="0.4">
      <c r="B30" s="38"/>
      <c r="C30" s="49" t="s">
        <v>336</v>
      </c>
      <c r="D30" s="50">
        <f>G15+D28*I15</f>
        <v>115.04067497539826</v>
      </c>
      <c r="E30" s="74" t="s">
        <v>337</v>
      </c>
      <c r="F30" s="87"/>
      <c r="G30" s="45"/>
      <c r="H30" s="45"/>
      <c r="I30" s="45"/>
    </row>
    <row r="31" spans="1:13" x14ac:dyDescent="0.35">
      <c r="B31" s="45"/>
      <c r="C31" s="45"/>
      <c r="D31" s="45"/>
      <c r="E31" s="45"/>
      <c r="F31" s="45"/>
      <c r="G31" s="45"/>
      <c r="H31" s="45"/>
      <c r="I31" s="45"/>
    </row>
    <row r="32" spans="1:13" ht="16.5" x14ac:dyDescent="0.4">
      <c r="A32" s="6" t="s">
        <v>342</v>
      </c>
      <c r="B32" s="27" t="s">
        <v>343</v>
      </c>
      <c r="C32" s="77">
        <f>G$15+E33*I$15</f>
        <v>80.77672651683099</v>
      </c>
      <c r="E32" s="27" t="s">
        <v>360</v>
      </c>
      <c r="F32" s="75">
        <v>0.1</v>
      </c>
      <c r="G32" s="76" t="s">
        <v>347</v>
      </c>
    </row>
    <row r="33" spans="2:9" x14ac:dyDescent="0.35">
      <c r="C33" s="2"/>
      <c r="D33" s="27" t="s">
        <v>344</v>
      </c>
      <c r="E33" s="10">
        <f>_xlfn.NORM.S.INV(0.1)</f>
        <v>-1.2815515655446006</v>
      </c>
      <c r="F33" s="39" t="s">
        <v>334</v>
      </c>
    </row>
    <row r="34" spans="2:9" x14ac:dyDescent="0.35">
      <c r="C34" s="2"/>
    </row>
    <row r="35" spans="2:9" ht="16.5" x14ac:dyDescent="0.4">
      <c r="B35" s="27" t="s">
        <v>345</v>
      </c>
      <c r="C35" s="77">
        <f>G$15+E36*I$15</f>
        <v>89.882653747058768</v>
      </c>
      <c r="E35" s="27" t="s">
        <v>361</v>
      </c>
      <c r="F35" s="75">
        <v>0.25</v>
      </c>
      <c r="G35" s="76" t="s">
        <v>346</v>
      </c>
    </row>
    <row r="36" spans="2:9" x14ac:dyDescent="0.35">
      <c r="C36" s="2"/>
      <c r="D36" s="27" t="s">
        <v>344</v>
      </c>
      <c r="E36" s="10">
        <f>_xlfn.NORM.S.INV(F35)</f>
        <v>-0.67448975019608193</v>
      </c>
      <c r="F36" s="39" t="s">
        <v>334</v>
      </c>
    </row>
    <row r="37" spans="2:9" x14ac:dyDescent="0.35">
      <c r="C37" s="2"/>
    </row>
    <row r="38" spans="2:9" ht="16.5" x14ac:dyDescent="0.4">
      <c r="B38" s="27" t="s">
        <v>348</v>
      </c>
      <c r="C38" s="77">
        <f>G$15+E39*I$15</f>
        <v>100</v>
      </c>
      <c r="E38" s="27" t="s">
        <v>362</v>
      </c>
      <c r="F38" s="75">
        <v>0.5</v>
      </c>
      <c r="G38" s="76" t="s">
        <v>349</v>
      </c>
      <c r="I38" s="3" t="s">
        <v>102</v>
      </c>
    </row>
    <row r="39" spans="2:9" ht="16.5" x14ac:dyDescent="0.4">
      <c r="C39" s="2"/>
      <c r="D39" s="27" t="s">
        <v>344</v>
      </c>
      <c r="E39" s="10">
        <f>_xlfn.NORM.S.INV(F38)</f>
        <v>0</v>
      </c>
      <c r="F39" s="39" t="s">
        <v>334</v>
      </c>
      <c r="I39" s="3" t="s">
        <v>350</v>
      </c>
    </row>
    <row r="41" spans="2:9" ht="16.5" x14ac:dyDescent="0.4">
      <c r="B41" s="27" t="s">
        <v>351</v>
      </c>
      <c r="C41" s="77">
        <f>G$15+E42*I$15</f>
        <v>112.62431850359371</v>
      </c>
      <c r="E41" s="27" t="s">
        <v>363</v>
      </c>
      <c r="F41" s="75">
        <v>0.8</v>
      </c>
      <c r="G41" s="76" t="s">
        <v>353</v>
      </c>
    </row>
    <row r="42" spans="2:9" x14ac:dyDescent="0.35">
      <c r="C42" s="2"/>
      <c r="D42" s="27" t="s">
        <v>344</v>
      </c>
      <c r="E42" s="10">
        <f>_xlfn.NORM.S.INV(F41)</f>
        <v>0.84162123357291474</v>
      </c>
      <c r="F42" s="39" t="s">
        <v>334</v>
      </c>
    </row>
    <row r="44" spans="2:9" ht="16.5" x14ac:dyDescent="0.4">
      <c r="B44" s="27" t="s">
        <v>352</v>
      </c>
      <c r="C44" s="77">
        <f>G$15+E45*I$15</f>
        <v>119.22327348316901</v>
      </c>
      <c r="E44" s="27" t="s">
        <v>364</v>
      </c>
      <c r="F44" s="75">
        <v>0.9</v>
      </c>
      <c r="G44" s="76" t="s">
        <v>354</v>
      </c>
    </row>
    <row r="45" spans="2:9" x14ac:dyDescent="0.35">
      <c r="C45" s="2"/>
      <c r="D45" s="27" t="s">
        <v>344</v>
      </c>
      <c r="E45" s="10">
        <f>_xlfn.NORM.S.INV(F44)</f>
        <v>1.2815515655446006</v>
      </c>
      <c r="F45" s="39" t="s">
        <v>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K2:Q22"/>
  <sheetViews>
    <sheetView zoomScale="90" zoomScaleNormal="90" workbookViewId="0">
      <selection activeCell="M8" sqref="M8"/>
    </sheetView>
  </sheetViews>
  <sheetFormatPr defaultColWidth="9.1796875" defaultRowHeight="15.5" x14ac:dyDescent="0.35"/>
  <cols>
    <col min="1" max="11" width="9.1796875" style="1"/>
    <col min="12" max="12" width="10.54296875" style="1" customWidth="1"/>
    <col min="13" max="16" width="6.7265625" style="5" customWidth="1"/>
    <col min="17" max="17" width="9.1796875" style="5"/>
    <col min="18" max="16384" width="9.1796875" style="1"/>
  </cols>
  <sheetData>
    <row r="2" spans="11:17" x14ac:dyDescent="0.35">
      <c r="K2" s="6" t="s">
        <v>43</v>
      </c>
      <c r="L2" s="2" t="s">
        <v>18</v>
      </c>
    </row>
    <row r="3" spans="11:17" x14ac:dyDescent="0.35">
      <c r="L3" s="1" t="s">
        <v>70</v>
      </c>
    </row>
    <row r="4" spans="11:17" x14ac:dyDescent="0.35">
      <c r="L4" s="1" t="s">
        <v>71</v>
      </c>
    </row>
    <row r="5" spans="11:17" x14ac:dyDescent="0.35">
      <c r="K5" s="6"/>
    </row>
    <row r="6" spans="11:17" x14ac:dyDescent="0.35">
      <c r="K6" s="6" t="s">
        <v>44</v>
      </c>
      <c r="L6" s="30" t="s">
        <v>12</v>
      </c>
      <c r="M6" s="24">
        <v>0</v>
      </c>
      <c r="N6" s="24">
        <v>1</v>
      </c>
      <c r="O6" s="24">
        <v>2</v>
      </c>
      <c r="P6" s="24">
        <v>3</v>
      </c>
      <c r="Q6" s="25" t="s">
        <v>41</v>
      </c>
    </row>
    <row r="7" spans="11:17" x14ac:dyDescent="0.35">
      <c r="K7" s="6"/>
      <c r="L7" s="30" t="s">
        <v>72</v>
      </c>
      <c r="M7" s="24">
        <f>0.1</f>
        <v>0.1</v>
      </c>
      <c r="N7" s="24">
        <v>0.2</v>
      </c>
      <c r="O7" s="24">
        <v>0.3</v>
      </c>
      <c r="P7" s="24">
        <v>0.4</v>
      </c>
      <c r="Q7" s="25">
        <f>SUM(M7:P7)</f>
        <v>1</v>
      </c>
    </row>
    <row r="8" spans="11:17" x14ac:dyDescent="0.35">
      <c r="K8" s="6"/>
      <c r="L8" s="30" t="s">
        <v>21</v>
      </c>
      <c r="M8" s="24">
        <f>M7</f>
        <v>0.1</v>
      </c>
      <c r="N8" s="24">
        <f>N7+M8</f>
        <v>0.30000000000000004</v>
      </c>
      <c r="O8" s="24">
        <f t="shared" ref="O8:P8" si="0">O7+N8</f>
        <v>0.60000000000000009</v>
      </c>
      <c r="P8" s="24">
        <f t="shared" si="0"/>
        <v>1</v>
      </c>
      <c r="Q8" s="25" t="s">
        <v>45</v>
      </c>
    </row>
    <row r="9" spans="11:17" x14ac:dyDescent="0.35">
      <c r="K9" s="6"/>
      <c r="Q9" s="13"/>
    </row>
    <row r="10" spans="11:17" x14ac:dyDescent="0.35">
      <c r="K10" s="6" t="s">
        <v>74</v>
      </c>
      <c r="M10" s="27" t="s">
        <v>73</v>
      </c>
      <c r="N10" s="10">
        <f>P7</f>
        <v>0.4</v>
      </c>
      <c r="Q10" s="13"/>
    </row>
    <row r="11" spans="11:17" x14ac:dyDescent="0.35">
      <c r="K11" s="6"/>
      <c r="N11" s="10"/>
    </row>
    <row r="12" spans="11:17" x14ac:dyDescent="0.35">
      <c r="K12" s="6" t="s">
        <v>75</v>
      </c>
      <c r="M12" s="27" t="s">
        <v>76</v>
      </c>
      <c r="N12" s="10">
        <f>O8</f>
        <v>0.60000000000000009</v>
      </c>
    </row>
    <row r="13" spans="11:17" x14ac:dyDescent="0.35">
      <c r="K13" s="6"/>
    </row>
    <row r="14" spans="11:17" x14ac:dyDescent="0.35">
      <c r="K14" s="6" t="s">
        <v>77</v>
      </c>
      <c r="O14" s="27" t="s">
        <v>78</v>
      </c>
      <c r="P14" s="10">
        <f>O8</f>
        <v>0.60000000000000009</v>
      </c>
    </row>
    <row r="15" spans="11:17" x14ac:dyDescent="0.35">
      <c r="K15" s="6"/>
    </row>
    <row r="16" spans="11:17" x14ac:dyDescent="0.35">
      <c r="K16" s="6" t="s">
        <v>79</v>
      </c>
      <c r="P16" s="27" t="s">
        <v>80</v>
      </c>
      <c r="Q16" s="10">
        <f>1-N8</f>
        <v>0.7</v>
      </c>
    </row>
    <row r="17" spans="11:16" x14ac:dyDescent="0.35">
      <c r="K17" s="6"/>
    </row>
    <row r="18" spans="11:16" x14ac:dyDescent="0.35">
      <c r="K18" s="6" t="s">
        <v>81</v>
      </c>
      <c r="L18" s="1" t="s">
        <v>84</v>
      </c>
    </row>
    <row r="19" spans="11:16" x14ac:dyDescent="0.35">
      <c r="K19" s="6"/>
      <c r="O19" s="27" t="s">
        <v>86</v>
      </c>
      <c r="P19" s="10">
        <f>O7/(1-N8)</f>
        <v>0.4285714285714286</v>
      </c>
    </row>
    <row r="20" spans="11:16" x14ac:dyDescent="0.35">
      <c r="K20" s="6"/>
    </row>
    <row r="21" spans="11:16" x14ac:dyDescent="0.35">
      <c r="K21" s="6" t="s">
        <v>83</v>
      </c>
      <c r="L21" s="1" t="s">
        <v>85</v>
      </c>
    </row>
    <row r="22" spans="11:16" x14ac:dyDescent="0.35">
      <c r="K22" s="6"/>
      <c r="O22" s="27" t="s">
        <v>82</v>
      </c>
      <c r="P22" s="10">
        <f>O7/O8</f>
        <v>0.49999999999999989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17"/>
  <sheetViews>
    <sheetView zoomScale="90" zoomScaleNormal="90" workbookViewId="0">
      <selection activeCell="B2" sqref="B2"/>
    </sheetView>
  </sheetViews>
  <sheetFormatPr defaultColWidth="9.1796875" defaultRowHeight="15.5" x14ac:dyDescent="0.35"/>
  <cols>
    <col min="1" max="16384" width="9.1796875" style="1"/>
  </cols>
  <sheetData>
    <row r="2" spans="2:16" x14ac:dyDescent="0.35">
      <c r="B2" s="39" t="s">
        <v>117</v>
      </c>
    </row>
    <row r="8" spans="2:16" x14ac:dyDescent="0.35">
      <c r="C8" s="5"/>
      <c r="D8" s="5"/>
      <c r="E8" s="5"/>
      <c r="F8" s="5"/>
      <c r="G8" s="5"/>
      <c r="L8" s="15" t="s">
        <v>102</v>
      </c>
    </row>
    <row r="9" spans="2:16" ht="16.5" x14ac:dyDescent="0.4">
      <c r="B9" s="35" t="s">
        <v>103</v>
      </c>
      <c r="C9" s="36">
        <v>2</v>
      </c>
      <c r="D9" s="36">
        <v>3</v>
      </c>
      <c r="E9" s="36">
        <v>4</v>
      </c>
      <c r="F9" s="36">
        <v>5</v>
      </c>
      <c r="G9" s="5"/>
      <c r="L9" s="15" t="s">
        <v>104</v>
      </c>
      <c r="P9" s="1" t="s">
        <v>105</v>
      </c>
    </row>
    <row r="10" spans="2:16" ht="16.5" x14ac:dyDescent="0.4">
      <c r="B10" s="37" t="s">
        <v>106</v>
      </c>
      <c r="C10" s="5" t="s">
        <v>107</v>
      </c>
      <c r="D10" s="5" t="s">
        <v>108</v>
      </c>
      <c r="E10" s="5" t="s">
        <v>109</v>
      </c>
      <c r="F10" s="5" t="s">
        <v>110</v>
      </c>
      <c r="G10" s="5"/>
      <c r="L10" s="15" t="s">
        <v>104</v>
      </c>
      <c r="P10" s="1" t="s">
        <v>111</v>
      </c>
    </row>
    <row r="11" spans="2:16" ht="16.5" x14ac:dyDescent="0.4">
      <c r="B11" s="37" t="s">
        <v>106</v>
      </c>
      <c r="C11" s="5">
        <f>C9*1/14</f>
        <v>0.14285714285714285</v>
      </c>
      <c r="D11" s="5">
        <f>D9*1/14</f>
        <v>0.21428571428571427</v>
      </c>
      <c r="E11" s="5">
        <f>E9*1/14</f>
        <v>0.2857142857142857</v>
      </c>
      <c r="F11" s="5">
        <f>F9*1/14</f>
        <v>0.35714285714285715</v>
      </c>
      <c r="G11" s="5"/>
    </row>
    <row r="12" spans="2:16" ht="16.5" x14ac:dyDescent="0.4">
      <c r="B12" s="5"/>
      <c r="C12" s="5"/>
      <c r="D12" s="5"/>
      <c r="E12" s="5"/>
      <c r="F12" s="5"/>
      <c r="G12" s="5"/>
      <c r="H12" s="1" t="s">
        <v>112</v>
      </c>
    </row>
    <row r="13" spans="2:16" x14ac:dyDescent="0.35">
      <c r="C13" s="5"/>
      <c r="D13" s="27" t="s">
        <v>113</v>
      </c>
      <c r="E13" s="5"/>
      <c r="F13" s="5"/>
      <c r="G13" s="5"/>
      <c r="H13" s="38" t="s">
        <v>114</v>
      </c>
    </row>
    <row r="14" spans="2:16" x14ac:dyDescent="0.35">
      <c r="C14" s="5"/>
      <c r="D14" s="27" t="s">
        <v>115</v>
      </c>
      <c r="E14" s="6">
        <f>C11+E11</f>
        <v>0.42857142857142855</v>
      </c>
      <c r="F14" s="5"/>
      <c r="G14" s="5"/>
      <c r="H14" s="38" t="s">
        <v>116</v>
      </c>
    </row>
    <row r="15" spans="2:16" x14ac:dyDescent="0.35">
      <c r="B15" s="5"/>
      <c r="C15" s="5"/>
      <c r="D15" s="5"/>
      <c r="E15" s="5"/>
      <c r="F15" s="5"/>
      <c r="G15" s="5"/>
    </row>
    <row r="16" spans="2:16" x14ac:dyDescent="0.35">
      <c r="B16" s="5"/>
      <c r="C16" s="5"/>
      <c r="D16" s="5"/>
      <c r="E16" s="5"/>
      <c r="F16" s="5"/>
      <c r="G16" s="5"/>
    </row>
    <row r="17" spans="2:7" x14ac:dyDescent="0.35">
      <c r="B17" s="5"/>
      <c r="C17" s="5"/>
      <c r="D17" s="5"/>
      <c r="E17" s="5"/>
      <c r="F17" s="5"/>
      <c r="G17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43"/>
  <sheetViews>
    <sheetView topLeftCell="A15" zoomScale="90" zoomScaleNormal="90" workbookViewId="0">
      <selection activeCell="M12" sqref="M12"/>
    </sheetView>
  </sheetViews>
  <sheetFormatPr defaultColWidth="9.1796875" defaultRowHeight="15.5" x14ac:dyDescent="0.35"/>
  <cols>
    <col min="1" max="16384" width="9.1796875" style="1"/>
  </cols>
  <sheetData>
    <row r="2" spans="2:9" ht="18" x14ac:dyDescent="0.4">
      <c r="B2" s="71" t="s">
        <v>118</v>
      </c>
    </row>
    <row r="4" spans="2:9" x14ac:dyDescent="0.35">
      <c r="B4" s="15" t="s">
        <v>119</v>
      </c>
    </row>
    <row r="5" spans="2:9" x14ac:dyDescent="0.35">
      <c r="B5" s="1" t="s">
        <v>120</v>
      </c>
      <c r="C5" s="1" t="s">
        <v>121</v>
      </c>
    </row>
    <row r="6" spans="2:9" x14ac:dyDescent="0.35">
      <c r="B6" s="38" t="s">
        <v>122</v>
      </c>
      <c r="C6" s="38" t="s">
        <v>123</v>
      </c>
      <c r="D6" s="45"/>
      <c r="E6" s="45"/>
      <c r="F6" s="45"/>
      <c r="G6" s="45"/>
      <c r="H6" s="45"/>
      <c r="I6" s="45"/>
    </row>
    <row r="7" spans="2:9" x14ac:dyDescent="0.35">
      <c r="B7" s="45"/>
      <c r="C7" s="38" t="s">
        <v>124</v>
      </c>
      <c r="D7" s="45"/>
      <c r="E7" s="45"/>
      <c r="F7" s="45"/>
      <c r="G7" s="45"/>
      <c r="H7" s="45"/>
      <c r="I7" s="45"/>
    </row>
    <row r="8" spans="2:9" x14ac:dyDescent="0.35">
      <c r="B8" s="45"/>
      <c r="C8" s="38" t="s">
        <v>125</v>
      </c>
      <c r="D8" s="45"/>
      <c r="E8" s="45"/>
      <c r="F8" s="45"/>
      <c r="G8" s="45"/>
      <c r="H8" s="45"/>
      <c r="I8" s="45"/>
    </row>
    <row r="9" spans="2:9" x14ac:dyDescent="0.35">
      <c r="B9" s="38" t="s">
        <v>126</v>
      </c>
      <c r="C9" s="38" t="s">
        <v>127</v>
      </c>
      <c r="D9" s="45"/>
      <c r="E9" s="45"/>
      <c r="F9" s="45"/>
      <c r="G9" s="45"/>
      <c r="H9" s="45"/>
      <c r="I9" s="45"/>
    </row>
    <row r="10" spans="2:9" x14ac:dyDescent="0.35">
      <c r="B10" s="38"/>
      <c r="C10" s="38" t="s">
        <v>128</v>
      </c>
      <c r="D10" s="45"/>
      <c r="E10" s="45"/>
      <c r="F10" s="45"/>
      <c r="G10" s="45"/>
      <c r="H10" s="45"/>
      <c r="I10" s="45"/>
    </row>
    <row r="11" spans="2:9" x14ac:dyDescent="0.35">
      <c r="B11" s="38"/>
      <c r="C11" s="38" t="s">
        <v>129</v>
      </c>
      <c r="D11" s="45"/>
      <c r="E11" s="45"/>
      <c r="F11" s="45"/>
      <c r="G11" s="45"/>
      <c r="H11" s="45"/>
      <c r="I11" s="45"/>
    </row>
    <row r="12" spans="2:9" x14ac:dyDescent="0.35">
      <c r="B12" s="38"/>
      <c r="C12" s="38"/>
      <c r="D12" s="38"/>
      <c r="E12" s="45"/>
      <c r="F12" s="45"/>
      <c r="G12" s="45"/>
      <c r="H12" s="45"/>
      <c r="I12" s="45"/>
    </row>
    <row r="13" spans="2:9" x14ac:dyDescent="0.35">
      <c r="B13" s="38" t="s">
        <v>176</v>
      </c>
      <c r="C13" s="38"/>
      <c r="D13" s="38"/>
      <c r="E13" s="45"/>
      <c r="F13" s="45"/>
      <c r="G13" s="45"/>
      <c r="H13" s="45"/>
      <c r="I13" s="45"/>
    </row>
    <row r="14" spans="2:9" x14ac:dyDescent="0.35">
      <c r="B14" s="41" t="s">
        <v>46</v>
      </c>
      <c r="C14" s="38"/>
      <c r="D14" s="38"/>
      <c r="E14" s="45"/>
      <c r="F14" s="45"/>
      <c r="G14" s="45"/>
      <c r="H14" s="45"/>
      <c r="I14" s="45"/>
    </row>
    <row r="15" spans="2:9" x14ac:dyDescent="0.35">
      <c r="B15" s="41" t="s">
        <v>177</v>
      </c>
      <c r="C15" s="38"/>
      <c r="D15" s="45"/>
      <c r="E15" s="45"/>
      <c r="F15" s="45"/>
      <c r="G15" s="45"/>
      <c r="H15" s="45"/>
      <c r="I15" s="45"/>
    </row>
    <row r="16" spans="2:9" x14ac:dyDescent="0.35">
      <c r="B16" s="41" t="s">
        <v>178</v>
      </c>
      <c r="C16" s="38"/>
      <c r="D16" s="45"/>
      <c r="E16" s="45"/>
      <c r="F16" s="45"/>
      <c r="G16" s="45"/>
      <c r="H16" s="45"/>
      <c r="I16" s="45"/>
    </row>
    <row r="17" spans="2:11" x14ac:dyDescent="0.35">
      <c r="B17" s="41" t="s">
        <v>179</v>
      </c>
      <c r="C17" s="38"/>
      <c r="D17" s="45"/>
      <c r="E17" s="45"/>
      <c r="F17" s="45"/>
      <c r="G17" s="45"/>
      <c r="H17" s="45"/>
      <c r="I17" s="45"/>
    </row>
    <row r="18" spans="2:11" x14ac:dyDescent="0.35">
      <c r="B18" s="38"/>
      <c r="C18" s="38"/>
      <c r="D18" s="38"/>
      <c r="E18" s="38"/>
      <c r="F18" s="38"/>
      <c r="G18" s="38"/>
      <c r="H18" s="45"/>
      <c r="I18" s="45"/>
    </row>
    <row r="19" spans="2:11" x14ac:dyDescent="0.35">
      <c r="B19" s="42" t="s">
        <v>130</v>
      </c>
      <c r="C19" s="38"/>
      <c r="D19" s="38"/>
      <c r="E19" s="38"/>
      <c r="F19" s="43" t="s">
        <v>131</v>
      </c>
      <c r="G19" s="42" t="s">
        <v>132</v>
      </c>
      <c r="H19" s="45"/>
      <c r="I19" s="45"/>
    </row>
    <row r="20" spans="2:11" x14ac:dyDescent="0.35">
      <c r="B20" s="38"/>
      <c r="C20" s="38"/>
      <c r="D20" s="38"/>
      <c r="E20" s="38"/>
      <c r="F20" s="43" t="s">
        <v>133</v>
      </c>
      <c r="G20" s="42" t="s">
        <v>134</v>
      </c>
      <c r="H20" s="45"/>
      <c r="I20" s="45"/>
    </row>
    <row r="21" spans="2:11" x14ac:dyDescent="0.35">
      <c r="B21" s="45"/>
      <c r="C21" s="38"/>
      <c r="D21" s="38" t="s">
        <v>135</v>
      </c>
      <c r="E21" s="38"/>
      <c r="F21" s="38"/>
      <c r="G21" s="38"/>
      <c r="H21" s="38"/>
      <c r="I21" s="38"/>
      <c r="J21" s="38"/>
      <c r="K21" s="38"/>
    </row>
    <row r="22" spans="2:11" x14ac:dyDescent="0.35">
      <c r="B22" s="45"/>
      <c r="C22" s="38"/>
      <c r="D22" s="38" t="s">
        <v>136</v>
      </c>
      <c r="E22" s="38"/>
      <c r="F22" s="38"/>
      <c r="G22" s="38"/>
      <c r="H22" s="38"/>
      <c r="I22" s="38"/>
      <c r="J22" s="38"/>
      <c r="K22" s="38"/>
    </row>
    <row r="23" spans="2:11" x14ac:dyDescent="0.35">
      <c r="B23" s="38"/>
      <c r="C23" s="38"/>
      <c r="D23" s="38"/>
      <c r="E23" s="38"/>
      <c r="F23" s="38"/>
      <c r="G23" s="45"/>
      <c r="H23" s="45"/>
      <c r="I23" s="45"/>
    </row>
    <row r="24" spans="2:11" ht="18" x14ac:dyDescent="0.4">
      <c r="B24" s="38"/>
      <c r="C24" s="38"/>
      <c r="D24" s="44" t="s">
        <v>137</v>
      </c>
      <c r="E24" s="38"/>
      <c r="F24" s="38"/>
      <c r="G24" s="45"/>
      <c r="H24" s="45"/>
      <c r="I24" s="45"/>
    </row>
    <row r="25" spans="2:11" x14ac:dyDescent="0.35">
      <c r="B25" s="38"/>
      <c r="C25" s="38"/>
      <c r="D25" s="38"/>
      <c r="E25" s="38"/>
      <c r="F25" s="38"/>
      <c r="G25" s="38"/>
      <c r="H25" s="38"/>
      <c r="I25" s="45"/>
    </row>
    <row r="26" spans="2:11" x14ac:dyDescent="0.35">
      <c r="B26" s="41" t="s">
        <v>46</v>
      </c>
      <c r="C26" s="38"/>
      <c r="D26" s="38" t="s">
        <v>138</v>
      </c>
      <c r="E26" s="38"/>
      <c r="F26" s="38"/>
      <c r="G26" s="38"/>
      <c r="H26" s="38"/>
      <c r="I26" s="45"/>
    </row>
    <row r="27" spans="2:11" x14ac:dyDescent="0.35">
      <c r="B27" s="38"/>
      <c r="C27" s="38"/>
      <c r="D27" s="38" t="s">
        <v>140</v>
      </c>
      <c r="E27" s="38"/>
      <c r="F27" s="38"/>
      <c r="G27" s="38"/>
      <c r="H27" s="41" t="s">
        <v>139</v>
      </c>
      <c r="I27" s="45"/>
    </row>
    <row r="28" spans="2:11" x14ac:dyDescent="0.35">
      <c r="B28" s="38"/>
      <c r="C28" s="38"/>
      <c r="D28" s="38" t="s">
        <v>142</v>
      </c>
      <c r="E28" s="38"/>
      <c r="F28" s="38"/>
      <c r="G28" s="38"/>
      <c r="H28" s="41" t="s">
        <v>141</v>
      </c>
      <c r="I28" s="45"/>
    </row>
    <row r="29" spans="2:11" x14ac:dyDescent="0.35">
      <c r="B29" s="45"/>
      <c r="C29" s="45"/>
      <c r="D29" s="45"/>
      <c r="E29" s="45"/>
      <c r="F29" s="45"/>
      <c r="G29" s="45"/>
      <c r="H29" s="46"/>
      <c r="I29" s="45"/>
    </row>
    <row r="30" spans="2:11" x14ac:dyDescent="0.35">
      <c r="B30" s="45"/>
      <c r="C30" s="45"/>
      <c r="D30" s="45"/>
      <c r="E30" s="45"/>
      <c r="F30" s="45"/>
      <c r="G30" s="45"/>
      <c r="H30" s="45"/>
      <c r="I30" s="45"/>
    </row>
    <row r="31" spans="2:11" x14ac:dyDescent="0.35">
      <c r="B31" s="45"/>
      <c r="C31" s="45"/>
      <c r="D31" s="45"/>
      <c r="E31" s="45"/>
      <c r="F31" s="45"/>
      <c r="G31" s="45"/>
      <c r="H31" s="45"/>
      <c r="I31" s="45"/>
    </row>
    <row r="32" spans="2:11" x14ac:dyDescent="0.35">
      <c r="B32" s="45"/>
      <c r="C32" s="45"/>
      <c r="D32" s="45"/>
      <c r="E32" s="45"/>
      <c r="F32" s="45"/>
      <c r="G32" s="45"/>
      <c r="H32" s="45"/>
      <c r="I32" s="45"/>
    </row>
    <row r="33" spans="2:9" x14ac:dyDescent="0.35">
      <c r="B33" s="45"/>
      <c r="C33" s="45"/>
      <c r="D33" s="45"/>
      <c r="E33" s="45"/>
      <c r="F33" s="45"/>
      <c r="G33" s="45"/>
      <c r="H33" s="45"/>
      <c r="I33" s="45"/>
    </row>
    <row r="34" spans="2:9" x14ac:dyDescent="0.35">
      <c r="B34" s="45"/>
      <c r="C34" s="45"/>
      <c r="D34" s="45"/>
      <c r="E34" s="45"/>
      <c r="F34" s="45"/>
      <c r="G34" s="45"/>
      <c r="H34" s="45"/>
      <c r="I34" s="45"/>
    </row>
    <row r="35" spans="2:9" x14ac:dyDescent="0.35">
      <c r="B35" s="42" t="s">
        <v>143</v>
      </c>
      <c r="C35" s="38"/>
      <c r="D35" s="38"/>
      <c r="E35" s="38"/>
      <c r="F35" s="38"/>
      <c r="G35" s="39" t="s">
        <v>144</v>
      </c>
      <c r="H35" s="38"/>
      <c r="I35" s="38"/>
    </row>
    <row r="36" spans="2:9" x14ac:dyDescent="0.35">
      <c r="B36" s="38"/>
      <c r="C36" s="38"/>
      <c r="D36" s="38"/>
      <c r="E36" s="38"/>
      <c r="F36" s="38"/>
      <c r="G36" s="38"/>
      <c r="H36" s="38"/>
      <c r="I36" s="38"/>
    </row>
    <row r="37" spans="2:9" ht="21" x14ac:dyDescent="0.4">
      <c r="B37" s="44" t="s">
        <v>180</v>
      </c>
      <c r="C37" s="38"/>
      <c r="D37" s="44" t="s">
        <v>181</v>
      </c>
      <c r="E37" s="38"/>
      <c r="F37" s="38"/>
      <c r="G37" s="38"/>
      <c r="H37" s="38"/>
      <c r="I37" s="45"/>
    </row>
    <row r="38" spans="2:9" x14ac:dyDescent="0.35">
      <c r="B38" s="38"/>
      <c r="C38" s="38"/>
      <c r="D38" s="38"/>
      <c r="E38" s="38"/>
      <c r="F38" s="38"/>
      <c r="G38" s="38"/>
      <c r="H38" s="38"/>
      <c r="I38" s="45"/>
    </row>
    <row r="39" spans="2:9" x14ac:dyDescent="0.35">
      <c r="B39" s="38"/>
      <c r="C39" s="38"/>
      <c r="D39" s="38"/>
      <c r="E39" s="38"/>
      <c r="F39" s="38"/>
      <c r="G39" s="38"/>
      <c r="H39" s="38"/>
      <c r="I39" s="45"/>
    </row>
    <row r="40" spans="2:9" x14ac:dyDescent="0.35">
      <c r="B40" s="38"/>
      <c r="C40" s="38"/>
      <c r="D40" s="38"/>
      <c r="E40" s="38"/>
      <c r="F40" s="38"/>
      <c r="G40" s="38"/>
      <c r="H40" s="38"/>
      <c r="I40" s="45"/>
    </row>
    <row r="41" spans="2:9" x14ac:dyDescent="0.35">
      <c r="B41" s="45"/>
      <c r="C41" s="45"/>
      <c r="D41" s="45"/>
      <c r="E41" s="45"/>
      <c r="F41" s="45"/>
      <c r="G41" s="45"/>
      <c r="H41" s="45"/>
      <c r="I41" s="45"/>
    </row>
    <row r="42" spans="2:9" x14ac:dyDescent="0.35">
      <c r="B42" s="45"/>
      <c r="C42" s="45"/>
      <c r="D42" s="45"/>
      <c r="E42" s="45"/>
      <c r="F42" s="45"/>
      <c r="G42" s="45"/>
      <c r="H42" s="45"/>
      <c r="I42" s="45"/>
    </row>
    <row r="43" spans="2:9" x14ac:dyDescent="0.35">
      <c r="B43" s="45"/>
      <c r="C43" s="45"/>
      <c r="D43" s="45"/>
      <c r="E43" s="45"/>
      <c r="F43" s="45"/>
      <c r="G43" s="45"/>
      <c r="H43" s="45"/>
      <c r="I43" s="45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H11"/>
  <sheetViews>
    <sheetView zoomScale="90" zoomScaleNormal="90" workbookViewId="0">
      <selection activeCell="G18" sqref="G18"/>
    </sheetView>
  </sheetViews>
  <sheetFormatPr defaultColWidth="9.1796875" defaultRowHeight="15.5" x14ac:dyDescent="0.35"/>
  <cols>
    <col min="1" max="16384" width="9.1796875" style="1"/>
  </cols>
  <sheetData>
    <row r="6" spans="1:8" x14ac:dyDescent="0.35">
      <c r="A6" s="45"/>
      <c r="B6" s="38" t="s">
        <v>145</v>
      </c>
      <c r="C6" s="38"/>
      <c r="D6" s="45"/>
      <c r="E6" s="45"/>
      <c r="F6" s="45"/>
      <c r="G6" s="45"/>
      <c r="H6" s="45"/>
    </row>
    <row r="7" spans="1:8" x14ac:dyDescent="0.35">
      <c r="A7" s="45"/>
      <c r="B7" s="45"/>
      <c r="C7" s="45"/>
      <c r="D7" s="45"/>
      <c r="E7" s="45"/>
      <c r="F7" s="45"/>
      <c r="G7" s="45"/>
      <c r="H7" s="45"/>
    </row>
    <row r="8" spans="1:8" x14ac:dyDescent="0.35">
      <c r="A8" s="45"/>
      <c r="B8" s="38" t="s">
        <v>183</v>
      </c>
      <c r="C8" s="38"/>
      <c r="D8" s="38"/>
      <c r="E8" s="52" t="s">
        <v>184</v>
      </c>
      <c r="F8" s="38" t="s">
        <v>185</v>
      </c>
      <c r="G8" s="45"/>
      <c r="H8" s="45"/>
    </row>
    <row r="9" spans="1:8" x14ac:dyDescent="0.35">
      <c r="A9" s="45"/>
      <c r="B9" s="38"/>
      <c r="C9" s="38"/>
      <c r="D9" s="38"/>
      <c r="E9" s="38"/>
      <c r="F9" s="45"/>
      <c r="G9" s="45"/>
      <c r="H9" s="45"/>
    </row>
    <row r="10" spans="1:8" x14ac:dyDescent="0.35">
      <c r="A10" s="45"/>
      <c r="B10" s="38"/>
      <c r="C10" s="49" t="s">
        <v>182</v>
      </c>
      <c r="D10" s="50">
        <f>_xlfn.BINOM.DIST.RANGE(20,0.05,2,20)</f>
        <v>0.26416047505615026</v>
      </c>
      <c r="E10" s="39" t="s">
        <v>144</v>
      </c>
      <c r="F10" s="45"/>
      <c r="G10" s="45"/>
      <c r="H10" s="45"/>
    </row>
    <row r="11" spans="1:8" x14ac:dyDescent="0.35">
      <c r="A11" s="45"/>
      <c r="B11" s="45"/>
      <c r="C11" s="45"/>
      <c r="D11" s="45"/>
      <c r="E11" s="45"/>
      <c r="F11" s="45"/>
      <c r="G11" s="45"/>
      <c r="H11" s="4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7:L27"/>
  <sheetViews>
    <sheetView topLeftCell="A2" zoomScale="90" zoomScaleNormal="90" workbookViewId="0">
      <selection activeCell="L16" sqref="L16"/>
    </sheetView>
  </sheetViews>
  <sheetFormatPr defaultColWidth="9.1796875" defaultRowHeight="15.5" x14ac:dyDescent="0.35"/>
  <cols>
    <col min="1" max="4" width="9.1796875" style="1"/>
    <col min="5" max="5" width="12.26953125" style="1" customWidth="1"/>
    <col min="6" max="8" width="9.1796875" style="1"/>
    <col min="9" max="9" width="10.08984375" style="1" bestFit="1" customWidth="1"/>
    <col min="10" max="10" width="14.7265625" style="1" bestFit="1" customWidth="1"/>
    <col min="11" max="11" width="9.1796875" style="1"/>
    <col min="12" max="12" width="10.08984375" style="1" bestFit="1" customWidth="1"/>
    <col min="13" max="16384" width="9.1796875" style="1"/>
  </cols>
  <sheetData>
    <row r="7" spans="1:12" x14ac:dyDescent="0.35">
      <c r="A7" s="38"/>
      <c r="B7" s="38" t="s">
        <v>188</v>
      </c>
      <c r="C7" s="38"/>
      <c r="D7" s="38"/>
      <c r="E7" s="38"/>
      <c r="F7" s="38"/>
      <c r="G7" s="38"/>
      <c r="H7" s="38"/>
      <c r="I7" s="38"/>
    </row>
    <row r="8" spans="1:12" x14ac:dyDescent="0.35">
      <c r="A8" s="38"/>
      <c r="B8" s="38"/>
      <c r="C8" s="38"/>
      <c r="D8" s="38"/>
      <c r="E8" s="38"/>
      <c r="F8" s="38"/>
      <c r="G8" s="38"/>
      <c r="H8" s="38"/>
      <c r="I8" s="38"/>
    </row>
    <row r="9" spans="1:12" x14ac:dyDescent="0.35">
      <c r="A9" s="56" t="s">
        <v>43</v>
      </c>
      <c r="B9" s="38" t="s">
        <v>189</v>
      </c>
      <c r="C9" s="38"/>
      <c r="D9" s="38"/>
      <c r="E9" s="38"/>
      <c r="F9" s="38"/>
      <c r="G9" s="38"/>
      <c r="H9" s="38"/>
      <c r="I9" s="38"/>
    </row>
    <row r="10" spans="1:12" x14ac:dyDescent="0.35">
      <c r="A10" s="38"/>
      <c r="C10" s="49" t="s">
        <v>186</v>
      </c>
      <c r="D10" s="50">
        <f>_xlfn.BINOM.DIST.RANGE(20,0.018,1,20)</f>
        <v>0.3046078949322496</v>
      </c>
      <c r="E10" s="39" t="s">
        <v>144</v>
      </c>
      <c r="F10" s="38"/>
      <c r="G10" s="38"/>
      <c r="H10" s="38"/>
      <c r="I10" s="38">
        <f>_xlfn.BINOM.DIST.RANGE(22,0.014,2,22)</f>
        <v>3.7613571254469014E-2</v>
      </c>
    </row>
    <row r="11" spans="1:12" x14ac:dyDescent="0.35">
      <c r="A11" s="38"/>
      <c r="B11" s="38"/>
      <c r="C11" s="38"/>
      <c r="D11" s="38"/>
      <c r="E11" s="38"/>
      <c r="F11" s="38"/>
      <c r="G11" s="38"/>
      <c r="H11" s="38"/>
      <c r="I11" s="38"/>
    </row>
    <row r="12" spans="1:12" x14ac:dyDescent="0.35">
      <c r="A12" s="57" t="s">
        <v>44</v>
      </c>
      <c r="B12" s="38"/>
      <c r="C12" s="38"/>
      <c r="D12" s="38"/>
      <c r="E12" s="38"/>
      <c r="F12" s="38"/>
      <c r="G12" s="38"/>
      <c r="H12" s="38"/>
      <c r="I12" s="38"/>
    </row>
    <row r="13" spans="1:12" x14ac:dyDescent="0.35">
      <c r="A13" s="38"/>
      <c r="B13" s="38"/>
      <c r="C13" s="38"/>
      <c r="D13" s="38"/>
      <c r="E13" s="38"/>
      <c r="F13" s="38"/>
      <c r="G13" s="38"/>
      <c r="H13" s="38"/>
      <c r="I13" s="38"/>
    </row>
    <row r="14" spans="1:12" x14ac:dyDescent="0.35">
      <c r="A14" s="38"/>
      <c r="B14" s="38"/>
      <c r="C14" s="38"/>
      <c r="D14" s="38"/>
      <c r="E14" s="38"/>
      <c r="F14" s="38"/>
      <c r="G14" s="38"/>
      <c r="H14" s="38"/>
      <c r="I14" s="38"/>
      <c r="J14" s="1" t="s">
        <v>368</v>
      </c>
      <c r="K14" s="1" t="str">
        <f>J14</f>
        <v>0,986^22</v>
      </c>
    </row>
    <row r="15" spans="1:12" x14ac:dyDescent="0.35">
      <c r="A15" s="38"/>
      <c r="B15" s="38"/>
      <c r="C15" s="38"/>
      <c r="D15" s="38"/>
      <c r="E15" s="38"/>
      <c r="F15" s="38"/>
      <c r="G15" s="38"/>
      <c r="H15" s="38"/>
      <c r="I15" s="38"/>
      <c r="K15" s="1">
        <f>0.986^22</f>
        <v>0.73331763426823238</v>
      </c>
      <c r="L15" s="1">
        <f>K15+I10</f>
        <v>0.77093120552270133</v>
      </c>
    </row>
    <row r="17" spans="1:9" x14ac:dyDescent="0.35">
      <c r="A17" s="45"/>
      <c r="B17" s="47" t="s">
        <v>43</v>
      </c>
      <c r="C17" s="48" t="s">
        <v>146</v>
      </c>
      <c r="D17" s="45"/>
      <c r="E17" s="45"/>
      <c r="F17" s="45"/>
      <c r="G17" s="45"/>
      <c r="H17" s="45"/>
      <c r="I17" s="45"/>
    </row>
    <row r="18" spans="1:9" x14ac:dyDescent="0.35">
      <c r="A18" s="45"/>
      <c r="B18" s="45"/>
      <c r="C18" s="45" t="s">
        <v>147</v>
      </c>
      <c r="D18" s="45"/>
      <c r="E18" s="45"/>
      <c r="F18" s="45"/>
      <c r="G18" s="45"/>
      <c r="H18" s="45"/>
      <c r="I18" s="45"/>
    </row>
    <row r="19" spans="1:9" x14ac:dyDescent="0.35">
      <c r="A19" s="45"/>
      <c r="B19" s="45"/>
      <c r="C19" s="45" t="s">
        <v>148</v>
      </c>
      <c r="D19" s="45"/>
      <c r="E19" s="45"/>
      <c r="F19" s="45"/>
      <c r="G19" s="45"/>
      <c r="H19" s="45"/>
      <c r="I19" s="45"/>
    </row>
    <row r="20" spans="1:9" x14ac:dyDescent="0.35">
      <c r="A20" s="45"/>
      <c r="B20" s="45"/>
      <c r="C20" s="45"/>
      <c r="D20" s="51" t="s">
        <v>187</v>
      </c>
      <c r="E20" s="54">
        <f>_xlfn.BINOM.DIST.RANGE(4,0.018,1,4)</f>
        <v>7.0079223024000062E-2</v>
      </c>
      <c r="F20" s="48" t="s">
        <v>144</v>
      </c>
      <c r="G20" s="45"/>
      <c r="H20" s="45"/>
      <c r="I20" s="45"/>
    </row>
    <row r="21" spans="1:9" x14ac:dyDescent="0.35">
      <c r="A21" s="45"/>
      <c r="B21" s="45"/>
      <c r="C21" s="45"/>
      <c r="D21" s="45"/>
      <c r="E21" s="45"/>
      <c r="F21" s="45"/>
      <c r="G21" s="45"/>
      <c r="H21" s="45"/>
      <c r="I21" s="45"/>
    </row>
    <row r="22" spans="1:9" x14ac:dyDescent="0.35">
      <c r="A22" s="45"/>
      <c r="B22" s="45"/>
      <c r="C22" s="48" t="s">
        <v>149</v>
      </c>
      <c r="D22" s="45"/>
      <c r="E22" s="45"/>
      <c r="F22" s="45"/>
      <c r="G22" s="45"/>
      <c r="H22" s="45"/>
      <c r="I22" s="45"/>
    </row>
    <row r="23" spans="1:9" x14ac:dyDescent="0.35">
      <c r="A23" s="45"/>
      <c r="B23" s="45"/>
      <c r="C23" s="45" t="s">
        <v>150</v>
      </c>
      <c r="D23" s="45"/>
      <c r="E23" s="45"/>
      <c r="F23" s="45"/>
      <c r="G23" s="45"/>
      <c r="H23" s="45"/>
      <c r="I23" s="45"/>
    </row>
    <row r="24" spans="1:9" x14ac:dyDescent="0.35">
      <c r="A24" s="45"/>
      <c r="B24" s="45"/>
      <c r="C24" s="45" t="s">
        <v>151</v>
      </c>
      <c r="D24" s="45"/>
      <c r="E24" s="45"/>
      <c r="F24" s="45"/>
      <c r="G24" s="45"/>
      <c r="H24" s="45"/>
      <c r="I24" s="45"/>
    </row>
    <row r="25" spans="1:9" x14ac:dyDescent="0.35">
      <c r="A25" s="45"/>
      <c r="B25" s="45"/>
      <c r="C25" s="45"/>
      <c r="D25" s="51" t="s">
        <v>152</v>
      </c>
      <c r="E25" s="55">
        <f>_xlfn.BINOM.DIST.RANGE(5,E20,5,5)</f>
        <v>1.690232276075327E-6</v>
      </c>
      <c r="F25" s="48" t="s">
        <v>144</v>
      </c>
      <c r="G25" s="45"/>
      <c r="H25" s="45"/>
      <c r="I25" s="45"/>
    </row>
    <row r="26" spans="1:9" x14ac:dyDescent="0.35">
      <c r="A26" s="45"/>
      <c r="B26" s="45"/>
      <c r="C26" s="45"/>
      <c r="D26" s="45"/>
      <c r="E26" s="45"/>
      <c r="F26" s="45"/>
      <c r="G26" s="45"/>
      <c r="H26" s="45"/>
      <c r="I26" s="45"/>
    </row>
    <row r="27" spans="1:9" x14ac:dyDescent="0.35">
      <c r="A27" s="45"/>
      <c r="B27" s="45"/>
      <c r="C27" s="45"/>
      <c r="D27" s="45"/>
      <c r="E27" s="45"/>
      <c r="F27" s="45"/>
      <c r="G27" s="45"/>
      <c r="H27" s="45"/>
      <c r="I27" s="4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6:L12"/>
  <sheetViews>
    <sheetView zoomScale="90" zoomScaleNormal="90" workbookViewId="0">
      <selection activeCell="L13" sqref="L13"/>
    </sheetView>
  </sheetViews>
  <sheetFormatPr defaultColWidth="9.1796875" defaultRowHeight="15.5" x14ac:dyDescent="0.35"/>
  <cols>
    <col min="1" max="16384" width="9.1796875" style="1"/>
  </cols>
  <sheetData>
    <row r="6" spans="2:12" x14ac:dyDescent="0.35">
      <c r="B6" s="1" t="s">
        <v>250</v>
      </c>
    </row>
    <row r="7" spans="2:12" x14ac:dyDescent="0.35">
      <c r="B7" s="1" t="s">
        <v>251</v>
      </c>
    </row>
    <row r="9" spans="2:12" x14ac:dyDescent="0.35">
      <c r="C9" s="27" t="s">
        <v>252</v>
      </c>
      <c r="D9" s="8">
        <f>_xlfn.BINOM.DIST.RANGE(2,0.03,1,2)</f>
        <v>5.9100000000000055E-2</v>
      </c>
      <c r="E9" s="39" t="s">
        <v>253</v>
      </c>
    </row>
    <row r="11" spans="2:12" x14ac:dyDescent="0.35">
      <c r="J11" s="1">
        <f>_xlfn.BINOM.DIST.RANGE(7,0.91,5,7)</f>
        <v>0.98066651602465005</v>
      </c>
    </row>
    <row r="12" spans="2:12" x14ac:dyDescent="0.35">
      <c r="J12" s="1">
        <f>_xlfn.BINOM.DIST.RANGE(5,0.69,3,5)</f>
        <v>0.82344065939999989</v>
      </c>
      <c r="L12" s="1">
        <f>1-J12</f>
        <v>0.17655934060000011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5:I22"/>
  <sheetViews>
    <sheetView zoomScale="80" zoomScaleNormal="80" workbookViewId="0">
      <selection activeCell="H18" sqref="H18"/>
    </sheetView>
  </sheetViews>
  <sheetFormatPr defaultColWidth="9.1796875" defaultRowHeight="15.5" x14ac:dyDescent="0.35"/>
  <cols>
    <col min="1" max="16384" width="9.1796875" style="1"/>
  </cols>
  <sheetData>
    <row r="15" spans="2:9" x14ac:dyDescent="0.35">
      <c r="B15" s="1" t="s">
        <v>254</v>
      </c>
      <c r="F15" s="27" t="s">
        <v>255</v>
      </c>
      <c r="G15" s="10">
        <v>8</v>
      </c>
      <c r="H15" s="27" t="s">
        <v>256</v>
      </c>
      <c r="I15" s="10">
        <v>2</v>
      </c>
    </row>
    <row r="17" spans="2:9" x14ac:dyDescent="0.35">
      <c r="B17" s="6" t="s">
        <v>43</v>
      </c>
      <c r="C17" s="27" t="s">
        <v>255</v>
      </c>
      <c r="D17" s="10">
        <v>1</v>
      </c>
      <c r="E17" s="27" t="s">
        <v>256</v>
      </c>
      <c r="F17" s="10">
        <f>I15*D17/G15</f>
        <v>0.25</v>
      </c>
    </row>
    <row r="18" spans="2:9" x14ac:dyDescent="0.35">
      <c r="G18" s="27" t="s">
        <v>257</v>
      </c>
      <c r="H18" s="8">
        <f>1-_xlfn.POISSON.DIST(0,F17,0)</f>
        <v>0.22119921692859512</v>
      </c>
      <c r="I18" s="39" t="s">
        <v>164</v>
      </c>
    </row>
    <row r="20" spans="2:9" x14ac:dyDescent="0.35">
      <c r="B20" s="6" t="s">
        <v>51</v>
      </c>
      <c r="C20" s="1" t="s">
        <v>258</v>
      </c>
    </row>
    <row r="21" spans="2:9" x14ac:dyDescent="0.35">
      <c r="C21" s="27" t="s">
        <v>255</v>
      </c>
      <c r="D21" s="10">
        <v>8</v>
      </c>
      <c r="E21" s="27" t="s">
        <v>256</v>
      </c>
      <c r="F21" s="10" t="s">
        <v>259</v>
      </c>
    </row>
    <row r="22" spans="2:9" x14ac:dyDescent="0.35">
      <c r="B22" s="13" t="s">
        <v>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20</vt:i4>
      </vt:variant>
    </vt:vector>
  </HeadingPairs>
  <TitlesOfParts>
    <vt:vector size="20" baseType="lpstr">
      <vt:lpstr>Geral VAD</vt:lpstr>
      <vt:lpstr>3</vt:lpstr>
      <vt:lpstr>5</vt:lpstr>
      <vt:lpstr>6</vt:lpstr>
      <vt:lpstr>Geral Bin</vt:lpstr>
      <vt:lpstr>8</vt:lpstr>
      <vt:lpstr>9</vt:lpstr>
      <vt:lpstr>10</vt:lpstr>
      <vt:lpstr>Folha2</vt:lpstr>
      <vt:lpstr>Geral Poiss</vt:lpstr>
      <vt:lpstr>15</vt:lpstr>
      <vt:lpstr>16</vt:lpstr>
      <vt:lpstr>Extra 1</vt:lpstr>
      <vt:lpstr>Extra 2</vt:lpstr>
      <vt:lpstr>Geral VAC</vt:lpstr>
      <vt:lpstr>18</vt:lpstr>
      <vt:lpstr>Normal Exemplo</vt:lpstr>
      <vt:lpstr>27</vt:lpstr>
      <vt:lpstr>Folha4</vt:lpstr>
      <vt:lpstr>26</vt:lpstr>
    </vt:vector>
  </TitlesOfParts>
  <Company>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 local</dc:creator>
  <cp:lastModifiedBy>Ricardo Keng</cp:lastModifiedBy>
  <dcterms:created xsi:type="dcterms:W3CDTF">2023-05-29T10:57:13Z</dcterms:created>
  <dcterms:modified xsi:type="dcterms:W3CDTF">2023-06-30T09:53:53Z</dcterms:modified>
</cp:coreProperties>
</file>