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alea\OneDrive\Desktop\GAVAL CONSULTORA\GAVAL\EJEMPLO PLANILLAS DE GESTIÓN\"/>
    </mc:Choice>
  </mc:AlternateContent>
  <xr:revisionPtr revIDLastSave="0" documentId="13_ncr:1_{66DE2E5D-471F-4101-8E7F-5F0F99FCF19C}" xr6:coauthVersionLast="47" xr6:coauthVersionMax="47" xr10:uidLastSave="{00000000-0000-0000-0000-000000000000}"/>
  <bookViews>
    <workbookView xWindow="28680" yWindow="-120" windowWidth="12240" windowHeight="8640" tabRatio="595" xr2:uid="{00000000-000D-0000-FFFF-FFFF00000000}"/>
  </bookViews>
  <sheets>
    <sheet name="EMPRESA 1" sheetId="17" r:id="rId1"/>
    <sheet name="EMPRESA 2" sheetId="22" r:id="rId2"/>
    <sheet name="BAT EMPRESA 1" sheetId="23" r:id="rId3"/>
    <sheet name="BAT EMPRESA 2" sheetId="24" r:id="rId4"/>
    <sheet name="PARÁMETROS MANT." sheetId="18" r:id="rId5"/>
  </sheets>
  <definedNames>
    <definedName name="_xlnm._FilterDatabase" localSheetId="0" hidden="1">'EMPRESA 1'!#REF!</definedName>
    <definedName name="_xlnm._FilterDatabase" localSheetId="4" hidden="1">'PARÁMETROS MANT.'!$A$1:$A$35</definedName>
    <definedName name="_xlnm.Print_Area" localSheetId="2">'BAT EMPRESA 1'!$A$1:$W$26</definedName>
    <definedName name="_xlnm.Print_Area" localSheetId="3">'BAT EMPRESA 2'!$A$1:$W$36</definedName>
    <definedName name="_xlnm.Print_Area" localSheetId="0">'EMPRESA 1'!$A$1:$AJ$27</definedName>
    <definedName name="Marca">#REF!</definedName>
    <definedName name="Print_Area" localSheetId="0">Tabla1[[#Headers],[#Data]]</definedName>
    <definedName name="Servicio">#REF!</definedName>
    <definedName name="Vehícul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7" i="17" l="1"/>
  <c r="Y27" i="17"/>
  <c r="Z27" i="17"/>
  <c r="AC27" i="17"/>
  <c r="P27" i="17"/>
  <c r="S27" i="17" s="1"/>
  <c r="U27" i="17" s="1"/>
  <c r="X26" i="17"/>
  <c r="Y26" i="17"/>
  <c r="Z26" i="17"/>
  <c r="AC26" i="17"/>
  <c r="S26" i="17"/>
  <c r="U26" i="17" s="1"/>
  <c r="P25" i="17"/>
  <c r="B34" i="18" l="1"/>
  <c r="B32" i="18"/>
  <c r="B30" i="18"/>
  <c r="B28" i="18"/>
  <c r="AD34" i="22" s="1"/>
  <c r="B26" i="18"/>
  <c r="B24" i="18"/>
  <c r="AD29" i="22" s="1"/>
  <c r="B22" i="18"/>
  <c r="AD5" i="22" s="1"/>
  <c r="B20" i="18"/>
  <c r="B18" i="18"/>
  <c r="B16" i="18"/>
  <c r="B14" i="18"/>
  <c r="AD31" i="22" s="1"/>
  <c r="B12" i="18"/>
  <c r="B10" i="18"/>
  <c r="B8" i="18"/>
  <c r="B6" i="18"/>
  <c r="AD3" i="22" s="1"/>
  <c r="B4" i="18"/>
  <c r="B2" i="18"/>
  <c r="AD9" i="17" s="1"/>
  <c r="U35" i="24"/>
  <c r="T35" i="24"/>
  <c r="J35" i="24" s="1"/>
  <c r="U34" i="24"/>
  <c r="T34" i="24"/>
  <c r="J34" i="24" s="1"/>
  <c r="U33" i="24"/>
  <c r="T33" i="24"/>
  <c r="J33" i="24" s="1"/>
  <c r="U32" i="24"/>
  <c r="T32" i="24"/>
  <c r="J32" i="24" s="1"/>
  <c r="U31" i="24"/>
  <c r="T31" i="24"/>
  <c r="J31" i="24" s="1"/>
  <c r="U30" i="24"/>
  <c r="T30" i="24"/>
  <c r="J30" i="24" s="1"/>
  <c r="U29" i="24"/>
  <c r="T29" i="24"/>
  <c r="J29" i="24" s="1"/>
  <c r="U28" i="24"/>
  <c r="T28" i="24"/>
  <c r="J28" i="24" s="1"/>
  <c r="U27" i="24"/>
  <c r="T27" i="24"/>
  <c r="J27" i="24" s="1"/>
  <c r="U26" i="24"/>
  <c r="T26" i="24"/>
  <c r="J26" i="24" s="1"/>
  <c r="U25" i="24"/>
  <c r="T25" i="24"/>
  <c r="J25" i="24" s="1"/>
  <c r="U24" i="24"/>
  <c r="T24" i="24"/>
  <c r="J24" i="24" s="1"/>
  <c r="U23" i="24"/>
  <c r="T23" i="24"/>
  <c r="J23" i="24" s="1"/>
  <c r="U22" i="24"/>
  <c r="T22" i="24"/>
  <c r="J22" i="24" s="1"/>
  <c r="U21" i="24"/>
  <c r="T21" i="24"/>
  <c r="J21" i="24" s="1"/>
  <c r="U20" i="24"/>
  <c r="T20" i="24"/>
  <c r="J20" i="24" s="1"/>
  <c r="U19" i="24"/>
  <c r="T19" i="24"/>
  <c r="J19" i="24" s="1"/>
  <c r="U18" i="24"/>
  <c r="T18" i="24"/>
  <c r="J18" i="24" s="1"/>
  <c r="U17" i="24"/>
  <c r="T17" i="24"/>
  <c r="J17" i="24" s="1"/>
  <c r="S17" i="24"/>
  <c r="U16" i="24"/>
  <c r="T16" i="24"/>
  <c r="J16" i="24" s="1"/>
  <c r="U15" i="24"/>
  <c r="T15" i="24"/>
  <c r="J15" i="24" s="1"/>
  <c r="U14" i="24"/>
  <c r="T14" i="24"/>
  <c r="J14" i="24" s="1"/>
  <c r="U13" i="24"/>
  <c r="T13" i="24"/>
  <c r="J13" i="24" s="1"/>
  <c r="U12" i="24"/>
  <c r="T12" i="24"/>
  <c r="J12" i="24" s="1"/>
  <c r="U11" i="24"/>
  <c r="T11" i="24"/>
  <c r="J11" i="24" s="1"/>
  <c r="U10" i="24"/>
  <c r="T10" i="24"/>
  <c r="J10" i="24" s="1"/>
  <c r="U9" i="24"/>
  <c r="T9" i="24"/>
  <c r="J9" i="24" s="1"/>
  <c r="U8" i="24"/>
  <c r="T8" i="24"/>
  <c r="J8" i="24" s="1"/>
  <c r="U7" i="24"/>
  <c r="T7" i="24"/>
  <c r="J7" i="24" s="1"/>
  <c r="U6" i="24"/>
  <c r="T6" i="24"/>
  <c r="J6" i="24" s="1"/>
  <c r="U5" i="24"/>
  <c r="T5" i="24"/>
  <c r="J5" i="24" s="1"/>
  <c r="U4" i="24"/>
  <c r="T4" i="24"/>
  <c r="J4" i="24" s="1"/>
  <c r="U3" i="24"/>
  <c r="T3" i="24"/>
  <c r="J3" i="24" s="1"/>
  <c r="W1" i="24"/>
  <c r="V1" i="24"/>
  <c r="N31" i="24" s="1"/>
  <c r="U25" i="23"/>
  <c r="T25" i="23"/>
  <c r="J25" i="23" s="1"/>
  <c r="U24" i="23"/>
  <c r="T24" i="23"/>
  <c r="J24" i="23" s="1"/>
  <c r="U23" i="23"/>
  <c r="T23" i="23"/>
  <c r="J23" i="23" s="1"/>
  <c r="U22" i="23"/>
  <c r="T22" i="23"/>
  <c r="J22" i="23" s="1"/>
  <c r="U21" i="23"/>
  <c r="T21" i="23"/>
  <c r="J21" i="23" s="1"/>
  <c r="U20" i="23"/>
  <c r="T20" i="23"/>
  <c r="J20" i="23" s="1"/>
  <c r="U19" i="23"/>
  <c r="T19" i="23"/>
  <c r="J19" i="23" s="1"/>
  <c r="U18" i="23"/>
  <c r="T18" i="23"/>
  <c r="J18" i="23" s="1"/>
  <c r="U17" i="23"/>
  <c r="T17" i="23"/>
  <c r="J17" i="23" s="1"/>
  <c r="U16" i="23"/>
  <c r="T16" i="23"/>
  <c r="J16" i="23" s="1"/>
  <c r="AC15" i="23"/>
  <c r="U15" i="23"/>
  <c r="T15" i="23"/>
  <c r="AB15" i="23" s="1"/>
  <c r="U14" i="23"/>
  <c r="T14" i="23"/>
  <c r="J14" i="23" s="1"/>
  <c r="U13" i="23"/>
  <c r="T13" i="23"/>
  <c r="J13" i="23" s="1"/>
  <c r="U12" i="23"/>
  <c r="T12" i="23"/>
  <c r="S12" i="23" s="1"/>
  <c r="U11" i="23"/>
  <c r="T11" i="23"/>
  <c r="J11" i="23" s="1"/>
  <c r="U10" i="23"/>
  <c r="T10" i="23"/>
  <c r="J10" i="23" s="1"/>
  <c r="U9" i="23"/>
  <c r="T9" i="23"/>
  <c r="J9" i="23" s="1"/>
  <c r="U8" i="23"/>
  <c r="T8" i="23"/>
  <c r="J8" i="23" s="1"/>
  <c r="U7" i="23"/>
  <c r="T7" i="23"/>
  <c r="J7" i="23" s="1"/>
  <c r="U6" i="23"/>
  <c r="T6" i="23"/>
  <c r="J6" i="23" s="1"/>
  <c r="U5" i="23"/>
  <c r="T5" i="23"/>
  <c r="J5" i="23" s="1"/>
  <c r="U4" i="23"/>
  <c r="T4" i="23"/>
  <c r="J4" i="23" s="1"/>
  <c r="U3" i="23"/>
  <c r="T3" i="23"/>
  <c r="J3" i="23" s="1"/>
  <c r="W1" i="23"/>
  <c r="V1" i="23"/>
  <c r="L25" i="23" s="1"/>
  <c r="AH35" i="22"/>
  <c r="AG35" i="22"/>
  <c r="AC35" i="22"/>
  <c r="S35" i="22"/>
  <c r="U35" i="22" s="1"/>
  <c r="P35" i="22"/>
  <c r="AH34" i="22"/>
  <c r="AG34" i="22"/>
  <c r="AC34" i="22"/>
  <c r="S34" i="22"/>
  <c r="U34" i="22" s="1"/>
  <c r="P34" i="22"/>
  <c r="AH33" i="22"/>
  <c r="AG33" i="22"/>
  <c r="AD33" i="22"/>
  <c r="AC33" i="22"/>
  <c r="S33" i="22"/>
  <c r="U33" i="22" s="1"/>
  <c r="P33" i="22"/>
  <c r="AH32" i="22"/>
  <c r="AG32" i="22"/>
  <c r="AD32" i="22"/>
  <c r="AC32" i="22"/>
  <c r="S32" i="22"/>
  <c r="U32" i="22" s="1"/>
  <c r="P32" i="22"/>
  <c r="AH31" i="22"/>
  <c r="AG31" i="22"/>
  <c r="AC31" i="22"/>
  <c r="S31" i="22"/>
  <c r="U31" i="22" s="1"/>
  <c r="P31" i="22"/>
  <c r="AH30" i="22"/>
  <c r="AG30" i="22"/>
  <c r="AD30" i="22"/>
  <c r="AC30" i="22"/>
  <c r="S30" i="22"/>
  <c r="U30" i="22" s="1"/>
  <c r="P30" i="22"/>
  <c r="AH29" i="22"/>
  <c r="AG29" i="22"/>
  <c r="AC29" i="22"/>
  <c r="P29" i="22"/>
  <c r="S29" i="22" s="1"/>
  <c r="U29" i="22" s="1"/>
  <c r="AH28" i="22"/>
  <c r="AG28" i="22"/>
  <c r="AC28" i="22"/>
  <c r="P28" i="22"/>
  <c r="S28" i="22" s="1"/>
  <c r="U28" i="22" s="1"/>
  <c r="AH27" i="22"/>
  <c r="AG27" i="22"/>
  <c r="AC27" i="22"/>
  <c r="P27" i="22"/>
  <c r="S27" i="22" s="1"/>
  <c r="U27" i="22" s="1"/>
  <c r="AH26" i="22"/>
  <c r="AG26" i="22"/>
  <c r="AC26" i="22"/>
  <c r="P26" i="22"/>
  <c r="S26" i="22" s="1"/>
  <c r="U26" i="22" s="1"/>
  <c r="AH25" i="22"/>
  <c r="AG25" i="22"/>
  <c r="AC25" i="22"/>
  <c r="S25" i="22"/>
  <c r="U25" i="22" s="1"/>
  <c r="P25" i="22"/>
  <c r="AH24" i="22"/>
  <c r="AG24" i="22"/>
  <c r="AC24" i="22"/>
  <c r="S24" i="22"/>
  <c r="U24" i="22" s="1"/>
  <c r="P24" i="22"/>
  <c r="AH23" i="22"/>
  <c r="AG23" i="22"/>
  <c r="AC23" i="22"/>
  <c r="S23" i="22"/>
  <c r="U23" i="22" s="1"/>
  <c r="P23" i="22"/>
  <c r="AH22" i="22"/>
  <c r="AG22" i="22"/>
  <c r="AC22" i="22"/>
  <c r="S22" i="22"/>
  <c r="U22" i="22" s="1"/>
  <c r="P22" i="22"/>
  <c r="AH21" i="22"/>
  <c r="AG21" i="22"/>
  <c r="AC21" i="22"/>
  <c r="S21" i="22"/>
  <c r="U21" i="22" s="1"/>
  <c r="P21" i="22"/>
  <c r="AH20" i="22"/>
  <c r="AG20" i="22"/>
  <c r="AC20" i="22"/>
  <c r="S20" i="22"/>
  <c r="U20" i="22" s="1"/>
  <c r="P20" i="22"/>
  <c r="AH19" i="22"/>
  <c r="AG19" i="22"/>
  <c r="AC19" i="22"/>
  <c r="S19" i="22"/>
  <c r="U19" i="22" s="1"/>
  <c r="P19" i="22"/>
  <c r="AH18" i="22"/>
  <c r="AG18" i="22"/>
  <c r="AC18" i="22"/>
  <c r="S18" i="22"/>
  <c r="U18" i="22" s="1"/>
  <c r="P18" i="22"/>
  <c r="AH17" i="22"/>
  <c r="AG17" i="22"/>
  <c r="AC17" i="22"/>
  <c r="S17" i="22"/>
  <c r="U17" i="22" s="1"/>
  <c r="P17" i="22"/>
  <c r="AH16" i="22"/>
  <c r="AG16" i="22"/>
  <c r="AC16" i="22"/>
  <c r="S16" i="22"/>
  <c r="U16" i="22" s="1"/>
  <c r="P16" i="22"/>
  <c r="AH15" i="22"/>
  <c r="AG15" i="22"/>
  <c r="AC15" i="22"/>
  <c r="S15" i="22"/>
  <c r="U15" i="22" s="1"/>
  <c r="P15" i="22"/>
  <c r="AH14" i="22"/>
  <c r="AG14" i="22"/>
  <c r="AC14" i="22"/>
  <c r="S14" i="22"/>
  <c r="U14" i="22" s="1"/>
  <c r="P14" i="22"/>
  <c r="AH13" i="22"/>
  <c r="AG13" i="22"/>
  <c r="AC13" i="22"/>
  <c r="S13" i="22"/>
  <c r="U13" i="22" s="1"/>
  <c r="P13" i="22"/>
  <c r="AH12" i="22"/>
  <c r="AG12" i="22"/>
  <c r="AC12" i="22"/>
  <c r="S12" i="22"/>
  <c r="U12" i="22" s="1"/>
  <c r="P12" i="22"/>
  <c r="AH11" i="22"/>
  <c r="AG11" i="22"/>
  <c r="AC11" i="22"/>
  <c r="S11" i="22"/>
  <c r="U11" i="22" s="1"/>
  <c r="P11" i="22"/>
  <c r="AH10" i="22"/>
  <c r="AG10" i="22"/>
  <c r="AC10" i="22"/>
  <c r="S10" i="22"/>
  <c r="U10" i="22" s="1"/>
  <c r="P10" i="22"/>
  <c r="AH9" i="22"/>
  <c r="AG9" i="22"/>
  <c r="AC9" i="22"/>
  <c r="S9" i="22"/>
  <c r="U9" i="22" s="1"/>
  <c r="P9" i="22"/>
  <c r="AH8" i="22"/>
  <c r="AG8" i="22"/>
  <c r="AC8" i="22"/>
  <c r="S8" i="22"/>
  <c r="U8" i="22" s="1"/>
  <c r="P8" i="22"/>
  <c r="AH7" i="22"/>
  <c r="AG7" i="22"/>
  <c r="AC7" i="22"/>
  <c r="S7" i="22"/>
  <c r="U7" i="22" s="1"/>
  <c r="P7" i="22"/>
  <c r="AH6" i="22"/>
  <c r="AG6" i="22"/>
  <c r="AC6" i="22"/>
  <c r="S6" i="22"/>
  <c r="U6" i="22" s="1"/>
  <c r="P6" i="22"/>
  <c r="AH5" i="22"/>
  <c r="AG5" i="22"/>
  <c r="AC5" i="22"/>
  <c r="S5" i="22"/>
  <c r="U5" i="22" s="1"/>
  <c r="P5" i="22"/>
  <c r="AH4" i="22"/>
  <c r="AG4" i="22"/>
  <c r="AD4" i="22"/>
  <c r="AC4" i="22"/>
  <c r="Z4" i="22"/>
  <c r="S4" i="22"/>
  <c r="U4" i="22" s="1"/>
  <c r="P4" i="22"/>
  <c r="AH3" i="22"/>
  <c r="AG3" i="22"/>
  <c r="AC3" i="22"/>
  <c r="S3" i="22"/>
  <c r="U3" i="22" s="1"/>
  <c r="P3" i="22"/>
  <c r="AJ1" i="22"/>
  <c r="AH25" i="17"/>
  <c r="AG25" i="17"/>
  <c r="AD25" i="17"/>
  <c r="AC25" i="17"/>
  <c r="S25" i="17"/>
  <c r="U25" i="17" s="1"/>
  <c r="AH24" i="17"/>
  <c r="AG24" i="17"/>
  <c r="AD24" i="17"/>
  <c r="AC24" i="17"/>
  <c r="P24" i="17"/>
  <c r="S24" i="17" s="1"/>
  <c r="U24" i="17" s="1"/>
  <c r="AH23" i="17"/>
  <c r="AG23" i="17"/>
  <c r="AC23" i="17"/>
  <c r="P23" i="17"/>
  <c r="S23" i="17" s="1"/>
  <c r="U23" i="17" s="1"/>
  <c r="AH22" i="17"/>
  <c r="AG22" i="17"/>
  <c r="AC22" i="17"/>
  <c r="P22" i="17"/>
  <c r="S22" i="17" s="1"/>
  <c r="U22" i="17" s="1"/>
  <c r="AH21" i="17"/>
  <c r="AG21" i="17"/>
  <c r="AC21" i="17"/>
  <c r="P21" i="17"/>
  <c r="S21" i="17" s="1"/>
  <c r="U21" i="17" s="1"/>
  <c r="AH20" i="17"/>
  <c r="AG20" i="17"/>
  <c r="AC20" i="17"/>
  <c r="P20" i="17"/>
  <c r="S20" i="17" s="1"/>
  <c r="U20" i="17" s="1"/>
  <c r="AH19" i="17"/>
  <c r="AG19" i="17"/>
  <c r="AC19" i="17"/>
  <c r="P19" i="17"/>
  <c r="S19" i="17" s="1"/>
  <c r="U19" i="17" s="1"/>
  <c r="AH18" i="17"/>
  <c r="AG18" i="17"/>
  <c r="AC18" i="17"/>
  <c r="P18" i="17"/>
  <c r="S18" i="17" s="1"/>
  <c r="U18" i="17" s="1"/>
  <c r="AH17" i="17"/>
  <c r="AG17" i="17"/>
  <c r="AC17" i="17"/>
  <c r="P17" i="17"/>
  <c r="S17" i="17" s="1"/>
  <c r="U17" i="17" s="1"/>
  <c r="AH16" i="17"/>
  <c r="AG16" i="17"/>
  <c r="AC16" i="17"/>
  <c r="P16" i="17"/>
  <c r="S16" i="17" s="1"/>
  <c r="U16" i="17" s="1"/>
  <c r="AH15" i="17"/>
  <c r="AG15" i="17"/>
  <c r="AC15" i="17"/>
  <c r="P15" i="17"/>
  <c r="S15" i="17" s="1"/>
  <c r="U15" i="17" s="1"/>
  <c r="AH14" i="17"/>
  <c r="AG14" i="17"/>
  <c r="AC14" i="17"/>
  <c r="P14" i="17"/>
  <c r="S14" i="17" s="1"/>
  <c r="U14" i="17" s="1"/>
  <c r="AH13" i="17"/>
  <c r="AG13" i="17"/>
  <c r="AD13" i="17"/>
  <c r="AC13" i="17"/>
  <c r="P13" i="17"/>
  <c r="S13" i="17" s="1"/>
  <c r="U13" i="17" s="1"/>
  <c r="AH12" i="17"/>
  <c r="AG12" i="17"/>
  <c r="AD12" i="17"/>
  <c r="AC12" i="17"/>
  <c r="P12" i="17"/>
  <c r="S12" i="17" s="1"/>
  <c r="U12" i="17" s="1"/>
  <c r="AH11" i="17"/>
  <c r="AG11" i="17"/>
  <c r="AD11" i="17"/>
  <c r="AC11" i="17"/>
  <c r="P11" i="17"/>
  <c r="S11" i="17" s="1"/>
  <c r="U11" i="17" s="1"/>
  <c r="AH10" i="17"/>
  <c r="AG10" i="17"/>
  <c r="AD10" i="17"/>
  <c r="AC10" i="17"/>
  <c r="P10" i="17"/>
  <c r="S10" i="17" s="1"/>
  <c r="U10" i="17" s="1"/>
  <c r="AH9" i="17"/>
  <c r="AG9" i="17"/>
  <c r="AC9" i="17"/>
  <c r="P9" i="17"/>
  <c r="S9" i="17" s="1"/>
  <c r="U9" i="17" s="1"/>
  <c r="AH8" i="17"/>
  <c r="AG8" i="17"/>
  <c r="AC8" i="17"/>
  <c r="P8" i="17"/>
  <c r="S8" i="17" s="1"/>
  <c r="U8" i="17" s="1"/>
  <c r="AH7" i="17"/>
  <c r="AG7" i="17"/>
  <c r="AD7" i="17"/>
  <c r="AC7" i="17"/>
  <c r="P7" i="17"/>
  <c r="S7" i="17" s="1"/>
  <c r="U7" i="17" s="1"/>
  <c r="AH6" i="17"/>
  <c r="AG6" i="17"/>
  <c r="AC6" i="17"/>
  <c r="P6" i="17"/>
  <c r="S6" i="17" s="1"/>
  <c r="U6" i="17" s="1"/>
  <c r="AH5" i="17"/>
  <c r="AG5" i="17"/>
  <c r="AC5" i="17"/>
  <c r="P5" i="17"/>
  <c r="S5" i="17" s="1"/>
  <c r="U5" i="17" s="1"/>
  <c r="AH4" i="17"/>
  <c r="AG4" i="17"/>
  <c r="AC4" i="17"/>
  <c r="P4" i="17"/>
  <c r="S4" i="17" s="1"/>
  <c r="U4" i="17" s="1"/>
  <c r="AH3" i="17"/>
  <c r="AG3" i="17"/>
  <c r="AD3" i="17"/>
  <c r="AC3" i="17"/>
  <c r="P3" i="17"/>
  <c r="S3" i="17" s="1"/>
  <c r="U3" i="17" s="1"/>
  <c r="AJ1" i="17"/>
  <c r="AB25" i="17"/>
  <c r="V25" i="23"/>
  <c r="V15" i="23"/>
  <c r="V24" i="23"/>
  <c r="V5" i="23"/>
  <c r="AB30" i="22"/>
  <c r="V35" i="24"/>
  <c r="AB34" i="22"/>
  <c r="V28" i="24"/>
  <c r="V26" i="24"/>
  <c r="AB11" i="17"/>
  <c r="V27" i="24"/>
  <c r="V16" i="23"/>
  <c r="V12" i="23"/>
  <c r="V32" i="24"/>
  <c r="AB7" i="17"/>
  <c r="AB24" i="17"/>
  <c r="AB13" i="17"/>
  <c r="AB31" i="22"/>
  <c r="AB9" i="17"/>
  <c r="V9" i="23"/>
  <c r="V3" i="23"/>
  <c r="V20" i="23"/>
  <c r="AB29" i="22"/>
  <c r="V4" i="24"/>
  <c r="AB3" i="17"/>
  <c r="AB10" i="17"/>
  <c r="AB3" i="22"/>
  <c r="AB33" i="22"/>
  <c r="AB12" i="17"/>
  <c r="AB32" i="22"/>
  <c r="V8" i="23"/>
  <c r="V7" i="23"/>
  <c r="AB5" i="22"/>
  <c r="X15" i="17" l="1"/>
  <c r="X23" i="17"/>
  <c r="AD9" i="22"/>
  <c r="AD12" i="22"/>
  <c r="AD13" i="22"/>
  <c r="AD6" i="22"/>
  <c r="AD8" i="22"/>
  <c r="AD16" i="22"/>
  <c r="AD8" i="17"/>
  <c r="AD17" i="17"/>
  <c r="AD26" i="17"/>
  <c r="AD27" i="17"/>
  <c r="AD35" i="22"/>
  <c r="AD20" i="17"/>
  <c r="AD16" i="17"/>
  <c r="Y9" i="22"/>
  <c r="AD19" i="22"/>
  <c r="AD7" i="22"/>
  <c r="AD11" i="22"/>
  <c r="AD15" i="22"/>
  <c r="Y7" i="22"/>
  <c r="AD10" i="22"/>
  <c r="AD14" i="22"/>
  <c r="AD5" i="17"/>
  <c r="Y4" i="22"/>
  <c r="X21" i="17"/>
  <c r="Y13" i="22"/>
  <c r="X5" i="17"/>
  <c r="Y12" i="22"/>
  <c r="X3" i="17"/>
  <c r="Y3" i="22"/>
  <c r="Y18" i="22"/>
  <c r="X22" i="17"/>
  <c r="X17" i="17"/>
  <c r="X6" i="17"/>
  <c r="Y5" i="22"/>
  <c r="Y22" i="22"/>
  <c r="Y25" i="22"/>
  <c r="Y31" i="22"/>
  <c r="Y30" i="22"/>
  <c r="X24" i="17"/>
  <c r="X8" i="17"/>
  <c r="X10" i="17"/>
  <c r="X13" i="17"/>
  <c r="X4" i="17"/>
  <c r="Y23" i="22"/>
  <c r="Y21" i="22"/>
  <c r="Y15" i="22"/>
  <c r="Y10" i="22"/>
  <c r="Y32" i="22"/>
  <c r="AD4" i="17"/>
  <c r="AD6" i="17"/>
  <c r="X7" i="17"/>
  <c r="X18" i="17"/>
  <c r="Y16" i="22"/>
  <c r="AD21" i="22"/>
  <c r="Y26" i="22"/>
  <c r="J15" i="23"/>
  <c r="AD20" i="22"/>
  <c r="AD25" i="22"/>
  <c r="AD28" i="22"/>
  <c r="X16" i="17"/>
  <c r="AD19" i="17"/>
  <c r="X20" i="17"/>
  <c r="AD23" i="17"/>
  <c r="Y8" i="22"/>
  <c r="AD24" i="22"/>
  <c r="Y34" i="22"/>
  <c r="Y35" i="22"/>
  <c r="AD18" i="22"/>
  <c r="AD23" i="22"/>
  <c r="AD27" i="22"/>
  <c r="AD15" i="17"/>
  <c r="X19" i="17"/>
  <c r="AD22" i="17"/>
  <c r="AD17" i="22"/>
  <c r="AD18" i="17"/>
  <c r="Y17" i="22"/>
  <c r="AD22" i="22"/>
  <c r="AD26" i="22"/>
  <c r="Y27" i="22"/>
  <c r="AD14" i="17"/>
  <c r="AD21" i="17"/>
  <c r="Y11" i="22"/>
  <c r="X25" i="17"/>
  <c r="X14" i="17"/>
  <c r="Y20" i="22"/>
  <c r="Y29" i="22"/>
  <c r="X9" i="17"/>
  <c r="Y33" i="22"/>
  <c r="Y6" i="22"/>
  <c r="Y14" i="22"/>
  <c r="Y28" i="22"/>
  <c r="Y19" i="22"/>
  <c r="X12" i="17"/>
  <c r="J12" i="23"/>
  <c r="X11" i="17"/>
  <c r="Y24" i="22"/>
  <c r="M3" i="24"/>
  <c r="L12" i="24"/>
  <c r="L15" i="24"/>
  <c r="M16" i="24"/>
  <c r="M17" i="24"/>
  <c r="L21" i="24"/>
  <c r="L24" i="24"/>
  <c r="M25" i="24"/>
  <c r="M26" i="24"/>
  <c r="N3" i="24"/>
  <c r="M4" i="24"/>
  <c r="L8" i="24"/>
  <c r="L11" i="24"/>
  <c r="M12" i="24"/>
  <c r="M13" i="24"/>
  <c r="N14" i="24"/>
  <c r="N17" i="24"/>
  <c r="L20" i="24"/>
  <c r="M21" i="24"/>
  <c r="M22" i="24"/>
  <c r="N23" i="24"/>
  <c r="N26" i="24"/>
  <c r="N27" i="24"/>
  <c r="N4" i="24"/>
  <c r="M5" i="24"/>
  <c r="L7" i="24"/>
  <c r="M8" i="24"/>
  <c r="M9" i="24"/>
  <c r="N10" i="24"/>
  <c r="N13" i="24"/>
  <c r="M18" i="24"/>
  <c r="N19" i="24"/>
  <c r="N22" i="24"/>
  <c r="N5" i="24"/>
  <c r="N6" i="24"/>
  <c r="N9" i="24"/>
  <c r="L16" i="24"/>
  <c r="N18" i="24"/>
  <c r="L25" i="24"/>
  <c r="Z11" i="17"/>
  <c r="Y11" i="17"/>
  <c r="AE11" i="17"/>
  <c r="AF11" i="17" s="1"/>
  <c r="AA11" i="17"/>
  <c r="T11" i="17" s="1"/>
  <c r="AE10" i="17"/>
  <c r="AF10" i="17" s="1"/>
  <c r="AA10" i="17"/>
  <c r="T10" i="17" s="1"/>
  <c r="Z10" i="17"/>
  <c r="Y10" i="17"/>
  <c r="Z7" i="17"/>
  <c r="Y7" i="17"/>
  <c r="AE7" i="17"/>
  <c r="AF7" i="17" s="1"/>
  <c r="AA7" i="17"/>
  <c r="T7" i="17" s="1"/>
  <c r="Y3" i="17"/>
  <c r="AE3" i="17"/>
  <c r="AF3" i="17" s="1"/>
  <c r="AA3" i="17"/>
  <c r="T3" i="17" s="1"/>
  <c r="Z3" i="17"/>
  <c r="Y12" i="17"/>
  <c r="AE12" i="17"/>
  <c r="AF12" i="17" s="1"/>
  <c r="AA12" i="17"/>
  <c r="T12" i="17" s="1"/>
  <c r="Z12" i="17"/>
  <c r="AE9" i="17"/>
  <c r="AF9" i="17" s="1"/>
  <c r="AA9" i="17"/>
  <c r="T9" i="17" s="1"/>
  <c r="Z9" i="17"/>
  <c r="Y9" i="17"/>
  <c r="AE13" i="17"/>
  <c r="AF13" i="17" s="1"/>
  <c r="AA13" i="17"/>
  <c r="T13" i="17" s="1"/>
  <c r="Z13" i="17"/>
  <c r="Y13" i="17"/>
  <c r="Z25" i="17"/>
  <c r="Y25" i="17"/>
  <c r="AE25" i="17"/>
  <c r="AF25" i="17" s="1"/>
  <c r="AA25" i="17"/>
  <c r="T25" i="17" s="1"/>
  <c r="AE24" i="17"/>
  <c r="AF24" i="17" s="1"/>
  <c r="AA24" i="17"/>
  <c r="T24" i="17" s="1"/>
  <c r="Z24" i="17"/>
  <c r="Y24" i="17"/>
  <c r="AE5" i="22"/>
  <c r="AF5" i="22" s="1"/>
  <c r="AA5" i="22"/>
  <c r="T5" i="22" s="1"/>
  <c r="Z5" i="22"/>
  <c r="X5" i="22"/>
  <c r="AE29" i="22"/>
  <c r="AF29" i="22" s="1"/>
  <c r="AA29" i="22"/>
  <c r="T29" i="22" s="1"/>
  <c r="Z29" i="22"/>
  <c r="X29" i="22"/>
  <c r="AE30" i="22"/>
  <c r="AF30" i="22" s="1"/>
  <c r="AA30" i="22"/>
  <c r="Z30" i="22"/>
  <c r="X30" i="22"/>
  <c r="AE31" i="22"/>
  <c r="AF31" i="22" s="1"/>
  <c r="AA31" i="22"/>
  <c r="Z31" i="22"/>
  <c r="X31" i="22"/>
  <c r="AE32" i="22"/>
  <c r="AF32" i="22" s="1"/>
  <c r="AA32" i="22"/>
  <c r="Z32" i="22"/>
  <c r="X32" i="22"/>
  <c r="AE33" i="22"/>
  <c r="AF33" i="22" s="1"/>
  <c r="AA33" i="22"/>
  <c r="Z33" i="22"/>
  <c r="X33" i="22"/>
  <c r="AE34" i="22"/>
  <c r="AF34" i="22" s="1"/>
  <c r="AA34" i="22"/>
  <c r="Z34" i="22"/>
  <c r="X34" i="22"/>
  <c r="X3" i="22"/>
  <c r="AE3" i="22"/>
  <c r="AF3" i="22" s="1"/>
  <c r="AA3" i="22"/>
  <c r="T3" i="22" s="1"/>
  <c r="Z3" i="22"/>
  <c r="N5" i="23"/>
  <c r="N6" i="23"/>
  <c r="N8" i="23"/>
  <c r="N10" i="23"/>
  <c r="N12" i="23"/>
  <c r="N13" i="23"/>
  <c r="M17" i="23"/>
  <c r="M19" i="23"/>
  <c r="M21" i="23"/>
  <c r="M24" i="23"/>
  <c r="N25" i="23"/>
  <c r="N24" i="23"/>
  <c r="N23" i="23"/>
  <c r="N22" i="23"/>
  <c r="N21" i="23"/>
  <c r="N20" i="23"/>
  <c r="N19" i="23"/>
  <c r="N18" i="23"/>
  <c r="N17" i="23"/>
  <c r="N16" i="23"/>
  <c r="L15" i="23"/>
  <c r="L14" i="23"/>
  <c r="L13" i="23"/>
  <c r="M12" i="23"/>
  <c r="M11" i="23"/>
  <c r="M10" i="23"/>
  <c r="M9" i="23"/>
  <c r="M8" i="23"/>
  <c r="M7" i="23"/>
  <c r="M6" i="23"/>
  <c r="M5" i="23"/>
  <c r="L3" i="23"/>
  <c r="L4" i="23"/>
  <c r="L7" i="23"/>
  <c r="L9" i="23"/>
  <c r="L11" i="23"/>
  <c r="M15" i="23"/>
  <c r="L16" i="23"/>
  <c r="L18" i="23"/>
  <c r="L20" i="23"/>
  <c r="L22" i="23"/>
  <c r="M25" i="23"/>
  <c r="M3" i="23"/>
  <c r="M4" i="23"/>
  <c r="N7" i="23"/>
  <c r="N9" i="23"/>
  <c r="N11" i="23"/>
  <c r="M14" i="23"/>
  <c r="N15" i="23"/>
  <c r="M16" i="23"/>
  <c r="M18" i="23"/>
  <c r="M20" i="23"/>
  <c r="M22" i="23"/>
  <c r="L23" i="23"/>
  <c r="N3" i="23"/>
  <c r="N4" i="23"/>
  <c r="L5" i="23"/>
  <c r="L6" i="23"/>
  <c r="L8" i="23"/>
  <c r="L10" i="23"/>
  <c r="L12" i="23"/>
  <c r="M13" i="23"/>
  <c r="N14" i="23"/>
  <c r="L17" i="23"/>
  <c r="L19" i="23"/>
  <c r="L21" i="23"/>
  <c r="M23" i="23"/>
  <c r="L24" i="23"/>
  <c r="N28" i="24"/>
  <c r="N29" i="24"/>
  <c r="N30" i="24"/>
  <c r="L32" i="24"/>
  <c r="L33" i="24"/>
  <c r="L34" i="24"/>
  <c r="L35" i="24"/>
  <c r="L6" i="24"/>
  <c r="M7" i="24"/>
  <c r="N8" i="24"/>
  <c r="L10" i="24"/>
  <c r="M11" i="24"/>
  <c r="N12" i="24"/>
  <c r="L14" i="24"/>
  <c r="M15" i="24"/>
  <c r="N16" i="24"/>
  <c r="L19" i="24"/>
  <c r="M20" i="24"/>
  <c r="N21" i="24"/>
  <c r="L23" i="24"/>
  <c r="M24" i="24"/>
  <c r="N25" i="24"/>
  <c r="L31" i="24"/>
  <c r="M32" i="24"/>
  <c r="M33" i="24"/>
  <c r="M34" i="24"/>
  <c r="M35" i="24"/>
  <c r="L3" i="24"/>
  <c r="L4" i="24"/>
  <c r="L5" i="24"/>
  <c r="M6" i="24"/>
  <c r="N7" i="24"/>
  <c r="L9" i="24"/>
  <c r="M10" i="24"/>
  <c r="N11" i="24"/>
  <c r="L13" i="24"/>
  <c r="M14" i="24"/>
  <c r="N15" i="24"/>
  <c r="L17" i="24"/>
  <c r="L18" i="24"/>
  <c r="M19" i="24"/>
  <c r="N20" i="24"/>
  <c r="L22" i="24"/>
  <c r="M23" i="24"/>
  <c r="N24" i="24"/>
  <c r="L26" i="24"/>
  <c r="L27" i="24"/>
  <c r="L28" i="24"/>
  <c r="L29" i="24"/>
  <c r="L30" i="24"/>
  <c r="M31" i="24"/>
  <c r="N32" i="24"/>
  <c r="N33" i="24"/>
  <c r="N34" i="24"/>
  <c r="N35" i="24"/>
  <c r="M27" i="24"/>
  <c r="M28" i="24"/>
  <c r="M29" i="24"/>
  <c r="M30" i="24"/>
  <c r="V14" i="23"/>
  <c r="V13" i="23"/>
  <c r="AB9" i="22"/>
  <c r="AJ7" i="17"/>
  <c r="AB26" i="17"/>
  <c r="AB19" i="22"/>
  <c r="AB6" i="22"/>
  <c r="AB11" i="22"/>
  <c r="AB15" i="17"/>
  <c r="AB17" i="17"/>
  <c r="AB7" i="22"/>
  <c r="AB22" i="22"/>
  <c r="AB24" i="22"/>
  <c r="AB27" i="22"/>
  <c r="AB10" i="22"/>
  <c r="AJ11" i="17"/>
  <c r="AB18" i="22"/>
  <c r="AJ30" i="22"/>
  <c r="AB8" i="22"/>
  <c r="AJ5" i="22"/>
  <c r="AB13" i="22"/>
  <c r="AB20" i="22"/>
  <c r="AB19" i="17"/>
  <c r="AJ9" i="17"/>
  <c r="AB25" i="22"/>
  <c r="V3" i="24"/>
  <c r="AB18" i="17"/>
  <c r="V19" i="23"/>
  <c r="AJ3" i="17"/>
  <c r="V21" i="23"/>
  <c r="AB17" i="22"/>
  <c r="V23" i="23"/>
  <c r="AB20" i="17"/>
  <c r="AB35" i="22"/>
  <c r="AB21" i="22"/>
  <c r="AB6" i="17"/>
  <c r="AB16" i="17"/>
  <c r="AJ34" i="22"/>
  <c r="AB12" i="22"/>
  <c r="V6" i="23"/>
  <c r="AB14" i="17"/>
  <c r="AB15" i="22"/>
  <c r="V4" i="23"/>
  <c r="AB28" i="22"/>
  <c r="V22" i="23"/>
  <c r="V11" i="23"/>
  <c r="AB4" i="17"/>
  <c r="AB26" i="22"/>
  <c r="V10" i="23"/>
  <c r="AJ3" i="22"/>
  <c r="AB22" i="17"/>
  <c r="AB21" i="17"/>
  <c r="AB16" i="22"/>
  <c r="AB5" i="17"/>
  <c r="V17" i="23"/>
  <c r="AB27" i="17"/>
  <c r="V33" i="24"/>
  <c r="AB23" i="22"/>
  <c r="V29" i="24"/>
  <c r="AB8" i="17"/>
  <c r="V34" i="24"/>
  <c r="AJ10" i="17"/>
  <c r="AJ32" i="22"/>
  <c r="AJ12" i="17"/>
  <c r="AB14" i="22"/>
  <c r="AB23" i="17"/>
  <c r="V18" i="23"/>
  <c r="AJ33" i="22"/>
  <c r="AJ13" i="17"/>
  <c r="AJ29" i="22"/>
  <c r="AJ25" i="17"/>
  <c r="AJ24" i="17"/>
  <c r="AJ31" i="22"/>
  <c r="AE6" i="22" l="1"/>
  <c r="AF6" i="22" s="1"/>
  <c r="AA6" i="22"/>
  <c r="T6" i="22" s="1"/>
  <c r="X6" i="22"/>
  <c r="Z6" i="22"/>
  <c r="Z13" i="22"/>
  <c r="X13" i="22"/>
  <c r="AA13" i="22"/>
  <c r="T13" i="22" s="1"/>
  <c r="AE13" i="22"/>
  <c r="AF13" i="22" s="1"/>
  <c r="X12" i="22"/>
  <c r="AE12" i="22"/>
  <c r="AF12" i="22" s="1"/>
  <c r="AA12" i="22"/>
  <c r="T12" i="22" s="1"/>
  <c r="Z12" i="22"/>
  <c r="AE9" i="22"/>
  <c r="AF9" i="22" s="1"/>
  <c r="AA9" i="22"/>
  <c r="T9" i="22" s="1"/>
  <c r="Z9" i="22"/>
  <c r="X9" i="22"/>
  <c r="AA16" i="22"/>
  <c r="T16" i="22" s="1"/>
  <c r="Z16" i="22"/>
  <c r="X16" i="22"/>
  <c r="AE16" i="22"/>
  <c r="AF16" i="22" s="1"/>
  <c r="AA8" i="22"/>
  <c r="T8" i="22" s="1"/>
  <c r="Z8" i="22"/>
  <c r="X8" i="22"/>
  <c r="AE8" i="22"/>
  <c r="AF8" i="22" s="1"/>
  <c r="AA27" i="17"/>
  <c r="T27" i="17" s="1"/>
  <c r="AE27" i="17"/>
  <c r="AF27" i="17" s="1"/>
  <c r="AA26" i="17"/>
  <c r="T26" i="17" s="1"/>
  <c r="AE26" i="17"/>
  <c r="AF26" i="17" s="1"/>
  <c r="AA17" i="17"/>
  <c r="T17" i="17" s="1"/>
  <c r="Z17" i="17"/>
  <c r="Y17" i="17"/>
  <c r="AE17" i="17"/>
  <c r="AF17" i="17" s="1"/>
  <c r="Y8" i="17"/>
  <c r="AE8" i="17"/>
  <c r="AF8" i="17" s="1"/>
  <c r="AA8" i="17"/>
  <c r="T8" i="17" s="1"/>
  <c r="Z8" i="17"/>
  <c r="AE20" i="17"/>
  <c r="AF20" i="17" s="1"/>
  <c r="AA20" i="17"/>
  <c r="T20" i="17" s="1"/>
  <c r="Z20" i="17"/>
  <c r="Y20" i="17"/>
  <c r="AA35" i="22"/>
  <c r="AE35" i="22"/>
  <c r="AF35" i="22" s="1"/>
  <c r="Z35" i="22"/>
  <c r="X35" i="22"/>
  <c r="AE10" i="22"/>
  <c r="AF10" i="22" s="1"/>
  <c r="Z10" i="22"/>
  <c r="AA10" i="22"/>
  <c r="T10" i="22" s="1"/>
  <c r="X10" i="22"/>
  <c r="AE11" i="22"/>
  <c r="AF11" i="22" s="1"/>
  <c r="AA11" i="22"/>
  <c r="T11" i="22" s="1"/>
  <c r="Z11" i="22"/>
  <c r="X11" i="22"/>
  <c r="AE7" i="22"/>
  <c r="AF7" i="22" s="1"/>
  <c r="X7" i="22"/>
  <c r="Z7" i="22"/>
  <c r="AA7" i="22"/>
  <c r="T7" i="22" s="1"/>
  <c r="AE5" i="17"/>
  <c r="AF5" i="17" s="1"/>
  <c r="Y5" i="17"/>
  <c r="Z5" i="17"/>
  <c r="AA5" i="17"/>
  <c r="T5" i="17" s="1"/>
  <c r="X19" i="22"/>
  <c r="AE19" i="22"/>
  <c r="AF19" i="22" s="1"/>
  <c r="Z19" i="22"/>
  <c r="AA19" i="22"/>
  <c r="T19" i="22" s="1"/>
  <c r="AE15" i="22"/>
  <c r="AF15" i="22" s="1"/>
  <c r="AA15" i="22"/>
  <c r="T15" i="22" s="1"/>
  <c r="Z15" i="22"/>
  <c r="X15" i="22"/>
  <c r="X14" i="22"/>
  <c r="AE14" i="22"/>
  <c r="AF14" i="22" s="1"/>
  <c r="AA14" i="22"/>
  <c r="T14" i="22" s="1"/>
  <c r="Z14" i="22"/>
  <c r="AE16" i="17"/>
  <c r="AF16" i="17" s="1"/>
  <c r="AA16" i="17"/>
  <c r="T16" i="17" s="1"/>
  <c r="Y16" i="17"/>
  <c r="Z16" i="17"/>
  <c r="K17" i="24"/>
  <c r="K25" i="23"/>
  <c r="AE18" i="22"/>
  <c r="AF18" i="22" s="1"/>
  <c r="Z18" i="22"/>
  <c r="X18" i="22"/>
  <c r="AA18" i="22"/>
  <c r="T18" i="22" s="1"/>
  <c r="Z14" i="17"/>
  <c r="Y14" i="17"/>
  <c r="AA14" i="17"/>
  <c r="T14" i="17" s="1"/>
  <c r="AE14" i="17"/>
  <c r="AF14" i="17" s="1"/>
  <c r="AE17" i="22"/>
  <c r="AF17" i="22" s="1"/>
  <c r="AA17" i="22"/>
  <c r="T17" i="22" s="1"/>
  <c r="Z17" i="22"/>
  <c r="X17" i="22"/>
  <c r="AE28" i="22"/>
  <c r="AF28" i="22" s="1"/>
  <c r="X28" i="22"/>
  <c r="AA28" i="22"/>
  <c r="T28" i="22" s="1"/>
  <c r="Z28" i="22"/>
  <c r="AA22" i="17"/>
  <c r="T22" i="17" s="1"/>
  <c r="Z22" i="17"/>
  <c r="AE22" i="17"/>
  <c r="AF22" i="17" s="1"/>
  <c r="Y22" i="17"/>
  <c r="X24" i="22"/>
  <c r="AE24" i="22"/>
  <c r="AF24" i="22" s="1"/>
  <c r="AA24" i="22"/>
  <c r="T24" i="22" s="1"/>
  <c r="Z24" i="22"/>
  <c r="AA25" i="22"/>
  <c r="T25" i="22" s="1"/>
  <c r="AE25" i="22"/>
  <c r="AF25" i="22" s="1"/>
  <c r="Z25" i="22"/>
  <c r="X25" i="22"/>
  <c r="Z21" i="17"/>
  <c r="Y21" i="17"/>
  <c r="AE21" i="17"/>
  <c r="AF21" i="17" s="1"/>
  <c r="AA21" i="17"/>
  <c r="T21" i="17" s="1"/>
  <c r="X26" i="22"/>
  <c r="AE26" i="22"/>
  <c r="AF26" i="22" s="1"/>
  <c r="Z26" i="22"/>
  <c r="AA26" i="22"/>
  <c r="T26" i="22" s="1"/>
  <c r="X20" i="22"/>
  <c r="AE20" i="22"/>
  <c r="AF20" i="22" s="1"/>
  <c r="AA20" i="22"/>
  <c r="T20" i="22" s="1"/>
  <c r="Z20" i="22"/>
  <c r="X21" i="22"/>
  <c r="AA21" i="22"/>
  <c r="T21" i="22" s="1"/>
  <c r="AE21" i="22"/>
  <c r="AF21" i="22" s="1"/>
  <c r="Z21" i="22"/>
  <c r="AA22" i="22"/>
  <c r="T22" i="22" s="1"/>
  <c r="AE22" i="22"/>
  <c r="AF22" i="22" s="1"/>
  <c r="X22" i="22"/>
  <c r="Z22" i="22"/>
  <c r="AA15" i="17"/>
  <c r="T15" i="17" s="1"/>
  <c r="AE15" i="17"/>
  <c r="AF15" i="17" s="1"/>
  <c r="Z15" i="17"/>
  <c r="Y15" i="17"/>
  <c r="AA23" i="17"/>
  <c r="T23" i="17" s="1"/>
  <c r="Z23" i="17"/>
  <c r="AE23" i="17"/>
  <c r="AF23" i="17" s="1"/>
  <c r="Y23" i="17"/>
  <c r="Z6" i="17"/>
  <c r="Y6" i="17"/>
  <c r="AE6" i="17"/>
  <c r="AF6" i="17" s="1"/>
  <c r="AA6" i="17"/>
  <c r="T6" i="17" s="1"/>
  <c r="AE27" i="22"/>
  <c r="AF27" i="22" s="1"/>
  <c r="X27" i="22"/>
  <c r="Z27" i="22"/>
  <c r="AA27" i="22"/>
  <c r="T27" i="22" s="1"/>
  <c r="AA18" i="17"/>
  <c r="T18" i="17" s="1"/>
  <c r="AE18" i="17"/>
  <c r="AF18" i="17" s="1"/>
  <c r="Y18" i="17"/>
  <c r="Z18" i="17"/>
  <c r="X23" i="22"/>
  <c r="AE23" i="22"/>
  <c r="AF23" i="22" s="1"/>
  <c r="AA23" i="22"/>
  <c r="T23" i="22" s="1"/>
  <c r="Z23" i="22"/>
  <c r="AE19" i="17"/>
  <c r="AF19" i="17" s="1"/>
  <c r="AA19" i="17"/>
  <c r="T19" i="17" s="1"/>
  <c r="Z19" i="17"/>
  <c r="Y19" i="17"/>
  <c r="AE4" i="17"/>
  <c r="AF4" i="17" s="1"/>
  <c r="AA4" i="17"/>
  <c r="T4" i="17" s="1"/>
  <c r="Z4" i="17"/>
  <c r="Y4" i="17"/>
  <c r="K12" i="24"/>
  <c r="K9" i="24"/>
  <c r="K14" i="23"/>
  <c r="K3" i="24"/>
  <c r="K26" i="24"/>
  <c r="K5" i="24"/>
  <c r="K21" i="24"/>
  <c r="K18" i="24"/>
  <c r="K13" i="24"/>
  <c r="K11" i="24"/>
  <c r="K30" i="24"/>
  <c r="K29" i="24"/>
  <c r="K4" i="24"/>
  <c r="K7" i="24"/>
  <c r="K19" i="23"/>
  <c r="K12" i="23"/>
  <c r="K7" i="23"/>
  <c r="K16" i="24"/>
  <c r="K22" i="23"/>
  <c r="K27" i="24"/>
  <c r="K22" i="24"/>
  <c r="K8" i="23"/>
  <c r="K24" i="24"/>
  <c r="K16" i="23"/>
  <c r="K17" i="23"/>
  <c r="K25" i="24"/>
  <c r="K8" i="24"/>
  <c r="K21" i="23"/>
  <c r="K6" i="23"/>
  <c r="AI12" i="17"/>
  <c r="AI34" i="22"/>
  <c r="AI33" i="22"/>
  <c r="AI32" i="22"/>
  <c r="AI31" i="22"/>
  <c r="AI30" i="22"/>
  <c r="AI29" i="22"/>
  <c r="AI5" i="22"/>
  <c r="AI24" i="17"/>
  <c r="AI13" i="17"/>
  <c r="AI9" i="17"/>
  <c r="AI7" i="17"/>
  <c r="AI11" i="17"/>
  <c r="AI3" i="22"/>
  <c r="AI3" i="17"/>
  <c r="AI25" i="17"/>
  <c r="AI10" i="17"/>
  <c r="K28" i="24"/>
  <c r="K23" i="24"/>
  <c r="K6" i="24"/>
  <c r="K32" i="24"/>
  <c r="K5" i="23"/>
  <c r="K23" i="23"/>
  <c r="K20" i="23"/>
  <c r="K11" i="23"/>
  <c r="K15" i="23"/>
  <c r="K19" i="24"/>
  <c r="K33" i="24"/>
  <c r="K3" i="23"/>
  <c r="K31" i="24"/>
  <c r="K15" i="24"/>
  <c r="K10" i="24"/>
  <c r="K35" i="24"/>
  <c r="K10" i="23"/>
  <c r="K18" i="23"/>
  <c r="K9" i="23"/>
  <c r="K4" i="23"/>
  <c r="K20" i="24"/>
  <c r="K14" i="24"/>
  <c r="K34" i="24"/>
  <c r="K24" i="23"/>
  <c r="K13" i="23"/>
  <c r="AJ20" i="17"/>
  <c r="AJ7" i="22"/>
  <c r="AJ8" i="17"/>
  <c r="AJ18" i="22"/>
  <c r="AJ10" i="22"/>
  <c r="AJ12" i="22"/>
  <c r="AJ6" i="22"/>
  <c r="AJ19" i="17"/>
  <c r="AJ17" i="17"/>
  <c r="AJ25" i="22"/>
  <c r="AJ15" i="17"/>
  <c r="AJ17" i="22"/>
  <c r="AJ20" i="22"/>
  <c r="AJ19" i="22"/>
  <c r="AJ9" i="22"/>
  <c r="AJ16" i="22"/>
  <c r="AJ23" i="22"/>
  <c r="AB4" i="22"/>
  <c r="AJ22" i="22"/>
  <c r="AJ27" i="22"/>
  <c r="AJ18" i="17"/>
  <c r="AJ26" i="22"/>
  <c r="AJ24" i="22"/>
  <c r="AJ14" i="17"/>
  <c r="AJ14" i="22"/>
  <c r="AJ35" i="22"/>
  <c r="AJ23" i="17"/>
  <c r="AJ13" i="22"/>
  <c r="AJ21" i="17"/>
  <c r="AJ8" i="22"/>
  <c r="AJ4" i="17"/>
  <c r="AJ16" i="17"/>
  <c r="AJ28" i="22"/>
  <c r="AJ5" i="17"/>
  <c r="AJ6" i="17"/>
  <c r="AJ11" i="22"/>
  <c r="AJ15" i="22"/>
  <c r="AJ22" i="17"/>
  <c r="AJ21" i="22"/>
  <c r="AI8" i="22" l="1"/>
  <c r="AI13" i="22"/>
  <c r="AI9" i="22"/>
  <c r="AI16" i="22"/>
  <c r="AI12" i="22"/>
  <c r="AI6" i="22"/>
  <c r="AI17" i="17"/>
  <c r="AI8" i="17"/>
  <c r="AI35" i="22"/>
  <c r="AI20" i="17"/>
  <c r="AI16" i="17"/>
  <c r="AI15" i="22"/>
  <c r="AI5" i="17"/>
  <c r="AI11" i="22"/>
  <c r="AI14" i="22"/>
  <c r="AI19" i="22"/>
  <c r="AI7" i="22"/>
  <c r="AI10" i="22"/>
  <c r="AI22" i="17"/>
  <c r="AI21" i="22"/>
  <c r="AI23" i="22"/>
  <c r="AI15" i="17"/>
  <c r="AI26" i="22"/>
  <c r="AI25" i="22"/>
  <c r="AI17" i="22"/>
  <c r="AI18" i="22"/>
  <c r="AI14" i="17"/>
  <c r="AI6" i="17"/>
  <c r="AI23" i="17"/>
  <c r="AI21" i="17"/>
  <c r="AI4" i="17"/>
  <c r="AE4" i="22"/>
  <c r="AF4" i="22" s="1"/>
  <c r="AA4" i="22"/>
  <c r="T4" i="22" s="1"/>
  <c r="AI18" i="17"/>
  <c r="AI22" i="22"/>
  <c r="AI20" i="22"/>
  <c r="AI24" i="22"/>
  <c r="AI27" i="22"/>
  <c r="AI19" i="17"/>
  <c r="AI28" i="22"/>
  <c r="K36" i="24"/>
  <c r="K26" i="23"/>
  <c r="AJ4" i="22"/>
  <c r="AI4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Avalos</author>
  </authors>
  <commentList>
    <comment ref="W6" authorId="0" shapeId="0" xr:uid="{FB7BFB52-4081-48B9-83BC-37174A7E63BD}">
      <text>
        <r>
          <rPr>
            <b/>
            <sz val="9"/>
            <color indexed="81"/>
            <rFont val="Tahoma"/>
            <family val="2"/>
          </rPr>
          <t>Gabriel Avalos:</t>
        </r>
        <r>
          <rPr>
            <sz val="9"/>
            <color indexed="81"/>
            <rFont val="Tahoma"/>
            <family val="2"/>
          </rPr>
          <t xml:space="preserve">
TRUCKSTAR
12V/150AH
14-03-20
72.344 KM Y 2 AÑOS 10 MESES 28 DÍAS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Avalos</author>
  </authors>
  <commentList>
    <comment ref="W11" authorId="0" shapeId="0" xr:uid="{94A06BD3-67F1-4E8B-BB4A-A15012A66869}">
      <text>
        <r>
          <rPr>
            <b/>
            <sz val="9"/>
            <color indexed="81"/>
            <rFont val="Tahoma"/>
            <family val="2"/>
          </rPr>
          <t>Gabriel Avalos:</t>
        </r>
        <r>
          <rPr>
            <sz val="9"/>
            <color indexed="81"/>
            <rFont val="Tahoma"/>
            <family val="2"/>
          </rPr>
          <t xml:space="preserve">
FALLA DEL BORNE +, EL DÍA 09 DE ENERO DE 2023 SE REEMPLAZÓ UNA DE LAS BATERÍAS X UNA BATERÍA DESMONTADA A 377</t>
        </r>
      </text>
    </comment>
  </commentList>
</comments>
</file>

<file path=xl/sharedStrings.xml><?xml version="1.0" encoding="utf-8"?>
<sst xmlns="http://schemas.openxmlformats.org/spreadsheetml/2006/main" count="3171" uniqueCount="478">
  <si>
    <t>BUS</t>
  </si>
  <si>
    <t>MINIBUS</t>
  </si>
  <si>
    <t>HILUX</t>
  </si>
  <si>
    <t>PORTER II</t>
  </si>
  <si>
    <t>MODELO</t>
  </si>
  <si>
    <t>TIPO VEH.</t>
  </si>
  <si>
    <t>N° INT.</t>
  </si>
  <si>
    <t>KM ACTUAL</t>
  </si>
  <si>
    <t>SM1</t>
  </si>
  <si>
    <t>SM2</t>
  </si>
  <si>
    <t>SM3</t>
  </si>
  <si>
    <t>SM4</t>
  </si>
  <si>
    <t>SM5</t>
  </si>
  <si>
    <t>INTERVALO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</si>
  <si>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</si>
  <si>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</si>
  <si>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</si>
  <si>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</si>
  <si>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</si>
  <si>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</si>
  <si>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</si>
  <si>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</si>
  <si>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</si>
  <si>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</si>
  <si>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</si>
  <si>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</si>
  <si>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</si>
  <si>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</si>
  <si>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</si>
  <si>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</si>
  <si>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</si>
  <si>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</si>
  <si>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</si>
  <si>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</si>
  <si>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</si>
  <si>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</si>
  <si>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</si>
  <si>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</si>
  <si>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</si>
  <si>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</si>
  <si>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</si>
  <si>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</si>
  <si>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</si>
  <si>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</si>
  <si>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</si>
  <si>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</si>
  <si>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</si>
  <si>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</si>
  <si>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</si>
  <si>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</si>
  <si>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</si>
  <si>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</si>
  <si>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</si>
  <si>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</si>
  <si>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</si>
  <si>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</si>
  <si>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</si>
  <si>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</si>
  <si>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</si>
  <si>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</si>
  <si>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</si>
  <si>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</si>
  <si>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</si>
  <si>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</si>
  <si>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</si>
  <si>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</si>
  <si>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</si>
  <si>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</si>
  <si>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</si>
  <si>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</si>
  <si>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</si>
  <si>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SPRINTER NCV3</t>
  </si>
  <si>
    <t>SI</t>
  </si>
  <si>
    <t>SL</t>
  </si>
  <si>
    <t>O 500 RS E III</t>
  </si>
  <si>
    <t>O 500 RS E V</t>
  </si>
  <si>
    <t>OC 500 RF E III</t>
  </si>
  <si>
    <t/>
  </si>
  <si>
    <t>TIPO MANT</t>
  </si>
  <si>
    <t>KM ULT. MANT.</t>
  </si>
  <si>
    <t>F. ULT. MANT.</t>
  </si>
  <si>
    <t>F. KM ACT.</t>
  </si>
  <si>
    <t>KM PROX. MANT.</t>
  </si>
  <si>
    <t>MANT. VENCIDO</t>
  </si>
  <si>
    <t>ÁREA OPERACIÓN</t>
  </si>
  <si>
    <t>FECHA PROX. MANT.</t>
  </si>
  <si>
    <t>ACUM. PRÓX. MAT.</t>
  </si>
  <si>
    <t>INTERV. MAT. (KM)</t>
  </si>
  <si>
    <t>GRÚA HORQUILLA</t>
  </si>
  <si>
    <t>KM PROM. (Día)</t>
  </si>
  <si>
    <t>MARCA</t>
  </si>
  <si>
    <t>NORMA</t>
  </si>
  <si>
    <t>PPU</t>
  </si>
  <si>
    <t>CHASIS</t>
  </si>
  <si>
    <t>MOTOR</t>
  </si>
  <si>
    <t>RAZÓN  SOCIAL</t>
  </si>
  <si>
    <t>TIPO SERVICIO</t>
  </si>
  <si>
    <t>FECHA FACT.</t>
  </si>
  <si>
    <t>APLIC.</t>
  </si>
  <si>
    <t>MERCEDES BENZ</t>
  </si>
  <si>
    <t>EURO III</t>
  </si>
  <si>
    <t>76.938.370-0</t>
  </si>
  <si>
    <t>CARRETERA</t>
  </si>
  <si>
    <t>N/A</t>
  </si>
  <si>
    <t>76.545.413-1</t>
  </si>
  <si>
    <t>EURO V</t>
  </si>
  <si>
    <t>8AC906633EE086946</t>
  </si>
  <si>
    <t>651955W0025020</t>
  </si>
  <si>
    <t>*CARRETERA</t>
  </si>
  <si>
    <t>9BM634011FB947171</t>
  </si>
  <si>
    <t>457908U0991452</t>
  </si>
  <si>
    <t>9BM634011EB947206</t>
  </si>
  <si>
    <t>457908U0991477</t>
  </si>
  <si>
    <t>9BM634011FB946690</t>
  </si>
  <si>
    <t>457908U0991352</t>
  </si>
  <si>
    <t>S/ASIG.</t>
  </si>
  <si>
    <t>WDB906633JP531597</t>
  </si>
  <si>
    <t>97.030.000-7</t>
  </si>
  <si>
    <t>WDB906633JP529039</t>
  </si>
  <si>
    <t>WDB906633JP531596</t>
  </si>
  <si>
    <t>WDB906633JP529038</t>
  </si>
  <si>
    <t>9BM664238WC088642</t>
  </si>
  <si>
    <t>9BM6642386B449819</t>
  </si>
  <si>
    <t>457925U0828272</t>
  </si>
  <si>
    <t>86.058.600-2</t>
  </si>
  <si>
    <t>CARRATERA</t>
  </si>
  <si>
    <t>9BM6642315B432705</t>
  </si>
  <si>
    <t>9BM6340119B623256</t>
  </si>
  <si>
    <t>457916U0927484</t>
  </si>
  <si>
    <t>76.705.800-4</t>
  </si>
  <si>
    <t>76.705.520-K</t>
  </si>
  <si>
    <t>9BM6340119B623691</t>
  </si>
  <si>
    <t>457916U0927619</t>
  </si>
  <si>
    <t>9BM634071AB665588</t>
  </si>
  <si>
    <t>457927U0936698</t>
  </si>
  <si>
    <t>76.593.700-0</t>
  </si>
  <si>
    <t>DETENIDO</t>
  </si>
  <si>
    <t>9BM634071AB665376</t>
  </si>
  <si>
    <t>457927U0936676</t>
  </si>
  <si>
    <t>76.593.660-8</t>
  </si>
  <si>
    <t>9BM634011BB700255</t>
  </si>
  <si>
    <t>457916U943214</t>
  </si>
  <si>
    <t>9BM634011BB707242</t>
  </si>
  <si>
    <t>457916U944429</t>
  </si>
  <si>
    <t>INTERNO MINA</t>
  </si>
  <si>
    <t>9BM634011BB705942</t>
  </si>
  <si>
    <t>457916U944211</t>
  </si>
  <si>
    <t>9BM634011CB848447</t>
  </si>
  <si>
    <t>457916U0970058</t>
  </si>
  <si>
    <t>9BM634011CB848439</t>
  </si>
  <si>
    <t>457916U0970069</t>
  </si>
  <si>
    <t>9BM634011JB075361</t>
  </si>
  <si>
    <t>457908U1017585</t>
  </si>
  <si>
    <t>97.023.000-9</t>
  </si>
  <si>
    <t>9BM634011JB075505</t>
  </si>
  <si>
    <t>457908U1017768</t>
  </si>
  <si>
    <t>9BM634011JB075708</t>
  </si>
  <si>
    <t>457908U1017791</t>
  </si>
  <si>
    <t>9BM634011JB075858</t>
  </si>
  <si>
    <t>457908U1017824</t>
  </si>
  <si>
    <t>9BM634011JB075529</t>
  </si>
  <si>
    <t>457908U1017783</t>
  </si>
  <si>
    <t>9BM634011JB080646</t>
  </si>
  <si>
    <t>457908U1018973</t>
  </si>
  <si>
    <t>9BM634011JB080657</t>
  </si>
  <si>
    <t>457908U1019050</t>
  </si>
  <si>
    <t>9BM634011JB081773</t>
  </si>
  <si>
    <t>457908U1019376</t>
  </si>
  <si>
    <t>9BM634011JB081796</t>
  </si>
  <si>
    <t>457908U1019431</t>
  </si>
  <si>
    <t>VENTA</t>
  </si>
  <si>
    <t>INTERPROVINCIAL</t>
  </si>
  <si>
    <t>INT. AVA</t>
  </si>
  <si>
    <t>TIPO MANT.</t>
  </si>
  <si>
    <t>TIPO MANT.9</t>
  </si>
  <si>
    <t>TIPO MANT.10</t>
  </si>
  <si>
    <t>9BM634011LB150854</t>
  </si>
  <si>
    <t>9BM634011LB150859</t>
  </si>
  <si>
    <t>9BM634011LB150850</t>
  </si>
  <si>
    <t>9BM634011LB150711</t>
  </si>
  <si>
    <t>9BM634011LB151339</t>
  </si>
  <si>
    <t>9BM634011LB150852</t>
  </si>
  <si>
    <t>457908 U1 051606</t>
  </si>
  <si>
    <t>457908 U1 051617</t>
  </si>
  <si>
    <t>457908 U1 051519</t>
  </si>
  <si>
    <t>457908 U1 051426</t>
  </si>
  <si>
    <t>457908 U1 051868</t>
  </si>
  <si>
    <t>457908 U1 051528</t>
  </si>
  <si>
    <t>CAMIONETA</t>
  </si>
  <si>
    <t>MITSUBISHI</t>
  </si>
  <si>
    <t>MMBJJKL10JH012705</t>
  </si>
  <si>
    <t xml:space="preserve"> </t>
  </si>
  <si>
    <t>M-2</t>
  </si>
  <si>
    <t>ESP.TR</t>
  </si>
  <si>
    <t>SCANIA</t>
  </si>
  <si>
    <t>9BSK4X200M3982886</t>
  </si>
  <si>
    <t>9BSK4X200M3982887</t>
  </si>
  <si>
    <t>K 360B 4X2</t>
  </si>
  <si>
    <t>9BM634011NB199478</t>
  </si>
  <si>
    <t>9BM634011NB199470</t>
  </si>
  <si>
    <t>SSANGYONG</t>
  </si>
  <si>
    <t>OPERACIONES</t>
  </si>
  <si>
    <t>KPACA1ETSEP180244</t>
  </si>
  <si>
    <t>SS.EXTERNO</t>
  </si>
  <si>
    <t>SS.INT. T.ACERO</t>
  </si>
  <si>
    <t>BACK UP SS.EXTERNO</t>
  </si>
  <si>
    <t>9BM634011NB215351</t>
  </si>
  <si>
    <t>9BM634011NB215358</t>
  </si>
  <si>
    <t>9BM634011NB215354</t>
  </si>
  <si>
    <t>9BM634011NB215353</t>
  </si>
  <si>
    <t>TODO ACERO</t>
  </si>
  <si>
    <t>L200 KATANA</t>
  </si>
  <si>
    <t>MMBJJKL10HH033771</t>
  </si>
  <si>
    <t>4N15-UBR9755</t>
  </si>
  <si>
    <t>FAENA</t>
  </si>
  <si>
    <t>457908U1074963</t>
  </si>
  <si>
    <t>457908U1075001</t>
  </si>
  <si>
    <t>457908U1082561</t>
  </si>
  <si>
    <t>457908U1082575</t>
  </si>
  <si>
    <t>457908U1082582</t>
  </si>
  <si>
    <t>457908U1082574</t>
  </si>
  <si>
    <t>S</t>
  </si>
  <si>
    <t>L</t>
  </si>
  <si>
    <t>COLUMNA DE PARAM. MANT.</t>
  </si>
  <si>
    <t>VS30</t>
  </si>
  <si>
    <t>W1V907657NP333331</t>
  </si>
  <si>
    <t>W1V907645NP316875</t>
  </si>
  <si>
    <t>ESTATUS DE LA MANTENCIÓN</t>
  </si>
  <si>
    <t>K 440B 6X2</t>
  </si>
  <si>
    <t>9BSK6X200N3997836</t>
  </si>
  <si>
    <t>9BSK6X200N3997841</t>
  </si>
  <si>
    <t>M-1</t>
  </si>
  <si>
    <t>TA4535</t>
  </si>
  <si>
    <t>ZF2840</t>
  </si>
  <si>
    <t>ZF2865</t>
  </si>
  <si>
    <t>GFRX15</t>
  </si>
  <si>
    <t>GJTY95</t>
  </si>
  <si>
    <t>GGYC20</t>
  </si>
  <si>
    <t>GJTY96</t>
  </si>
  <si>
    <t>GJTC39</t>
  </si>
  <si>
    <t>JYHJ65</t>
  </si>
  <si>
    <t>KGKJ64</t>
  </si>
  <si>
    <t>KLBJ73</t>
  </si>
  <si>
    <t>KLBJ74</t>
  </si>
  <si>
    <t>KLBJ75</t>
  </si>
  <si>
    <t>KLBJ76</t>
  </si>
  <si>
    <t>PJTJ94</t>
  </si>
  <si>
    <t>PJTJ93</t>
  </si>
  <si>
    <t>PJTJ92</t>
  </si>
  <si>
    <t>PJTK12</t>
  </si>
  <si>
    <t>PJTJ97</t>
  </si>
  <si>
    <t>PJTJ95</t>
  </si>
  <si>
    <t>PSFH58</t>
  </si>
  <si>
    <t>PSFH53</t>
  </si>
  <si>
    <t>PSRC96</t>
  </si>
  <si>
    <t>PSRC91</t>
  </si>
  <si>
    <t>RBFW12</t>
  </si>
  <si>
    <t>RBFV91</t>
  </si>
  <si>
    <t>RBFV82</t>
  </si>
  <si>
    <t>RBFW11</t>
  </si>
  <si>
    <t>RHKC64</t>
  </si>
  <si>
    <t>RHKC75</t>
  </si>
  <si>
    <t>RPCV19</t>
  </si>
  <si>
    <t>RPCV28</t>
  </si>
  <si>
    <t>KM PROM (Día)</t>
  </si>
  <si>
    <t>CDKY70</t>
  </si>
  <si>
    <t>CDKY72</t>
  </si>
  <si>
    <t>CGSK50</t>
  </si>
  <si>
    <t>CGSK51</t>
  </si>
  <si>
    <t>CSJX91</t>
  </si>
  <si>
    <t>CSJX95</t>
  </si>
  <si>
    <t>CSJX97</t>
  </si>
  <si>
    <t>FCTR19</t>
  </si>
  <si>
    <t>FCTR20</t>
  </si>
  <si>
    <t>KGYX95</t>
  </si>
  <si>
    <t>KGYX96</t>
  </si>
  <si>
    <t>KGYX97</t>
  </si>
  <si>
    <t>KGYX98</t>
  </si>
  <si>
    <t>KGYX99</t>
  </si>
  <si>
    <t>KPGY67</t>
  </si>
  <si>
    <t>KPGY66</t>
  </si>
  <si>
    <t>KPGY68</t>
  </si>
  <si>
    <t>KPGY65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</si>
  <si>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</si>
  <si>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</si>
  <si>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</si>
  <si>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</si>
  <si>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</si>
  <si>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</si>
  <si>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</si>
  <si>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</si>
  <si>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</si>
  <si>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</si>
  <si>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</si>
  <si>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</si>
  <si>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</si>
  <si>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</si>
  <si>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</si>
  <si>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</si>
  <si>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</si>
  <si>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</si>
  <si>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</si>
  <si>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</si>
  <si>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</si>
  <si>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</si>
  <si>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</si>
  <si>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</si>
  <si>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</si>
  <si>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</si>
  <si>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</si>
  <si>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</si>
  <si>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</si>
  <si>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</si>
  <si>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</si>
  <si>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</si>
  <si>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</si>
  <si>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</si>
  <si>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</si>
  <si>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</si>
  <si>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</si>
  <si>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</si>
  <si>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</si>
  <si>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</si>
  <si>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</si>
  <si>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</si>
  <si>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</si>
  <si>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</si>
  <si>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TIPO MANT.2</t>
  </si>
  <si>
    <t>N° DE LA COLUMNA DE PAUTA DE MANT. EN PARÁMETROS MANT.</t>
  </si>
  <si>
    <t>BUSQUEDA DE MODELO EN PARAMETROS MANT.</t>
  </si>
  <si>
    <t>QUIBORAX</t>
  </si>
  <si>
    <t>TIPO MANT.3</t>
  </si>
  <si>
    <t>FILA DE INTERVALO EN PARAMETROS MANT.</t>
  </si>
  <si>
    <t>CAMIÓN</t>
  </si>
  <si>
    <t>CANTER</t>
  </si>
  <si>
    <t>XT2834</t>
  </si>
  <si>
    <t>URBANO</t>
  </si>
  <si>
    <t>14.265.144-0</t>
  </si>
  <si>
    <t>REPARTO</t>
  </si>
  <si>
    <t>FE335B-590066</t>
  </si>
  <si>
    <t>4D32-B16106</t>
  </si>
  <si>
    <t>FECHA ULTIMA INSTALACIÓN</t>
  </si>
  <si>
    <t>KM ULTIMA INSTALACIÓN</t>
  </si>
  <si>
    <t>TIPO ULTIMA BATERÍA INSTALADA</t>
  </si>
  <si>
    <t>MARCA ULTIMA BATERÍA INSTALADA</t>
  </si>
  <si>
    <t>TRUCKSTAR</t>
  </si>
  <si>
    <t>12V/150AH</t>
  </si>
  <si>
    <t xml:space="preserve">COMENTARIOS </t>
  </si>
  <si>
    <t>COMENTARIOS</t>
  </si>
  <si>
    <t>POWER TRUCK</t>
  </si>
  <si>
    <t>12V/220AH</t>
  </si>
  <si>
    <t>TRUCK ENERGY</t>
  </si>
  <si>
    <t>12V/225AH</t>
  </si>
  <si>
    <t>12V/230AH</t>
  </si>
  <si>
    <t>QUICK STARTER</t>
  </si>
  <si>
    <t>12V/170AH</t>
  </si>
  <si>
    <t>Vehículo tiene baterías originales</t>
  </si>
  <si>
    <t>12V/200AH</t>
  </si>
  <si>
    <t>12V220AH</t>
  </si>
  <si>
    <t>12V/92AH</t>
  </si>
  <si>
    <t>VARTA</t>
  </si>
  <si>
    <t>AÑOS</t>
  </si>
  <si>
    <t>MESES</t>
  </si>
  <si>
    <t>DÍAS</t>
  </si>
  <si>
    <t>12V/100AH</t>
  </si>
  <si>
    <t>AÑO</t>
  </si>
  <si>
    <t>MES</t>
  </si>
  <si>
    <t>DÍA</t>
  </si>
  <si>
    <t>MERCEDES BENZ + POWER TRUCK</t>
  </si>
  <si>
    <t>TRUCK STAR + MERCEDES BENZ</t>
  </si>
  <si>
    <t>12V/175AH</t>
  </si>
  <si>
    <t>01 bat. Truck Star(08-19) montada en carro P.Prado</t>
  </si>
  <si>
    <t>Tiene 01 bat. M. Benz sin fecha y 01 bat. Power Truck sin fecha</t>
  </si>
  <si>
    <t>KM RECORRIDOS DESDE ULTIMA INSTALACIÓN</t>
  </si>
  <si>
    <t>TIEMPO TRANSCURRIDO DESDE ULTIMA INSTALACIÓN</t>
  </si>
  <si>
    <t>12V/75AH</t>
  </si>
  <si>
    <t>12V/80AH</t>
  </si>
  <si>
    <t>HITACHI</t>
  </si>
  <si>
    <t>Vehículo tiene batería original</t>
  </si>
  <si>
    <t>12V/95AH</t>
  </si>
  <si>
    <t>TRUCK STAR</t>
  </si>
  <si>
    <t>Cristian San Martin instala bateria de bus 331 a bus 327 14-09-22</t>
  </si>
  <si>
    <t>M</t>
  </si>
  <si>
    <t>FECHA CAMBIO ANTERIOR</t>
  </si>
  <si>
    <t>TIPO DE BATERÍA</t>
  </si>
  <si>
    <t>MARCA2</t>
  </si>
  <si>
    <t>KM ACUMULADO DESDE INSTALACIÓN</t>
  </si>
  <si>
    <t>12V/90AH</t>
  </si>
  <si>
    <t>YOKO</t>
  </si>
  <si>
    <t>Columna1</t>
  </si>
  <si>
    <t>INTERVALO NCV3</t>
  </si>
  <si>
    <t>INTERVALO HILUX</t>
  </si>
  <si>
    <t>INTERVALO K 440B</t>
  </si>
  <si>
    <t>INTERVALO VS30</t>
  </si>
  <si>
    <t>INTERVALO KATANA</t>
  </si>
  <si>
    <t>INTERVALO SSANGYONG</t>
  </si>
  <si>
    <t>INTERVALO CANTER</t>
  </si>
  <si>
    <t>INTERVALO K 360B</t>
  </si>
  <si>
    <t>INTERVALO O 500 RS E III</t>
  </si>
  <si>
    <t>INTERVALO O 500 RS E V</t>
  </si>
  <si>
    <t>INTERVALO HORQUILLA</t>
  </si>
  <si>
    <t>Columna2</t>
  </si>
  <si>
    <t>Se instalan baterías nuevas</t>
  </si>
  <si>
    <t>M102</t>
  </si>
  <si>
    <t>M103</t>
  </si>
  <si>
    <t>M104</t>
  </si>
  <si>
    <t>M105</t>
  </si>
  <si>
    <t>M106</t>
  </si>
  <si>
    <t>M107</t>
  </si>
  <si>
    <t>M108</t>
  </si>
  <si>
    <t>12v/100AH</t>
  </si>
  <si>
    <t>TRUCSTAR</t>
  </si>
  <si>
    <t>KM CAMBIO ANTERIOR</t>
  </si>
  <si>
    <t>ETNA</t>
  </si>
  <si>
    <t>SEMÁF. 10 DÍAS</t>
  </si>
  <si>
    <t>Se instalan baterías nuevas con bornes invertidos</t>
  </si>
  <si>
    <t xml:space="preserve"> 09-01-23 se inst. bat. de bus 377, el 02-09-23 se remplaza 01 bat. x 01 usada de bus 381 (10-03-22)</t>
  </si>
  <si>
    <t>ACDELCO</t>
  </si>
  <si>
    <t>APOYO TALLER</t>
  </si>
  <si>
    <t>BACK UP</t>
  </si>
  <si>
    <t>K 450C 6X2</t>
  </si>
  <si>
    <t>TDTP88</t>
  </si>
  <si>
    <t>TDTP89</t>
  </si>
  <si>
    <t>K 400B 6X2</t>
  </si>
  <si>
    <t>9BSK6X200P4042256</t>
  </si>
  <si>
    <t>9BSK6X200P4036951</t>
  </si>
  <si>
    <t>INTERVALO K 400B</t>
  </si>
  <si>
    <t>INTERVALO K 450B</t>
  </si>
  <si>
    <t>CTA.</t>
  </si>
  <si>
    <t>SEMÁF.  10 DÍAS</t>
  </si>
  <si>
    <t>R</t>
  </si>
  <si>
    <t>KM ACUM.</t>
  </si>
  <si>
    <t>07-06-24 se retiran 02 baterías instaladas el 05-03-24 x NO CALZAR EN EL HABITÁCULO, (quedan disponibles para otra unidad)</t>
  </si>
  <si>
    <t>}{</t>
  </si>
  <si>
    <t>12V 610 CCA</t>
  </si>
  <si>
    <t>BESTE</t>
  </si>
  <si>
    <t>Se instalan las dos baterías salientes del bus # 360 (06-04-21)</t>
  </si>
  <si>
    <t>Se instalan las dos baterías salientes del bus # 344 (22-11-22)</t>
  </si>
  <si>
    <t>14-02-24 cambia 01 batería lado (-) x garantía, instala 01 batería usada MERCEDES BENZ 12V 200 AH.                                                                     29-04-24 cambia 01 batería lado (-) x garantía, instala 01 POWER TRUCK 12 V 200 AH.                                                                              27-05-24 cambia 01 batería lado (-) x garantía, instala 01 POWER TRUCK 12 V 200 AH.                                                                        24-06-24 cambia 01 batería lado (-) x garantía, instala 01 power truck 12 V 200 AH.</t>
  </si>
  <si>
    <t>TLGR82</t>
  </si>
  <si>
    <t>9BM634074RB328432</t>
  </si>
  <si>
    <t>460987 U1 140372</t>
  </si>
  <si>
    <t>TLGR81</t>
  </si>
  <si>
    <t>9BM634074RB318534</t>
  </si>
  <si>
    <t>460987 U1 139608</t>
  </si>
  <si>
    <t>77.845.039-9</t>
  </si>
  <si>
    <t>O 500 RSD 2448 IBC E V</t>
  </si>
  <si>
    <t>HYUNDAI</t>
  </si>
  <si>
    <t>RGDP24</t>
  </si>
  <si>
    <t>KMFZCZ7KAGU291130</t>
  </si>
  <si>
    <t>OBRAS CIVILES</t>
  </si>
  <si>
    <t>D4CBB81300</t>
  </si>
  <si>
    <t>7.997.912-0</t>
  </si>
  <si>
    <t>INTERVALO O 500 RSD 2448 IBC E V</t>
  </si>
  <si>
    <t>13-03-24 cambia 01 batería lado (-) x garanría, instala 01 POWER TRUCK 12V 200 AH</t>
  </si>
  <si>
    <t>31-08-22 se cambian 02 bat. TRUCKSTAR….Hoy tiene 01 POWER TRUCK del 31-08-22 y 01 TRUCK STAR del 22-09-22</t>
  </si>
  <si>
    <t>24-05-24 cambia 01 batería lado (-) x garantía, instala 01 POWER TRUCK 12 V 200 AH.                                                                                                                                                                                                            25-07-24 cambia 01 batería lado (-) x garantía, instala 01 POWER TRUCK 12 V 200 AH.                                                                     02-10-24 cambia 02 batería x garantía, instala 02 POWER TRUCK 12 V 200 AH, (SKU:POWBAT0039)</t>
  </si>
  <si>
    <t>14-02-24 cambia 01 batería lado (-) x garantía, insta 01 POWER TRUCK 12V 200 AH.                                                                                     02-04-24 cambia 01 batería de las instaladas el 14-02-24, se instala batéría usada MB 200 AH .                                                       14-05-24 con 149.660 km cambia 01 batería usada Mercedes Benz x una nueva POWER TRUCK x garantía.                                           17-06-24 con 153.859 km cambia 01 batería instalada el 14-05-24, instala 01 bateria saliente del bus 385.</t>
  </si>
  <si>
    <t>12V170AH</t>
  </si>
  <si>
    <t>Vehículo tiene segundo cambio de baterías</t>
  </si>
  <si>
    <t>08.02.24 cambia 01 batería lado (-) x garantía, instala 01 TRUCKSTAR 12 V 200 AH.                                                                                                 29-04-24 cambia 01 batería lado (-)  x garantía, instala 01 POWER TRUCK 12 V 200 AH.                                                                                                                                           10-06-24 cambia 01 batería lado (+) x garantía, instala 01 batería saliente del bus 385.                                                                                           22-06-24 cambia 01 batería lado (-) x garantía, instala 01 POWER TRUCK 12 V 200 AH.                                                                   30-08-24 cambia 01 batería lado (-) x garantía, instala 01 TRUCKSTAR 12 V 200 AH                                                                                                                                         06-01-25 cambia 01 batería lado (+), instala 01 batería nueva 12V200AH TRUCKSTAR, sale la usada del bus 385.</t>
  </si>
  <si>
    <t xml:space="preserve"> 16-01-25 cambia 02 batería originales, instala 02 POWER TRUCK 12 V 200 AH.     </t>
  </si>
  <si>
    <r>
      <rPr>
        <sz val="8"/>
        <color rgb="FFFF0000"/>
        <rFont val="Arial"/>
        <family val="2"/>
      </rPr>
      <t xml:space="preserve">16-01-25 cambia 02 baterías originales, instala 02 nuevas bornes invertidos POWER TRUCK 12 V 200 AH.    </t>
    </r>
    <r>
      <rPr>
        <sz val="8"/>
        <color theme="4" tint="-0.499984740745262"/>
        <rFont val="Arial"/>
        <family val="2"/>
      </rPr>
      <t xml:space="preserve"> </t>
    </r>
  </si>
  <si>
    <r>
      <rPr>
        <sz val="8"/>
        <color rgb="FFFF0000"/>
        <rFont val="Arial"/>
        <family val="2"/>
      </rPr>
      <t xml:space="preserve">31-12-24 cambia 02 baterías originales, instala 02 nuevas bornes invertidos POWER TRUCK 12 V 200 AH.    </t>
    </r>
    <r>
      <rPr>
        <sz val="8"/>
        <color theme="4" tint="-0.499984740745262"/>
        <rFont val="Arial"/>
        <family val="2"/>
      </rPr>
      <t xml:space="preserve"> </t>
    </r>
  </si>
  <si>
    <t>TVZZ84</t>
  </si>
  <si>
    <t>9BSK4X200R4060799</t>
  </si>
  <si>
    <t>TVZZ85</t>
  </si>
  <si>
    <t>9BSK4X200R4060805</t>
  </si>
  <si>
    <t>EXTERNO</t>
  </si>
  <si>
    <t>SM-2</t>
  </si>
  <si>
    <t>SM-4</t>
  </si>
  <si>
    <t>12V150AH</t>
  </si>
  <si>
    <t>12V95AH</t>
  </si>
  <si>
    <t>01-0425</t>
  </si>
  <si>
    <t>PROGRAMA DE MANTENCIÓN PREVENTIVA EMPRESA 1 2025</t>
  </si>
  <si>
    <t>PROGRAMA DE MANTENCIÓN PREVENTIVA EMPRESA 2 2025</t>
  </si>
  <si>
    <t>CONTROL DE CAMBIO DE BATERÍAS EMPRESA 2 - 2022 A 2024</t>
  </si>
  <si>
    <t>CONTROL DE CAMBIO DE BATERÍAS EMPRESA 1 - 2022 A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</si>
</sst>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;@"/>
    <numFmt numFmtId="165" formatCode="0.0"/>
    <numFmt numFmtId="166" formatCode="0.0%"/>
    <numFmt numFmtId="167" formatCode="dd\-mm\-yy;@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8"/>
      <color theme="4" tint="-0.499984740745262"/>
      <name val="Arial"/>
      <family val="2"/>
    </font>
    <font>
      <sz val="8"/>
      <name val="Arial"/>
      <family val="2"/>
    </font>
    <font>
      <b/>
      <sz val="16"/>
      <color theme="4" tint="-0.499984740745262"/>
      <name val="Arial"/>
      <family val="2"/>
    </font>
    <font>
      <b/>
      <sz val="8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8"/>
      <color theme="4" tint="-0.499984740745262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Arial"/>
      <family val="2"/>
    </font>
    <font>
      <sz val="8"/>
      <color theme="4" tint="-0.499984740745262"/>
      <name val="Arial"/>
      <family val="2"/>
    </font>
    <font>
      <sz val="8"/>
      <color theme="4" tint="-0.499984740745262"/>
      <name val="Arial"/>
      <family val="2"/>
    </font>
    <font>
      <b/>
      <sz val="10"/>
      <name val="Arial"/>
      <family val="2"/>
    </font>
    <font>
      <sz val="8"/>
      <color theme="4" tint="-0.499984740745262"/>
      <name val="Arial"/>
      <family val="2"/>
    </font>
    <font>
      <sz val="6"/>
      <color theme="4" tint="-0.499984740745262"/>
      <name val="Calibri"/>
      <family val="2"/>
      <scheme val="minor"/>
    </font>
    <font>
      <b/>
      <sz val="6"/>
      <color theme="4" tint="-0.499984740745262"/>
      <name val="Calibri"/>
      <family val="2"/>
      <scheme val="minor"/>
    </font>
    <font>
      <sz val="6"/>
      <color theme="4" tint="-0.499984740745262"/>
      <name val="Arial"/>
      <family val="2"/>
    </font>
    <font>
      <sz val="8"/>
      <color theme="4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rgb="FFFF0000"/>
      <name val="Arial"/>
      <family val="2"/>
    </font>
    <font>
      <sz val="8"/>
      <color theme="4" tint="-0.499984740745262"/>
      <name val="Arial"/>
      <family val="2"/>
    </font>
    <font>
      <b/>
      <sz val="12"/>
      <color theme="4" tint="-0.499984740745262"/>
      <name val="Arial"/>
      <family val="2"/>
    </font>
    <font>
      <sz val="8"/>
      <color theme="4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14548173467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1">
    <xf numFmtId="0" fontId="0" fillId="0" borderId="0"/>
    <xf numFmtId="0" fontId="4" fillId="0" borderId="0"/>
    <xf numFmtId="0" fontId="5" fillId="0" borderId="0"/>
    <xf numFmtId="0" fontId="3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9">
    <xf numFmtId="0" fontId="0" fillId="0" borderId="0" xfId="0"/>
    <xf numFmtId="164" fontId="14" fillId="5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164" fontId="11" fillId="4" borderId="0" xfId="0" applyNumberFormat="1" applyFont="1" applyFill="1" applyAlignment="1" applyProtection="1">
      <alignment horizontal="center" vertical="center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6" fillId="0" borderId="0" xfId="2" applyFont="1" applyAlignment="1" applyProtection="1">
      <alignment horizontal="center" vertical="center"/>
      <protection locked="0"/>
    </xf>
    <xf numFmtId="0" fontId="11" fillId="4" borderId="0" xfId="2" applyFont="1" applyFill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0" fontId="11" fillId="4" borderId="0" xfId="5" applyFont="1" applyFill="1" applyAlignment="1" applyProtection="1">
      <alignment horizontal="center" vertical="center" wrapText="1"/>
      <protection hidden="1"/>
    </xf>
    <xf numFmtId="49" fontId="11" fillId="4" borderId="0" xfId="2" applyNumberFormat="1" applyFont="1" applyFill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/>
      <protection hidden="1"/>
    </xf>
    <xf numFmtId="1" fontId="11" fillId="4" borderId="0" xfId="0" applyNumberFormat="1" applyFont="1" applyFill="1" applyAlignment="1" applyProtection="1">
      <alignment horizontal="center" vertical="center"/>
      <protection hidden="1"/>
    </xf>
    <xf numFmtId="14" fontId="11" fillId="4" borderId="0" xfId="0" applyNumberFormat="1" applyFont="1" applyFill="1" applyAlignment="1" applyProtection="1">
      <alignment horizontal="center" vertical="center"/>
      <protection hidden="1"/>
    </xf>
    <xf numFmtId="0" fontId="11" fillId="4" borderId="0" xfId="2" applyFont="1" applyFill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1" fontId="18" fillId="0" borderId="0" xfId="0" applyNumberFormat="1" applyFont="1" applyAlignment="1" applyProtection="1">
      <alignment horizontal="center" vertical="center"/>
      <protection hidden="1"/>
    </xf>
    <xf numFmtId="1" fontId="19" fillId="0" borderId="0" xfId="0" applyNumberFormat="1" applyFont="1" applyAlignment="1" applyProtection="1">
      <alignment horizontal="center" vertical="center"/>
      <protection hidden="1"/>
    </xf>
    <xf numFmtId="166" fontId="17" fillId="0" borderId="0" xfId="0" applyNumberFormat="1" applyFont="1" applyAlignment="1" applyProtection="1">
      <alignment horizontal="center" vertical="center"/>
      <protection hidden="1"/>
    </xf>
    <xf numFmtId="0" fontId="20" fillId="4" borderId="0" xfId="2" applyFont="1" applyFill="1" applyAlignment="1" applyProtection="1">
      <alignment horizontal="center" vertical="center"/>
      <protection hidden="1"/>
    </xf>
    <xf numFmtId="0" fontId="20" fillId="4" borderId="0" xfId="0" applyFont="1" applyFill="1" applyAlignment="1" applyProtection="1">
      <alignment horizontal="center" vertical="center"/>
      <protection hidden="1"/>
    </xf>
    <xf numFmtId="164" fontId="20" fillId="4" borderId="0" xfId="0" applyNumberFormat="1" applyFont="1" applyFill="1" applyAlignment="1" applyProtection="1">
      <alignment horizontal="center" vertical="center"/>
      <protection locked="0"/>
    </xf>
    <xf numFmtId="0" fontId="20" fillId="4" borderId="0" xfId="0" applyFont="1" applyFill="1" applyAlignment="1" applyProtection="1">
      <alignment horizontal="center" vertical="center"/>
      <protection locked="0"/>
    </xf>
    <xf numFmtId="0" fontId="11" fillId="4" borderId="0" xfId="2" applyFont="1" applyFill="1" applyAlignment="1" applyProtection="1">
      <alignment horizontal="center" vertical="center" wrapText="1"/>
      <protection locked="0"/>
    </xf>
    <xf numFmtId="0" fontId="11" fillId="4" borderId="0" xfId="0" applyFont="1" applyFill="1" applyAlignment="1" applyProtection="1">
      <alignment horizontal="center" vertical="center" wrapText="1"/>
      <protection locked="0"/>
    </xf>
    <xf numFmtId="0" fontId="11" fillId="4" borderId="0" xfId="5" applyFont="1" applyFill="1" applyAlignment="1" applyProtection="1">
      <alignment horizontal="center" vertical="center" wrapText="1"/>
      <protection locked="0"/>
    </xf>
    <xf numFmtId="1" fontId="11" fillId="4" borderId="0" xfId="0" applyNumberFormat="1" applyFont="1" applyFill="1" applyAlignment="1" applyProtection="1">
      <alignment horizontal="center" vertical="center"/>
      <protection locked="0"/>
    </xf>
    <xf numFmtId="1" fontId="11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4" fontId="11" fillId="4" borderId="0" xfId="0" applyNumberFormat="1" applyFont="1" applyFill="1" applyAlignment="1" applyProtection="1">
      <alignment horizontal="center" vertical="center"/>
      <protection locked="0"/>
    </xf>
    <xf numFmtId="165" fontId="10" fillId="3" borderId="1" xfId="0" applyNumberFormat="1" applyFont="1" applyFill="1" applyBorder="1" applyAlignment="1" applyProtection="1">
      <alignment horizontal="center" vertical="center"/>
      <protection locked="0"/>
    </xf>
    <xf numFmtId="1" fontId="11" fillId="4" borderId="0" xfId="5" applyNumberFormat="1" applyFont="1" applyFill="1" applyAlignment="1" applyProtection="1">
      <alignment horizontal="center" vertical="center"/>
      <protection locked="0"/>
    </xf>
    <xf numFmtId="49" fontId="11" fillId="4" borderId="0" xfId="2" applyNumberFormat="1" applyFont="1" applyFill="1" applyAlignment="1" applyProtection="1">
      <alignment horizontal="center" vertical="center" wrapText="1"/>
      <protection locked="0"/>
    </xf>
    <xf numFmtId="1" fontId="11" fillId="4" borderId="0" xfId="1" applyNumberFormat="1" applyFont="1" applyFill="1" applyAlignment="1" applyProtection="1">
      <alignment horizontal="center" vertical="center"/>
      <protection locked="0"/>
    </xf>
    <xf numFmtId="1" fontId="11" fillId="4" borderId="0" xfId="2" applyNumberFormat="1" applyFont="1" applyFill="1" applyAlignment="1" applyProtection="1">
      <alignment horizontal="center" vertical="center"/>
      <protection locked="0"/>
    </xf>
    <xf numFmtId="0" fontId="11" fillId="4" borderId="0" xfId="2" applyFont="1" applyFill="1" applyAlignment="1" applyProtection="1">
      <alignment horizontal="center" vertical="center"/>
      <protection locked="0"/>
    </xf>
    <xf numFmtId="0" fontId="11" fillId="4" borderId="0" xfId="4" applyFont="1" applyFill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1" fillId="4" borderId="0" xfId="6" applyFont="1" applyFill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20" fillId="4" borderId="0" xfId="2" applyFont="1" applyFill="1" applyAlignment="1" applyProtection="1">
      <alignment horizontal="center" vertical="center"/>
      <protection locked="0"/>
    </xf>
    <xf numFmtId="1" fontId="20" fillId="4" borderId="0" xfId="0" applyNumberFormat="1" applyFont="1" applyFill="1" applyAlignment="1" applyProtection="1">
      <alignment horizontal="center" vertical="center"/>
      <protection hidden="1"/>
    </xf>
    <xf numFmtId="0" fontId="21" fillId="4" borderId="0" xfId="2" applyFont="1" applyFill="1" applyAlignment="1" applyProtection="1">
      <alignment horizontal="center" vertical="center"/>
      <protection locked="0"/>
    </xf>
    <xf numFmtId="164" fontId="21" fillId="4" borderId="0" xfId="0" applyNumberFormat="1" applyFont="1" applyFill="1" applyAlignment="1" applyProtection="1">
      <alignment horizontal="center" vertical="center"/>
      <protection locked="0"/>
    </xf>
    <xf numFmtId="14" fontId="21" fillId="4" borderId="0" xfId="0" applyNumberFormat="1" applyFont="1" applyFill="1" applyAlignment="1" applyProtection="1">
      <alignment horizontal="center" vertical="center"/>
      <protection locked="0"/>
    </xf>
    <xf numFmtId="0" fontId="21" fillId="4" borderId="0" xfId="0" applyFont="1" applyFill="1" applyAlignment="1" applyProtection="1">
      <alignment horizontal="center" vertical="center"/>
      <protection locked="0"/>
    </xf>
    <xf numFmtId="165" fontId="10" fillId="6" borderId="1" xfId="0" applyNumberFormat="1" applyFont="1" applyFill="1" applyBorder="1" applyAlignment="1" applyProtection="1">
      <alignment horizontal="center" vertical="center"/>
      <protection locked="0"/>
    </xf>
    <xf numFmtId="1" fontId="21" fillId="4" borderId="0" xfId="0" applyNumberFormat="1" applyFont="1" applyFill="1" applyAlignment="1" applyProtection="1">
      <alignment horizontal="center" vertical="center"/>
      <protection hidden="1"/>
    </xf>
    <xf numFmtId="0" fontId="21" fillId="4" borderId="0" xfId="0" applyFont="1" applyFill="1" applyAlignment="1" applyProtection="1">
      <alignment horizontal="center" vertical="center"/>
      <protection hidden="1"/>
    </xf>
    <xf numFmtId="0" fontId="21" fillId="4" borderId="0" xfId="2" applyFont="1" applyFill="1" applyAlignment="1" applyProtection="1">
      <alignment horizontal="center" vertical="center"/>
      <protection hidden="1"/>
    </xf>
    <xf numFmtId="0" fontId="11" fillId="4" borderId="0" xfId="2" applyFont="1" applyFill="1" applyAlignment="1" applyProtection="1">
      <alignment horizontal="center"/>
      <protection hidden="1"/>
    </xf>
    <xf numFmtId="1" fontId="11" fillId="4" borderId="0" xfId="2" applyNumberFormat="1" applyFont="1" applyFill="1" applyAlignment="1" applyProtection="1">
      <alignment horizontal="center" vertical="center"/>
      <protection hidden="1"/>
    </xf>
    <xf numFmtId="0" fontId="11" fillId="4" borderId="0" xfId="4" applyFont="1" applyFill="1" applyAlignment="1" applyProtection="1">
      <alignment horizontal="center" vertical="center"/>
      <protection hidden="1"/>
    </xf>
    <xf numFmtId="1" fontId="11" fillId="4" borderId="0" xfId="2" applyNumberFormat="1" applyFont="1" applyFill="1" applyAlignment="1" applyProtection="1">
      <alignment horizontal="center" vertical="center" wrapText="1"/>
      <protection hidden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6" fillId="3" borderId="1" xfId="0" applyFont="1" applyFill="1" applyBorder="1" applyAlignment="1" applyProtection="1">
      <alignment horizontal="center" vertical="center"/>
      <protection hidden="1"/>
    </xf>
    <xf numFmtId="0" fontId="6" fillId="3" borderId="0" xfId="0" quotePrefix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1" xfId="2" applyFont="1" applyBorder="1" applyAlignment="1" applyProtection="1">
      <alignment horizontal="center" vertical="center"/>
      <protection hidden="1"/>
    </xf>
    <xf numFmtId="0" fontId="6" fillId="3" borderId="1" xfId="2" applyFon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left"/>
      <protection locked="0"/>
    </xf>
    <xf numFmtId="0" fontId="11" fillId="4" borderId="0" xfId="2" applyFont="1" applyFill="1" applyAlignment="1">
      <alignment horizontal="center" vertical="center" wrapText="1"/>
    </xf>
    <xf numFmtId="0" fontId="23" fillId="4" borderId="0" xfId="2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locked="0"/>
    </xf>
    <xf numFmtId="0" fontId="23" fillId="0" borderId="0" xfId="2" applyFont="1" applyAlignment="1" applyProtection="1">
      <alignment horizontal="center" vertical="center"/>
      <protection locked="0"/>
    </xf>
    <xf numFmtId="0" fontId="23" fillId="4" borderId="0" xfId="0" applyFont="1" applyFill="1" applyAlignment="1" applyProtection="1">
      <alignment horizontal="center" vertical="center"/>
      <protection hidden="1"/>
    </xf>
    <xf numFmtId="0" fontId="23" fillId="4" borderId="0" xfId="2" applyFont="1" applyFill="1" applyAlignment="1" applyProtection="1">
      <alignment horizontal="center" vertical="center"/>
      <protection locked="0"/>
    </xf>
    <xf numFmtId="0" fontId="24" fillId="5" borderId="0" xfId="0" applyFont="1" applyFill="1" applyAlignment="1" applyProtection="1">
      <alignment horizontal="center" vertical="center" wrapText="1"/>
      <protection hidden="1"/>
    </xf>
    <xf numFmtId="0" fontId="24" fillId="5" borderId="0" xfId="0" applyFont="1" applyFill="1" applyAlignment="1" applyProtection="1">
      <alignment horizontal="center" vertical="center" wrapText="1"/>
      <protection locked="0"/>
    </xf>
    <xf numFmtId="0" fontId="26" fillId="5" borderId="2" xfId="0" applyFont="1" applyFill="1" applyBorder="1" applyAlignment="1" applyProtection="1">
      <alignment horizontal="center" vertical="center"/>
      <protection locked="0"/>
    </xf>
    <xf numFmtId="0" fontId="26" fillId="5" borderId="3" xfId="0" applyFont="1" applyFill="1" applyBorder="1" applyAlignment="1" applyProtection="1">
      <alignment horizontal="center" vertical="center"/>
      <protection locked="0"/>
    </xf>
    <xf numFmtId="0" fontId="26" fillId="5" borderId="4" xfId="0" applyFont="1" applyFill="1" applyBorder="1" applyAlignment="1" applyProtection="1">
      <alignment horizontal="center" vertical="center" wrapText="1"/>
      <protection locked="0"/>
    </xf>
    <xf numFmtId="0" fontId="26" fillId="5" borderId="2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4" borderId="0" xfId="0" applyFont="1" applyFill="1" applyAlignment="1" applyProtection="1">
      <alignment horizontal="center" vertical="center"/>
      <protection locked="0"/>
    </xf>
    <xf numFmtId="164" fontId="27" fillId="4" borderId="0" xfId="0" applyNumberFormat="1" applyFont="1" applyFill="1" applyAlignment="1" applyProtection="1">
      <alignment horizontal="center" vertical="center"/>
      <protection locked="0"/>
    </xf>
    <xf numFmtId="1" fontId="27" fillId="0" borderId="0" xfId="0" applyNumberFormat="1" applyFont="1" applyAlignment="1" applyProtection="1">
      <alignment horizontal="center" vertical="center"/>
      <protection locked="0"/>
    </xf>
    <xf numFmtId="1" fontId="27" fillId="4" borderId="0" xfId="0" applyNumberFormat="1" applyFont="1" applyFill="1" applyAlignment="1" applyProtection="1">
      <alignment horizontal="center" vertical="center"/>
      <protection locked="0"/>
    </xf>
    <xf numFmtId="14" fontId="11" fillId="4" borderId="5" xfId="0" applyNumberFormat="1" applyFont="1" applyFill="1" applyBorder="1" applyAlignment="1" applyProtection="1">
      <alignment horizontal="center" vertical="center"/>
      <protection locked="0"/>
    </xf>
    <xf numFmtId="0" fontId="25" fillId="5" borderId="0" xfId="0" applyFont="1" applyFill="1" applyAlignment="1" applyProtection="1">
      <alignment horizontal="center" vertical="center" wrapText="1"/>
      <protection hidden="1"/>
    </xf>
    <xf numFmtId="0" fontId="25" fillId="5" borderId="5" xfId="0" applyFont="1" applyFill="1" applyBorder="1" applyAlignment="1" applyProtection="1">
      <alignment horizontal="center" vertical="center" wrapText="1"/>
      <protection hidden="1"/>
    </xf>
    <xf numFmtId="164" fontId="14" fillId="5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/>
      <protection hidden="1"/>
    </xf>
    <xf numFmtId="164" fontId="11" fillId="4" borderId="0" xfId="0" applyNumberFormat="1" applyFont="1" applyFill="1" applyAlignment="1" applyProtection="1">
      <alignment horizontal="center" vertical="center"/>
      <protection hidden="1"/>
    </xf>
    <xf numFmtId="9" fontId="0" fillId="0" borderId="0" xfId="0" applyNumberFormat="1" applyAlignment="1" applyProtection="1">
      <alignment horizontal="left"/>
      <protection hidden="1"/>
    </xf>
    <xf numFmtId="0" fontId="9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 vertical="center"/>
      <protection hidden="1"/>
    </xf>
    <xf numFmtId="0" fontId="6" fillId="0" borderId="0" xfId="2" applyFont="1" applyAlignment="1" applyProtection="1">
      <alignment horizontal="center" vertical="center"/>
      <protection hidden="1"/>
    </xf>
    <xf numFmtId="0" fontId="27" fillId="4" borderId="0" xfId="0" applyFont="1" applyFill="1" applyAlignment="1" applyProtection="1">
      <alignment horizontal="center" vertical="center"/>
      <protection hidden="1"/>
    </xf>
    <xf numFmtId="164" fontId="27" fillId="4" borderId="0" xfId="0" applyNumberFormat="1" applyFont="1" applyFill="1" applyAlignment="1" applyProtection="1">
      <alignment horizontal="center" vertical="center"/>
      <protection hidden="1"/>
    </xf>
    <xf numFmtId="14" fontId="27" fillId="4" borderId="0" xfId="0" applyNumberFormat="1" applyFont="1" applyFill="1" applyAlignment="1" applyProtection="1">
      <alignment horizontal="center" vertical="center"/>
      <protection hidden="1"/>
    </xf>
    <xf numFmtId="14" fontId="22" fillId="0" borderId="0" xfId="0" applyNumberFormat="1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167" fontId="11" fillId="4" borderId="0" xfId="0" applyNumberFormat="1" applyFont="1" applyFill="1" applyAlignment="1" applyProtection="1">
      <alignment horizontal="center" vertical="center"/>
      <protection locked="0"/>
    </xf>
    <xf numFmtId="14" fontId="11" fillId="4" borderId="6" xfId="0" applyNumberFormat="1" applyFont="1" applyFill="1" applyBorder="1" applyAlignment="1" applyProtection="1">
      <alignment horizontal="center" vertical="center"/>
      <protection locked="0"/>
    </xf>
    <xf numFmtId="14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25" fillId="5" borderId="5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 applyProtection="1">
      <alignment horizontal="center" vertical="center" wrapText="1"/>
      <protection locked="0"/>
    </xf>
    <xf numFmtId="164" fontId="11" fillId="4" borderId="6" xfId="0" applyNumberFormat="1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 wrapText="1"/>
    </xf>
    <xf numFmtId="1" fontId="30" fillId="6" borderId="6" xfId="0" applyNumberFormat="1" applyFont="1" applyFill="1" applyBorder="1" applyAlignment="1" applyProtection="1">
      <alignment horizontal="center" vertical="center"/>
      <protection locked="0"/>
    </xf>
    <xf numFmtId="1" fontId="31" fillId="4" borderId="6" xfId="0" applyNumberFormat="1" applyFont="1" applyFill="1" applyBorder="1" applyAlignment="1" applyProtection="1">
      <alignment horizontal="right" vertical="center"/>
      <protection hidden="1"/>
    </xf>
    <xf numFmtId="164" fontId="11" fillId="4" borderId="7" xfId="0" applyNumberFormat="1" applyFont="1" applyFill="1" applyBorder="1" applyAlignment="1" applyProtection="1">
      <alignment horizontal="center" vertical="center"/>
      <protection hidden="1"/>
    </xf>
    <xf numFmtId="1" fontId="30" fillId="6" borderId="6" xfId="0" applyNumberFormat="1" applyFont="1" applyFill="1" applyBorder="1" applyAlignment="1" applyProtection="1">
      <alignment horizontal="center" vertical="center"/>
      <protection hidden="1"/>
    </xf>
    <xf numFmtId="164" fontId="11" fillId="4" borderId="6" xfId="0" applyNumberFormat="1" applyFont="1" applyFill="1" applyBorder="1" applyAlignment="1" applyProtection="1">
      <alignment horizontal="center" vertical="center"/>
      <protection hidden="1"/>
    </xf>
    <xf numFmtId="0" fontId="25" fillId="5" borderId="8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14" fontId="32" fillId="4" borderId="7" xfId="0" applyNumberFormat="1" applyFont="1" applyFill="1" applyBorder="1" applyAlignment="1" applyProtection="1">
      <alignment horizontal="center" vertical="center"/>
      <protection locked="0"/>
    </xf>
    <xf numFmtId="0" fontId="26" fillId="5" borderId="0" xfId="0" applyFont="1" applyFill="1" applyAlignment="1" applyProtection="1">
      <alignment horizontal="center" vertical="center" wrapText="1"/>
      <protection locked="0"/>
    </xf>
    <xf numFmtId="0" fontId="26" fillId="5" borderId="8" xfId="0" applyFont="1" applyFill="1" applyBorder="1" applyAlignment="1" applyProtection="1">
      <alignment horizontal="center" vertical="center" wrapText="1"/>
      <protection locked="0"/>
    </xf>
    <xf numFmtId="164" fontId="11" fillId="4" borderId="9" xfId="0" applyNumberFormat="1" applyFont="1" applyFill="1" applyBorder="1" applyAlignment="1" applyProtection="1">
      <alignment horizontal="center" vertical="center"/>
      <protection hidden="1"/>
    </xf>
    <xf numFmtId="0" fontId="11" fillId="4" borderId="0" xfId="0" applyFont="1" applyFill="1" applyAlignment="1">
      <alignment horizontal="center" vertical="center"/>
    </xf>
    <xf numFmtId="164" fontId="11" fillId="4" borderId="0" xfId="0" applyNumberFormat="1" applyFont="1" applyFill="1" applyAlignment="1">
      <alignment horizontal="center" vertical="center"/>
    </xf>
    <xf numFmtId="164" fontId="33" fillId="0" borderId="0" xfId="0" applyNumberFormat="1" applyFont="1" applyAlignment="1" applyProtection="1">
      <alignment horizontal="center" vertical="center"/>
      <protection locked="0"/>
    </xf>
    <xf numFmtId="164" fontId="33" fillId="4" borderId="0" xfId="0" applyNumberFormat="1" applyFont="1" applyFill="1" applyAlignment="1" applyProtection="1">
      <alignment horizontal="center" vertical="center"/>
      <protection hidden="1"/>
    </xf>
    <xf numFmtId="0" fontId="33" fillId="4" borderId="0" xfId="0" applyFont="1" applyFill="1" applyAlignment="1" applyProtection="1">
      <alignment horizontal="center" vertical="center"/>
      <protection hidden="1"/>
    </xf>
    <xf numFmtId="14" fontId="33" fillId="4" borderId="0" xfId="0" applyNumberFormat="1" applyFont="1" applyFill="1" applyAlignment="1" applyProtection="1">
      <alignment horizontal="center" vertical="center"/>
      <protection hidden="1"/>
    </xf>
    <xf numFmtId="0" fontId="33" fillId="0" borderId="0" xfId="2" applyFont="1" applyAlignment="1" applyProtection="1">
      <alignment horizontal="center" vertical="center"/>
      <protection locked="0"/>
    </xf>
    <xf numFmtId="14" fontId="32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164" fontId="11" fillId="4" borderId="1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5" fillId="4" borderId="0" xfId="0" applyFont="1" applyFill="1" applyAlignment="1" applyProtection="1">
      <alignment horizontal="center" vertical="center"/>
      <protection locked="0"/>
    </xf>
    <xf numFmtId="164" fontId="35" fillId="0" borderId="0" xfId="0" applyNumberFormat="1" applyFont="1" applyAlignment="1" applyProtection="1">
      <alignment horizontal="center" vertical="center"/>
      <protection locked="0"/>
    </xf>
    <xf numFmtId="164" fontId="35" fillId="4" borderId="0" xfId="0" applyNumberFormat="1" applyFont="1" applyFill="1" applyAlignment="1" applyProtection="1">
      <alignment horizontal="center" vertical="center"/>
      <protection locked="0"/>
    </xf>
    <xf numFmtId="1" fontId="35" fillId="0" borderId="0" xfId="0" applyNumberFormat="1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164" fontId="11" fillId="0" borderId="0" xfId="0" applyNumberFormat="1" applyFont="1" applyAlignment="1" applyProtection="1">
      <alignment horizontal="center" vertical="center"/>
      <protection locked="0"/>
    </xf>
    <xf numFmtId="14" fontId="32" fillId="4" borderId="6" xfId="0" applyNumberFormat="1" applyFont="1" applyFill="1" applyBorder="1" applyAlignment="1" applyProtection="1">
      <alignment horizontal="center" vertical="center" wrapText="1"/>
      <protection locked="0"/>
    </xf>
    <xf numFmtId="14" fontId="32" fillId="4" borderId="6" xfId="0" applyNumberFormat="1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 wrapText="1"/>
    </xf>
    <xf numFmtId="0" fontId="11" fillId="4" borderId="11" xfId="2" applyFont="1" applyFill="1" applyBorder="1" applyAlignment="1">
      <alignment horizontal="center" vertical="center" wrapText="1"/>
    </xf>
    <xf numFmtId="0" fontId="11" fillId="0" borderId="0" xfId="2" applyFont="1" applyAlignment="1" applyProtection="1">
      <alignment horizontal="center" vertical="center"/>
      <protection locked="0"/>
    </xf>
    <xf numFmtId="0" fontId="11" fillId="4" borderId="1" xfId="2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34" fillId="4" borderId="0" xfId="0" applyFont="1" applyFill="1" applyAlignment="1" applyProtection="1">
      <alignment horizontal="center" vertical="center"/>
      <protection hidden="1"/>
    </xf>
  </cellXfs>
  <cellStyles count="11">
    <cellStyle name="Normal" xfId="0" builtinId="0"/>
    <cellStyle name="Normal 2" xfId="2" xr:uid="{00000000-0005-0000-0000-000001000000}"/>
    <cellStyle name="Normal 3" xfId="1" xr:uid="{00000000-0005-0000-0000-000002000000}"/>
    <cellStyle name="Normal 3 2" xfId="3" xr:uid="{00000000-0005-0000-0000-000003000000}"/>
    <cellStyle name="Normal 3 2 2" xfId="8" xr:uid="{00000000-0005-0000-0000-000004000000}"/>
    <cellStyle name="Normal 3 3" xfId="7" xr:uid="{00000000-0005-0000-0000-000005000000}"/>
    <cellStyle name="Normal 4" xfId="4" xr:uid="{00000000-0005-0000-0000-000006000000}"/>
    <cellStyle name="Normal 4 2" xfId="9" xr:uid="{00000000-0005-0000-0000-000007000000}"/>
    <cellStyle name="Normal 5" xfId="6" xr:uid="{00000000-0005-0000-0000-000008000000}"/>
    <cellStyle name="Normal 5 2" xfId="10" xr:uid="{00000000-0005-0000-0000-000009000000}"/>
    <cellStyle name="Normal_Hoja1" xfId="5" xr:uid="{00000000-0005-0000-0000-00000A000000}"/>
  </cellStyles>
  <dxfs count="345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numFmt numFmtId="166" formatCode="0.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none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67" formatCode="dd\-mm\-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Arial"/>
        <family val="2"/>
        <scheme val="none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Arial"/>
        <scheme val="none"/>
      </font>
      <fill>
        <patternFill patternType="none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3" tint="-0.499984740745262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4" tint="-0.499984740745262"/>
        <name val="Calibri"/>
        <family val="2"/>
        <scheme val="minor"/>
      </font>
      <fill>
        <patternFill patternType="none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1" defaultTableStyle="TableStyleMedium2" defaultPivotStyle="PivotStyleLight16">
    <tableStyle name="Invisible" pivot="0" table="0" count="0" xr9:uid="{5F412B70-DBA7-4CE1-BEFA-7E570D6536E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AF27" totalsRowShown="0" headerRowDxfId="318" dataDxfId="317" totalsRowDxfId="316">
  <autoFilter ref="A2:AF27" xr:uid="{00000000-0009-0000-0100-000001000000}"/>
  <tableColumns count="32">
    <tableColumn id="2" xr3:uid="{00000000-0010-0000-0000-000002000000}" name="N° INT." dataDxfId="315" totalsRowDxfId="314"/>
    <tableColumn id="3" xr3:uid="{00000000-0010-0000-0000-000003000000}" name="TIPO VEH." dataDxfId="313" totalsRowDxfId="312"/>
    <tableColumn id="21" xr3:uid="{00000000-0010-0000-0000-000015000000}" name="MARCA" dataDxfId="311" totalsRowDxfId="310"/>
    <tableColumn id="4" xr3:uid="{00000000-0010-0000-0000-000004000000}" name="MODELO" dataDxfId="309" totalsRowDxfId="308"/>
    <tableColumn id="5" xr3:uid="{00000000-0010-0000-0000-000005000000}" name="NORMA" dataDxfId="307" totalsRowDxfId="306"/>
    <tableColumn id="23" xr3:uid="{00000000-0010-0000-0000-000017000000}" name="PPU" dataDxfId="305" totalsRowDxfId="304"/>
    <tableColumn id="12" xr3:uid="{00000000-0010-0000-0000-00000C000000}" name="CHASIS" dataDxfId="303" totalsRowDxfId="302"/>
    <tableColumn id="6" xr3:uid="{00000000-0010-0000-0000-000006000000}" name="MOTOR" dataDxfId="301" totalsRowDxfId="300"/>
    <tableColumn id="8" xr3:uid="{00000000-0010-0000-0000-000008000000}" name="RAZÓN  SOCIAL" dataDxfId="299" totalsRowDxfId="298"/>
    <tableColumn id="28" xr3:uid="{00000000-0010-0000-0000-00001C000000}" name="TIPO SERVICIO" dataDxfId="297" totalsRowDxfId="296"/>
    <tableColumn id="29" xr3:uid="{00000000-0010-0000-0000-00001D000000}" name="FECHA FACT." dataDxfId="295" totalsRowDxfId="294"/>
    <tableColumn id="30" xr3:uid="{00000000-0010-0000-0000-00001E000000}" name="APLIC." dataDxfId="293" totalsRowDxfId="292"/>
    <tableColumn id="25" xr3:uid="{00000000-0010-0000-0000-000019000000}" name="INTERV. MAT. (KM)" dataDxfId="291" totalsRowDxfId="290"/>
    <tableColumn id="9" xr3:uid="{00000000-0010-0000-0000-000009000000}" name="ÁREA OPERACIÓN" dataDxfId="289" totalsRowDxfId="288"/>
    <tableColumn id="14" xr3:uid="{00000000-0010-0000-0000-00000E000000}" name="KM ULT. MANT." dataDxfId="287" totalsRowDxfId="286"/>
    <tableColumn id="33" xr3:uid="{E8D352B9-8A95-426B-A9A2-5CB196953F36}" name="Columna2" dataDxfId="285" totalsRowDxfId="284" dataCellStyle="Normal 2">
      <calculatedColumnFormula>ROUND(Tabla1[[#This Row],[KM ULT. MANT.]],-4)</calculatedColumnFormula>
    </tableColumn>
    <tableColumn id="20" xr3:uid="{00000000-0010-0000-0000-000014000000}" name="F. ULT. MANT." dataDxfId="283" totalsRowDxfId="282"/>
    <tableColumn id="31" xr3:uid="{00000000-0010-0000-0000-00001F000000}" name="TIPO MANT." dataDxfId="281" totalsRowDxfId="280"/>
    <tableColumn id="22" xr3:uid="{00000000-0010-0000-0000-000016000000}" name="ACUM. PRÓX. MAT." dataDxfId="279" totalsRowDxfId="278">
      <calculatedColumnFormula>IFERROR(IF(P3&lt;&gt;0,V3-P3," "),0)</calculatedColumnFormula>
    </tableColumn>
    <tableColumn id="24" xr3:uid="{00000000-0010-0000-0000-000018000000}" name="MANT. VENCIDO" dataDxfId="277" totalsRowDxfId="276">
      <calculatedColumnFormula>IF(OR(AND(D3="O 500 RS E V",AA3="SM2"),AND(D3="O 500 RS E V",AA3="SM4")),((M3+20000)-S3)*-1,IF(AND(D3&lt;&gt;"O 500 RS E V",S3&gt;M3),S3-M3," "))</calculatedColumnFormula>
    </tableColumn>
    <tableColumn id="11" xr3:uid="{CBF4D8AA-416C-4FC3-BE53-8A5035C5FFFF}" name="ESTATUS DE LA MANTENCIÓN" dataDxfId="275" totalsRowDxfId="274">
      <calculatedColumnFormula>_xlfn.IFS(AND(Tabla1[[#This Row],[MODELO]]=D3,Tabla1[[#This Row],[INTERV. MAT. (KM)]]=M3,Tabla1[[#This Row],[ACUM. PRÓX. MAT.]]&lt;=4999),"NORMALIDAD",Tabla1[[#This Row],[ACUM. PRÓX. MAT.]]&lt;10000,"MANT.PRÓX.",Tabla1[[#This Row],[ACUM. PRÓX. MAT.]]&gt;=10000,"MANT.VENCIDO")</calculatedColumnFormula>
    </tableColumn>
    <tableColumn id="10" xr3:uid="{00000000-0010-0000-0000-00000A000000}" name="KM ACTUAL" dataDxfId="273" totalsRowDxfId="272"/>
    <tableColumn id="27" xr3:uid="{00000000-0010-0000-0000-00001B000000}" name="F. KM ACT." dataDxfId="271" totalsRowDxfId="270"/>
    <tableColumn id="26" xr3:uid="{00000000-0010-0000-0000-00001A000000}" name="KM PROM (Día)" dataDxfId="269" totalsRowDxfId="268">
      <calculatedColumnFormula>IFERROR(AH3/AG3,0)</calculatedColumnFormula>
    </tableColumn>
    <tableColumn id="32" xr3:uid="{A7B7712E-630B-49CC-8B9F-D3F384990514}" name="Columna1" dataDxfId="267" totalsRowDxfId="266">
      <calculatedColumnFormula>IFERROR(VLOOKUP('PARÁMETROS MANT.'!A21,'PARÁMETROS MANT.'!$A$2:$GH$35,AB3,FALSE),0)-Tabla1[[#This Row],[INTERV. MAT. (KM)]]</calculatedColumnFormula>
    </tableColumn>
    <tableColumn id="7" xr3:uid="{00000000-0010-0000-0000-000007000000}" name="KM PROX. MANT." dataDxfId="265" totalsRowDxfId="264">
      <calculatedColumnFormula>IFERROR(VLOOKUP('PARÁMETROS MANT.'!A21,'PARÁMETROS MANT.'!$A$2:$GH$35,AB3,FALSE),0)</calculatedColumnFormula>
    </tableColumn>
    <tableColumn id="15" xr3:uid="{00000000-0010-0000-0000-00000F000000}" name="TIPO MANT" dataDxfId="263" totalsRowDxfId="262">
      <calculatedColumnFormula>IFERROR(VLOOKUP(Tabla1[[#This Row],[MODELO]],'PARÁMETROS MANT.'!$A$2:$GH$35,AB3,FALSE),0)</calculatedColumnFormula>
    </tableColumn>
    <tableColumn id="16" xr3:uid="{00000000-0010-0000-0000-000010000000}" name="N° DE LA COLUMNA DE PAUTA DE MANT. EN PARÁMETROS MANT." dataDxfId="261" totalsRowDxfId="260">
      <calculatedColumnFormula>IFERROR(MATCH(Tabla1[[#This Row],[KM ACTUAL]],INDIRECT(Tabla1[[#This Row],[BUSQUEDA DE MODELO EN PARAMETROS MANT.]],TRUE),1)+3,0)</calculatedColumnFormula>
    </tableColumn>
    <tableColumn id="1" xr3:uid="{00000000-0010-0000-0000-000001000000}" name="FILA DE INTERVALO EN PARAMETROS MANT." dataDxfId="259" totalsRowDxfId="258">
      <calculatedColumnFormula>IFERROR(MATCH(Tabla1[[#This Row],[MODELO]],'PARÁMETROS MANT.'!$A$2:$A$35,0)+2,0)</calculatedColumnFormula>
    </tableColumn>
    <tableColumn id="13" xr3:uid="{00000000-0010-0000-0000-00000D000000}" name="BUSQUEDA DE MODELO EN PARAMETROS MANT." dataDxfId="257" totalsRowDxfId="256">
      <calculatedColumnFormula>VLOOKUP(Tabla1[[#This Row],[MODELO]],'PARÁMETROS MANT.'!$A$1:$B$35,2,FALSE)</calculatedColumnFormula>
    </tableColumn>
    <tableColumn id="17" xr3:uid="{00000000-0010-0000-0000-000011000000}" name="COLUMNA DE PARAM. MANT." dataDxfId="255" totalsRowDxfId="254">
      <calculatedColumnFormula>IFERROR(SUBSTITUTE(ADDRESS(1,AB3,4),"1",""),0)</calculatedColumnFormula>
    </tableColumn>
    <tableColumn id="18" xr3:uid="{00000000-0010-0000-0000-000012000000}" name="TIPO MANT.2" dataDxfId="253" totalsRowDxfId="252">
      <calculatedColumnFormula>CONCATENATE("'PARÁMETROS MANT.'!"&amp;AE3,AC3)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14" displayName="Tabla14" ref="A2:AF35" totalsRowShown="0" headerRowDxfId="201" dataDxfId="200" totalsRowDxfId="199">
  <autoFilter ref="A2:AF35" xr:uid="{00000000-0009-0000-0100-000003000000}"/>
  <tableColumns count="32">
    <tableColumn id="2" xr3:uid="{00000000-0010-0000-0100-000002000000}" name="N° INT." dataDxfId="198" totalsRowDxfId="197"/>
    <tableColumn id="3" xr3:uid="{00000000-0010-0000-0100-000003000000}" name="TIPO VEH." dataDxfId="196" totalsRowDxfId="195"/>
    <tableColumn id="21" xr3:uid="{00000000-0010-0000-0100-000015000000}" name="MARCA" dataDxfId="194" totalsRowDxfId="193"/>
    <tableColumn id="4" xr3:uid="{00000000-0010-0000-0100-000004000000}" name="MODELO" dataDxfId="192" totalsRowDxfId="191"/>
    <tableColumn id="5" xr3:uid="{00000000-0010-0000-0100-000005000000}" name="NORMA" dataDxfId="190" totalsRowDxfId="189"/>
    <tableColumn id="23" xr3:uid="{00000000-0010-0000-0100-000017000000}" name="PPU" dataDxfId="188" totalsRowDxfId="187"/>
    <tableColumn id="12" xr3:uid="{00000000-0010-0000-0100-00000C000000}" name="CHASIS" dataDxfId="186" totalsRowDxfId="185"/>
    <tableColumn id="6" xr3:uid="{00000000-0010-0000-0100-000006000000}" name="MOTOR" dataDxfId="184" totalsRowDxfId="183"/>
    <tableColumn id="8" xr3:uid="{00000000-0010-0000-0100-000008000000}" name="RAZÓN  SOCIAL" dataDxfId="182" totalsRowDxfId="181"/>
    <tableColumn id="28" xr3:uid="{00000000-0010-0000-0100-00001C000000}" name="TIPO SERVICIO" dataDxfId="180" totalsRowDxfId="179"/>
    <tableColumn id="29" xr3:uid="{00000000-0010-0000-0100-00001D000000}" name="FECHA FACT." dataDxfId="178" totalsRowDxfId="177"/>
    <tableColumn id="30" xr3:uid="{00000000-0010-0000-0100-00001E000000}" name="APLIC." dataDxfId="176" totalsRowDxfId="175"/>
    <tableColumn id="25" xr3:uid="{00000000-0010-0000-0100-000019000000}" name="INTERV. MAT. (KM)" dataDxfId="174" totalsRowDxfId="173"/>
    <tableColumn id="9" xr3:uid="{00000000-0010-0000-0100-000009000000}" name="ÁREA OPERACIÓN" dataDxfId="172" totalsRowDxfId="171"/>
    <tableColumn id="14" xr3:uid="{00000000-0010-0000-0100-00000E000000}" name="KM ULT. MANT." dataDxfId="170" totalsRowDxfId="169"/>
    <tableColumn id="33" xr3:uid="{4296401A-5906-4EB0-B777-311AA983C73C}" name="Columna2" dataDxfId="168" totalsRowDxfId="167"/>
    <tableColumn id="20" xr3:uid="{00000000-0010-0000-0100-000014000000}" name="F. ULT. MANT." dataDxfId="166" totalsRowDxfId="165"/>
    <tableColumn id="31" xr3:uid="{00000000-0010-0000-0100-00001F000000}" name="TIPO MANT." dataDxfId="164" totalsRowDxfId="163"/>
    <tableColumn id="22" xr3:uid="{00000000-0010-0000-0100-000016000000}" name="ACUM. PRÓX. MAT." dataDxfId="162" totalsRowDxfId="161">
      <calculatedColumnFormula>IFERROR(IF(O3&lt;&gt;0,V3-O3," "),0)</calculatedColumnFormula>
    </tableColumn>
    <tableColumn id="24" xr3:uid="{00000000-0010-0000-0100-000018000000}" name="MANT. VENCIDO" dataDxfId="160" totalsRowDxfId="159">
      <calculatedColumnFormula>IF(OR(AND(D3="O 500 RS E V",AA3="SM2"),AND(D3="O 500 RS E V",AA3="SM4")),((M3+20000)-S3)*-1,IF(AND(D3&lt;&gt;"O 500 RS E V",S3&gt;M3),S3-M3," "))</calculatedColumnFormula>
    </tableColumn>
    <tableColumn id="11" xr3:uid="{4843D4DB-1864-4F1C-B4CF-5178352CA5D3}" name="ESTATUS DE LA MANTENCIÓN" dataDxfId="158" totalsRowDxfId="157"/>
    <tableColumn id="10" xr3:uid="{00000000-0010-0000-0100-00000A000000}" name="KM ACTUAL" dataDxfId="156" totalsRowDxfId="155"/>
    <tableColumn id="27" xr3:uid="{00000000-0010-0000-0100-00001B000000}" name="F. KM ACT." dataDxfId="154"/>
    <tableColumn id="32" xr3:uid="{80D58046-0988-488E-A884-5E3A6A7397D4}" name="Columna1" dataDxfId="153" totalsRowDxfId="152"/>
    <tableColumn id="26" xr3:uid="{00000000-0010-0000-0100-00001A000000}" name="KM PROM. (Día)" dataDxfId="151" totalsRowDxfId="150">
      <calculatedColumnFormula>IFERROR(AH3/AG3,0)</calculatedColumnFormula>
    </tableColumn>
    <tableColumn id="7" xr3:uid="{00000000-0010-0000-0100-000007000000}" name="KM PROX. MANT." dataDxfId="149" totalsRowDxfId="148">
      <calculatedColumnFormula>ROUND(Tabla14[[#This Row],[KM ACTUAL]]/20000,0)*20000</calculatedColumnFormula>
    </tableColumn>
    <tableColumn id="15" xr3:uid="{00000000-0010-0000-0100-00000F000000}" name="TIPO MANT" dataDxfId="147" totalsRowDxfId="146">
      <calculatedColumnFormula>IFERROR(VLOOKUP(Tabla14[[#This Row],[MODELO]],'PARÁMETROS MANT.'!$A$2:$GY$35,AB3,FALSE),0)</calculatedColumnFormula>
    </tableColumn>
    <tableColumn id="16" xr3:uid="{00000000-0010-0000-0100-000010000000}" name="N° DE LA COLUMNA DE PAUTA DE MANT. EN PARÁMETROS MANT." dataDxfId="145" totalsRowDxfId="144">
      <calculatedColumnFormula>IFERROR(MATCH(Tabla1[[#This Row],[KM ACTUAL]],INDIRECT(Tabla1[[#This Row],[BUSQUEDA DE MODELO EN PARAMETROS MANT.]],TRUE),1)+3,0)</calculatedColumnFormula>
    </tableColumn>
    <tableColumn id="1" xr3:uid="{00000000-0010-0000-0100-000001000000}" name="FILA DE INTERVALO EN PARAMETROS MANT." dataDxfId="143" totalsRowDxfId="142">
      <calculatedColumnFormula>IFERROR(MATCH(Tabla1[[#This Row],[MODELO]],'PARÁMETROS MANT.'!$A$2:$A$35,0)+2,0)</calculatedColumnFormula>
    </tableColumn>
    <tableColumn id="13" xr3:uid="{00000000-0010-0000-0100-00000D000000}" name="BUSQUEDA DE MODELO EN PARAMETROS MANT." dataDxfId="141" totalsRowDxfId="140">
      <calculatedColumnFormula>VLOOKUP(Tabla14[[#This Row],[MODELO]],'PARÁMETROS MANT.'!$A$1:$B$35,2,FALSE)</calculatedColumnFormula>
    </tableColumn>
    <tableColumn id="17" xr3:uid="{00000000-0010-0000-0100-000011000000}" name="COLUMNA DE PARAM. MANT." dataDxfId="139" totalsRowDxfId="138">
      <calculatedColumnFormula>IFERROR(SUBSTITUTE(ADDRESS(1,AB3,4),"1",""),0)</calculatedColumnFormula>
    </tableColumn>
    <tableColumn id="18" xr3:uid="{00000000-0010-0000-0100-000012000000}" name="TIPO MANT.3" dataDxfId="137" totalsRowDxfId="136">
      <calculatedColumnFormula>CONCATENATE("'PARÁMETROS MANT.'!"&amp;AE3,AC3)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85B307-66EA-40ED-B7DF-A8D9F408324C}" name="Tabla13" displayName="Tabla13" ref="A2:V26" totalsRowCount="1" headerRowDxfId="110" dataDxfId="109" totalsRowDxfId="108">
  <autoFilter ref="A2:V25" xr:uid="{AB85B307-66EA-40ED-B7DF-A8D9F408324C}"/>
  <tableColumns count="22">
    <tableColumn id="2" xr3:uid="{93C24A8C-560B-424E-88F6-21E4E46698F3}" name="N° INT." dataDxfId="107" totalsRowDxfId="106"/>
    <tableColumn id="3" xr3:uid="{28212EE8-D33B-40E2-A6E4-71E8C447B79B}" name="TIPO VEH." dataDxfId="105" totalsRowDxfId="104"/>
    <tableColumn id="21" xr3:uid="{E7E1C67B-E6EF-4FDD-A910-BF12C99087DD}" name="MARCA" dataDxfId="103" totalsRowDxfId="102"/>
    <tableColumn id="4" xr3:uid="{CFFEC485-96D6-44BA-B410-E56E37762B25}" name="MODELO" dataDxfId="101" totalsRowDxfId="100"/>
    <tableColumn id="23" xr3:uid="{527D6B23-0664-419E-A675-C0BAFED64ACA}" name="PPU" dataDxfId="99" totalsRowDxfId="98"/>
    <tableColumn id="14" xr3:uid="{6087054E-E467-4742-88B9-4EE000E8E8F9}" name="KM ULTIMA INSTALACIÓN" dataDxfId="97" totalsRowDxfId="96"/>
    <tableColumn id="20" xr3:uid="{187C80D8-4E67-4C6F-84F3-01F8E799FEEF}" name="FECHA ULTIMA INSTALACIÓN" dataDxfId="95" totalsRowDxfId="94"/>
    <tableColumn id="31" xr3:uid="{01B76E48-D7CD-4F10-90B8-8C78502DE427}" name="TIPO ULTIMA BATERÍA INSTALADA" dataDxfId="93" totalsRowDxfId="92"/>
    <tableColumn id="22" xr3:uid="{773E6822-9FE6-4ED9-B631-BC671230D8C3}" name="MARCA ULTIMA BATERÍA INSTALADA" dataDxfId="91" totalsRowDxfId="90"/>
    <tableColumn id="24" xr3:uid="{8EF4D714-092F-4107-9185-A55BEC0E01C7}" name="KM ACUM." dataDxfId="89" totalsRowDxfId="88"/>
    <tableColumn id="25" xr3:uid="{3124DFAA-0310-46F3-968C-0D0526989C35}" name="TIEMPO TRANSCURRIDO DESDE ULTIMA INSTALACIÓN" totalsRowFunction="count" dataDxfId="87" totalsRowDxfId="86">
      <calculatedColumnFormula>CONCATENATE(,L3," Años ",M3," Meses ", N3," Días")</calculatedColumnFormula>
    </tableColumn>
    <tableColumn id="30" xr3:uid="{4293AA36-8FD4-463E-8819-4A43F35263AF}" name="AÑOS" dataDxfId="85" totalsRowDxfId="84">
      <calculatedColumnFormula>DATEDIF(Tabla13[[#This Row],[FECHA ULTIMA INSTALACIÓN]],$V$1,"y")</calculatedColumnFormula>
    </tableColumn>
    <tableColumn id="29" xr3:uid="{435B29B6-7E18-40C1-8CF2-3EC54D14BD09}" name="MESES" dataDxfId="83" totalsRowDxfId="82">
      <calculatedColumnFormula>DATEDIF(Tabla13[[#This Row],[FECHA ULTIMA INSTALACIÓN]],$V$1,"ym")</calculatedColumnFormula>
    </tableColumn>
    <tableColumn id="28" xr3:uid="{4737849D-D3C6-42D8-9E0C-06F73EAEC113}" name="DÍAS" dataDxfId="81" totalsRowDxfId="80">
      <calculatedColumnFormula>DATEDIF(Tabla13[[#This Row],[FECHA ULTIMA INSTALACIÓN]],$V$1,"md")</calculatedColumnFormula>
    </tableColumn>
    <tableColumn id="6" xr3:uid="{E8BFB3C5-CAE4-4A4C-9AFF-B9551937975B}" name="KM CAMBIO ANTERIOR" dataDxfId="79" totalsRowDxfId="78"/>
    <tableColumn id="8" xr3:uid="{351361F2-65CE-4CB8-BBB9-588C4BC260AD}" name="FECHA CAMBIO ANTERIOR" dataDxfId="77" totalsRowDxfId="76"/>
    <tableColumn id="5" xr3:uid="{FC156659-B559-4F45-A846-586F8CF9CB45}" name="TIPO DE BATERÍA" dataDxfId="75" totalsRowDxfId="74"/>
    <tableColumn id="11" xr3:uid="{B8A722AF-4866-4AA6-880D-28788F7B51D1}" name="MARCA2" dataDxfId="73" totalsRowDxfId="72"/>
    <tableColumn id="12" xr3:uid="{CD1FA743-60BD-461B-A1C3-EEC2C6D4FA0C}" name="KM ACUMULADO DESDE INSTALACIÓN" dataDxfId="71" totalsRowDxfId="70"/>
    <tableColumn id="10" xr3:uid="{F0F12261-9BD2-41BB-9D89-6E0917F8B61A}" name="KM ACTUAL" dataDxfId="69" totalsRowDxfId="68">
      <calculatedColumnFormula>Tabla1[[#This Row],[KM ACTUAL]]</calculatedColumnFormula>
    </tableColumn>
    <tableColumn id="27" xr3:uid="{FF1B1917-0426-453A-98EC-922EFEAF0FB6}" name="F. KM ACT." dataDxfId="67" totalsRowDxfId="66">
      <calculatedColumnFormula>Tabla1[[#This Row],[F. KM ACT.]]</calculatedColumnFormula>
    </tableColumn>
    <tableColumn id="19" xr3:uid="{CBCECB72-BB87-4BD7-A8F5-C5BD99522CCA}" name="FECHA PROX. MANT." dataDxfId="65" totalsRowDxfId="64">
      <calculatedColumnFormula>IFERROR(TODAY()+(INDIRECT(#REF!,1)-T3)/#REF!,0)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681F49-C844-462D-A920-193FE1EFBC84}" name="Tabla145" displayName="Tabla145" ref="A2:V36" totalsRowCount="1" headerRowDxfId="46" dataDxfId="45" totalsRowDxfId="44">
  <autoFilter ref="A2:V35" xr:uid="{77681F49-C844-462D-A920-193FE1EFBC84}"/>
  <tableColumns count="22">
    <tableColumn id="2" xr3:uid="{DA776880-B934-4EFC-8851-5C1CBAB5B956}" name="N° INT." dataDxfId="43" totalsRowDxfId="42"/>
    <tableColumn id="3" xr3:uid="{EF1DBD7E-BCC0-448C-B1FA-B71C4DE58DAE}" name="TIPO VEH." dataDxfId="41" totalsRowDxfId="40"/>
    <tableColumn id="21" xr3:uid="{7E583C9E-A9B0-4923-8F00-C68FA3E4B716}" name="MARCA" dataDxfId="39" totalsRowDxfId="38"/>
    <tableColumn id="4" xr3:uid="{76194E7D-1744-4566-BE38-FB049A3D05BD}" name="MODELO" dataDxfId="37" totalsRowDxfId="36"/>
    <tableColumn id="23" xr3:uid="{0F5D4CC8-0D4D-42A9-A229-CD3D0725D639}" name="PPU" dataDxfId="35" totalsRowDxfId="34"/>
    <tableColumn id="14" xr3:uid="{07D40F08-CDA0-4009-9C1D-F9FAAF9AEEB8}" name="KM ULTIMA INSTALACIÓN" dataDxfId="33" totalsRowDxfId="32"/>
    <tableColumn id="20" xr3:uid="{A4BEAA88-4ADC-4C56-BFC5-00E6184971F9}" name="FECHA ULTIMA INSTALACIÓN" dataDxfId="31" totalsRowDxfId="30"/>
    <tableColumn id="6" xr3:uid="{C38D4409-940A-4A2E-ABF6-26CDC9DB2709}" name="TIPO ULTIMA BATERÍA INSTALADA" dataDxfId="29" totalsRowDxfId="28"/>
    <tableColumn id="8" xr3:uid="{18BE3D56-1AC5-4B39-9E12-EF39EBECF329}" name="MARCA ULTIMA BATERÍA INSTALADA" dataDxfId="27" totalsRowDxfId="26"/>
    <tableColumn id="12" xr3:uid="{C7BF9C8F-9E05-4E12-BC76-BF80F980A2F4}" name="KM RECORRIDOS DESDE ULTIMA INSTALACIÓN" dataDxfId="25" totalsRowDxfId="24">
      <calculatedColumnFormula>Tabla145[[#This Row],[KM ACTUAL]]-Tabla145[[#This Row],[KM ULTIMA INSTALACIÓN]]</calculatedColumnFormula>
    </tableColumn>
    <tableColumn id="25" xr3:uid="{5CBB784B-FAE4-4E19-B6B6-78A882530F6F}" name="Columna1" totalsRowFunction="count" dataDxfId="23" totalsRowDxfId="22">
      <calculatedColumnFormula>CONCATENATE(, L3, " Años ", M3," Meses ", N3," Días ")</calculatedColumnFormula>
    </tableColumn>
    <tableColumn id="33" xr3:uid="{B51CEB94-B34B-4A81-BC16-CED0FA16F98C}" name="AÑO" dataDxfId="21" totalsRowDxfId="20">
      <calculatedColumnFormula>DATEDIF(Tabla145[[#This Row],[FECHA ULTIMA INSTALACIÓN]],$V$1,"y")</calculatedColumnFormula>
    </tableColumn>
    <tableColumn id="32" xr3:uid="{DCA7E973-AB3A-46FD-9411-080CFC827BB3}" name="MES" dataDxfId="19" totalsRowDxfId="18">
      <calculatedColumnFormula>DATEDIF(Tabla145[[#This Row],[FECHA ULTIMA INSTALACIÓN]],$V$1,"ym")</calculatedColumnFormula>
    </tableColumn>
    <tableColumn id="30" xr3:uid="{C224E23D-2FC5-4807-8ACF-FCB6BCF95F58}" name="DÍA" dataDxfId="17" totalsRowDxfId="16">
      <calculatedColumnFormula>DATEDIF(Tabla145[[#This Row],[FECHA ULTIMA INSTALACIÓN]],$V$1,"md")</calculatedColumnFormula>
    </tableColumn>
    <tableColumn id="31" xr3:uid="{B2F44D26-3A44-4D2F-8F66-1711455B4911}" name="KM CAMBIO ANTERIOR" dataDxfId="15" totalsRowDxfId="14"/>
    <tableColumn id="22" xr3:uid="{50275FCD-077E-4C2B-AEE0-99D8B4CDC02C}" name="FECHA CAMBIO ANTERIOR" dataDxfId="13" totalsRowDxfId="12"/>
    <tableColumn id="24" xr3:uid="{20A603F3-D72B-473E-86AB-E85DB9B67F94}" name="TIPO DE BATERÍA" dataDxfId="11" totalsRowDxfId="10"/>
    <tableColumn id="28" xr3:uid="{3BB01CDB-EFA7-4493-AF35-4CC412A4F73B}" name="MARCA2" dataDxfId="9" totalsRowDxfId="8"/>
    <tableColumn id="29" xr3:uid="{44D503C0-B9EF-418C-A457-9E78646AF8CD}" name="KM ACUMULADO DESDE INSTALACIÓN" dataDxfId="7" totalsRowDxfId="6"/>
    <tableColumn id="10" xr3:uid="{B64D8C24-52DD-44D2-AEC0-1D200AC4FCC6}" name="KM ACTUAL" dataDxfId="5" totalsRowDxfId="4">
      <calculatedColumnFormula>Tabla14[[#This Row],[KM ACTUAL]]</calculatedColumnFormula>
    </tableColumn>
    <tableColumn id="27" xr3:uid="{DDDE79B6-6580-46A9-BCE0-5A04CC8D8D6F}" name="F. KM ACT." dataDxfId="3" totalsRowDxfId="2">
      <calculatedColumnFormula>Tabla14[[#This Row],[F. KM ACT.]]</calculatedColumnFormula>
    </tableColumn>
    <tableColumn id="19" xr3:uid="{B4CBCB45-A0D8-4781-96B1-47768E3F5FA4}" name="FECHA PROX. MANT." dataDxfId="1" totalsRowDxfId="0">
      <calculatedColumnFormula>IFERROR(TODAY()+(INDIRECT(#REF!,1)-T3)/#REF!,0)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S149"/>
  <sheetViews>
    <sheetView showGridLines="0" tabSelected="1" view="pageBreakPreview" zoomScale="80" zoomScaleNormal="100" zoomScaleSheetLayoutView="80" workbookViewId="0">
      <pane xSplit="14" ySplit="2" topLeftCell="O3" activePane="bottomRight" state="frozen"/>
      <selection activeCell="M38" activeCellId="1" sqref="W27 M38"/>
      <selection pane="topRight" activeCell="M38" activeCellId="1" sqref="W27 M38"/>
      <selection pane="bottomLeft" activeCell="M38" activeCellId="1" sqref="W27 M38"/>
      <selection pane="bottomRight" activeCell="A2" sqref="A2"/>
    </sheetView>
  </sheetViews>
  <sheetFormatPr baseColWidth="10" defaultColWidth="11.54296875" defaultRowHeight="12.5" x14ac:dyDescent="0.25"/>
  <cols>
    <col min="1" max="1" width="6.26953125" style="2" customWidth="1"/>
    <col min="2" max="2" width="1" style="2" hidden="1" customWidth="1"/>
    <col min="3" max="3" width="0.54296875" style="2" hidden="1" customWidth="1"/>
    <col min="4" max="4" width="0.26953125" style="2" hidden="1" customWidth="1"/>
    <col min="5" max="5" width="9.26953125" style="2" customWidth="1"/>
    <col min="6" max="6" width="9" style="2" customWidth="1"/>
    <col min="7" max="7" width="0.1796875" style="2" hidden="1" customWidth="1"/>
    <col min="8" max="8" width="0.453125" style="8" hidden="1" customWidth="1"/>
    <col min="9" max="10" width="0.26953125" style="2" hidden="1" customWidth="1"/>
    <col min="11" max="12" width="0.1796875" style="2" hidden="1" customWidth="1"/>
    <col min="13" max="13" width="6.54296875" style="2" customWidth="1"/>
    <col min="14" max="14" width="14" style="2" hidden="1" customWidth="1"/>
    <col min="15" max="15" width="6.54296875" style="2" customWidth="1"/>
    <col min="16" max="16" width="6.54296875" style="2" hidden="1" customWidth="1"/>
    <col min="17" max="17" width="8.7265625" style="2" customWidth="1"/>
    <col min="18" max="18" width="5.54296875" style="2" customWidth="1"/>
    <col min="19" max="20" width="6.54296875" style="2" customWidth="1"/>
    <col min="21" max="21" width="11.7265625" style="2" customWidth="1"/>
    <col min="22" max="23" width="7.81640625" style="2" customWidth="1"/>
    <col min="24" max="24" width="4.54296875" style="2" customWidth="1"/>
    <col min="25" max="25" width="6.26953125" style="2" hidden="1" customWidth="1"/>
    <col min="26" max="26" width="6.54296875" style="2" customWidth="1"/>
    <col min="27" max="27" width="5.81640625" style="2" customWidth="1"/>
    <col min="28" max="28" width="15.81640625" style="2" hidden="1" customWidth="1"/>
    <col min="29" max="29" width="15.81640625" style="8" hidden="1" customWidth="1"/>
    <col min="30" max="30" width="24.1796875" style="2" hidden="1" customWidth="1"/>
    <col min="31" max="31" width="9.81640625" style="2" hidden="1" customWidth="1"/>
    <col min="32" max="32" width="19.453125" style="2" hidden="1" customWidth="1"/>
    <col min="33" max="33" width="2.54296875" style="2" hidden="1" customWidth="1"/>
    <col min="34" max="34" width="0.54296875" style="2" hidden="1" customWidth="1"/>
    <col min="35" max="35" width="5.26953125" style="2" customWidth="1"/>
    <col min="36" max="36" width="8.7265625" style="2" customWidth="1"/>
    <col min="37" max="37" width="17.54296875" style="2" customWidth="1"/>
    <col min="38" max="38" width="17.81640625" style="2" bestFit="1" customWidth="1"/>
    <col min="39" max="39" width="17.7265625" style="2" bestFit="1" customWidth="1"/>
    <col min="40" max="40" width="25" style="2" bestFit="1" customWidth="1"/>
    <col min="41" max="41" width="27.1796875" style="2" bestFit="1" customWidth="1"/>
    <col min="42" max="42" width="19" style="2" bestFit="1" customWidth="1"/>
    <col min="43" max="43" width="16.54296875" style="2" bestFit="1" customWidth="1"/>
    <col min="44" max="44" width="14" style="2" bestFit="1" customWidth="1"/>
    <col min="45" max="45" width="13.1796875" style="2" bestFit="1" customWidth="1"/>
    <col min="46" max="16384" width="11.54296875" style="2"/>
  </cols>
  <sheetData>
    <row r="1" spans="1:45" ht="22.5" customHeight="1" x14ac:dyDescent="0.25">
      <c r="A1" s="147" t="s">
        <v>474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J1" s="1">
        <f ca="1">TODAY()</f>
        <v>45818</v>
      </c>
    </row>
    <row r="2" spans="1:45" ht="30" customHeight="1" x14ac:dyDescent="0.25">
      <c r="A2" s="76" t="s">
        <v>6</v>
      </c>
      <c r="B2" s="76" t="s">
        <v>5</v>
      </c>
      <c r="C2" s="76" t="s">
        <v>90</v>
      </c>
      <c r="D2" s="76" t="s">
        <v>4</v>
      </c>
      <c r="E2" s="76" t="s">
        <v>91</v>
      </c>
      <c r="F2" s="76" t="s">
        <v>92</v>
      </c>
      <c r="G2" s="76" t="s">
        <v>93</v>
      </c>
      <c r="H2" s="76" t="s">
        <v>94</v>
      </c>
      <c r="I2" s="76" t="s">
        <v>95</v>
      </c>
      <c r="J2" s="76" t="s">
        <v>96</v>
      </c>
      <c r="K2" s="76" t="s">
        <v>97</v>
      </c>
      <c r="L2" s="76" t="s">
        <v>98</v>
      </c>
      <c r="M2" s="76" t="s">
        <v>87</v>
      </c>
      <c r="N2" s="77" t="s">
        <v>84</v>
      </c>
      <c r="O2" s="77" t="s">
        <v>79</v>
      </c>
      <c r="P2" s="77" t="s">
        <v>401</v>
      </c>
      <c r="Q2" s="77" t="s">
        <v>80</v>
      </c>
      <c r="R2" s="77" t="s">
        <v>173</v>
      </c>
      <c r="S2" s="76" t="s">
        <v>86</v>
      </c>
      <c r="T2" s="76" t="s">
        <v>83</v>
      </c>
      <c r="U2" s="76" t="s">
        <v>227</v>
      </c>
      <c r="V2" s="77" t="s">
        <v>7</v>
      </c>
      <c r="W2" s="77" t="s">
        <v>81</v>
      </c>
      <c r="X2" s="76" t="s">
        <v>264</v>
      </c>
      <c r="Y2" s="76" t="s">
        <v>389</v>
      </c>
      <c r="Z2" s="76" t="s">
        <v>82</v>
      </c>
      <c r="AA2" s="76" t="s">
        <v>78</v>
      </c>
      <c r="AB2" s="77" t="s">
        <v>328</v>
      </c>
      <c r="AC2" s="77" t="s">
        <v>332</v>
      </c>
      <c r="AD2" s="77" t="s">
        <v>329</v>
      </c>
      <c r="AE2" s="77" t="s">
        <v>223</v>
      </c>
      <c r="AF2" s="77" t="s">
        <v>327</v>
      </c>
      <c r="AG2" s="107" t="s">
        <v>174</v>
      </c>
      <c r="AH2" s="107" t="s">
        <v>175</v>
      </c>
      <c r="AI2" s="115" t="s">
        <v>414</v>
      </c>
      <c r="AJ2" s="106" t="s">
        <v>85</v>
      </c>
    </row>
    <row r="3" spans="1:45" ht="15" customHeight="1" x14ac:dyDescent="0.25">
      <c r="A3" s="11">
        <v>312</v>
      </c>
      <c r="B3" s="12" t="s">
        <v>1</v>
      </c>
      <c r="C3" s="12" t="s">
        <v>99</v>
      </c>
      <c r="D3" s="15" t="s">
        <v>71</v>
      </c>
      <c r="E3" s="11" t="s">
        <v>105</v>
      </c>
      <c r="F3" s="11" t="s">
        <v>235</v>
      </c>
      <c r="G3" s="11" t="s">
        <v>106</v>
      </c>
      <c r="H3" s="18" t="s">
        <v>107</v>
      </c>
      <c r="I3" s="12" t="s">
        <v>101</v>
      </c>
      <c r="J3" s="12" t="s">
        <v>102</v>
      </c>
      <c r="K3" s="11">
        <v>2014</v>
      </c>
      <c r="L3" s="12" t="s">
        <v>102</v>
      </c>
      <c r="M3" s="15">
        <v>10000</v>
      </c>
      <c r="N3" s="28" t="s">
        <v>193</v>
      </c>
      <c r="O3" s="4">
        <v>489477</v>
      </c>
      <c r="P3" s="4">
        <f>ROUND(Tabla1[[#This Row],[KM ULT. MANT.]],-4)</f>
        <v>490000</v>
      </c>
      <c r="Q3" s="3">
        <v>45265</v>
      </c>
      <c r="R3" s="3" t="s">
        <v>73</v>
      </c>
      <c r="S3" s="15">
        <f>IFERROR(IF(P3&lt;&gt;0,V3-P3," "),0)</f>
        <v>531</v>
      </c>
      <c r="T3" s="15" t="str">
        <f t="shared" ref="T3:T25" ca="1" si="0">IF(OR(AND(D3="O 500 RS E V",AA3="SM2"),AND(D3="O 500 RS E V",AA3="SM4")),((M3+20000)-S3)*-1,IF(AND(D3&lt;&gt;"O 500 RS E V",S3&gt;M3),S3-M3," "))</f>
        <v xml:space="preserve"> </v>
      </c>
      <c r="U3" s="15" t="str">
        <f>_xlfn.IFS(AND(Tabla1[[#This Row],[MODELO]]=D3,Tabla1[[#This Row],[INTERV. MAT. (KM)]]=M3,Tabla1[[#This Row],[ACUM. PRÓX. MAT.]]&lt;=7999),"NORMALIDAD",Tabla1[[#This Row],[ACUM. PRÓX. MAT.]]&gt;=8000,"MANT.PRÓX.",Tabla1[[#This Row],[ACUM. PRÓX. MAT.]]&gt;=10000,"MANT.VENCIDO")</f>
        <v>NORMALIDAD</v>
      </c>
      <c r="V3" s="4">
        <v>490531</v>
      </c>
      <c r="W3" s="3">
        <v>45771</v>
      </c>
      <c r="X3" s="16">
        <f t="shared" ref="X3:X6" si="1">IFERROR(AH3/AG3,0)</f>
        <v>2.0830039525691699</v>
      </c>
      <c r="Y3" s="16">
        <f ca="1">IFERROR(VLOOKUP('PARÁMETROS MANT.'!A21,'PARÁMETROS MANT.'!$A$2:$GH$35,AB3,FALSE),0)-Tabla1[[#This Row],[INTERV. MAT. (KM)]]</f>
        <v>490000</v>
      </c>
      <c r="Z3" s="15">
        <f ca="1">IFERROR(VLOOKUP('PARÁMETROS MANT.'!A21,'PARÁMETROS MANT.'!$A$2:$GH$35,AB3,FALSE),0)</f>
        <v>500000</v>
      </c>
      <c r="AA3" s="15" t="str">
        <f ca="1">IFERROR(VLOOKUP(Tabla1[[#This Row],[MODELO]],'PARÁMETROS MANT.'!$A$2:$GH$35,AB3,FALSE),0)</f>
        <v>SM1</v>
      </c>
      <c r="AB3" s="30">
        <f ca="1">IFERROR(MATCH(Tabla1[[#This Row],[KM ACTUAL]],INDIRECT(Tabla1[[#This Row],[BUSQUEDA DE MODELO EN PARAMETROS MANT.]],TRUE),1)+3,0)</f>
        <v>52</v>
      </c>
      <c r="AC3" s="4">
        <f>IFERROR(MATCH(Tabla1[[#This Row],[MODELO]],'PARÁMETROS MANT.'!$A$2:$A$35,0)+2,0)</f>
        <v>21</v>
      </c>
      <c r="AD3" s="4" t="str">
        <f>VLOOKUP(Tabla1[[#This Row],[MODELO]],'PARÁMETROS MANT.'!$A$1:$B$35,2,FALSE)</f>
        <v>'PARÁMETROS MANT.'!C21:GY21</v>
      </c>
      <c r="AE3" s="4" t="str">
        <f t="shared" ref="AE3:AE6" ca="1" si="2">IFERROR(SUBSTITUTE(ADDRESS(1,AB3,4),"1",""),0)</f>
        <v>AZ</v>
      </c>
      <c r="AF3" s="4" t="str">
        <f t="shared" ref="AF3:AF6" ca="1" si="3">CONCATENATE("'PARÁMETROS MANT.'!"&amp;AE3,AC3)</f>
        <v>'PARÁMETROS MANT.'!AZ21</v>
      </c>
      <c r="AG3" s="52">
        <f>Tabla1[[#This Row],[F. KM ACT.]]-Tabla1[[#This Row],[F. ULT. MANT.]]</f>
        <v>506</v>
      </c>
      <c r="AH3" s="52">
        <f>Tabla1[[#This Row],[KM ACTUAL]]-Tabla1[[#This Row],[KM ULT. MANT.]]</f>
        <v>1054</v>
      </c>
      <c r="AI3" s="110">
        <f ca="1">AJ3-$AJ$1</f>
        <v>4545.8387096774168</v>
      </c>
      <c r="AJ3" s="108">
        <f t="shared" ref="AJ3:AJ25" ca="1" si="4">IFERROR(TODAY()+(INDIRECT(AF3,1)-V3)/X3,0)</f>
        <v>50363.838709677417</v>
      </c>
      <c r="AL3" s="45"/>
      <c r="AM3" s="45"/>
      <c r="AN3" s="45"/>
      <c r="AO3" s="45"/>
      <c r="AP3" s="45"/>
      <c r="AQ3" s="45"/>
      <c r="AR3" s="45"/>
      <c r="AS3" s="45"/>
    </row>
    <row r="4" spans="1:45" ht="15" customHeight="1" x14ac:dyDescent="0.25">
      <c r="A4" s="11">
        <v>327</v>
      </c>
      <c r="B4" s="12" t="s">
        <v>0</v>
      </c>
      <c r="C4" s="12" t="s">
        <v>99</v>
      </c>
      <c r="D4" s="15" t="s">
        <v>75</v>
      </c>
      <c r="E4" s="11" t="s">
        <v>105</v>
      </c>
      <c r="F4" s="11" t="s">
        <v>236</v>
      </c>
      <c r="G4" s="11" t="s">
        <v>109</v>
      </c>
      <c r="H4" s="56" t="s">
        <v>110</v>
      </c>
      <c r="I4" s="12" t="s">
        <v>101</v>
      </c>
      <c r="J4" s="12" t="s">
        <v>102</v>
      </c>
      <c r="K4" s="11">
        <v>2014</v>
      </c>
      <c r="L4" s="12" t="s">
        <v>108</v>
      </c>
      <c r="M4" s="15">
        <v>20000</v>
      </c>
      <c r="N4" s="28" t="s">
        <v>172</v>
      </c>
      <c r="O4" s="4">
        <v>457388</v>
      </c>
      <c r="P4" s="4">
        <f>ROUND(Tabla1[[#This Row],[KM ULT. MANT.]],-4)</f>
        <v>460000</v>
      </c>
      <c r="Q4" s="3">
        <v>45713</v>
      </c>
      <c r="R4" s="3" t="s">
        <v>8</v>
      </c>
      <c r="S4" s="15">
        <f t="shared" ref="S4:S25" si="5">IFERROR(IF(P4&lt;&gt;0,V4-P4," "),0)</f>
        <v>-2612</v>
      </c>
      <c r="T4" s="15" t="str">
        <f t="shared" ca="1" si="0"/>
        <v xml:space="preserve"> </v>
      </c>
      <c r="U4" s="15" t="str">
        <f>_xlfn.IFS(AND(Tabla1[[#This Row],[MODELO]]=D4,Tabla1[[#This Row],[INTERV. MAT. (KM)]]=M4,Tabla1[[#This Row],[ACUM. PRÓX. MAT.]]&lt;=14999),"NORMALIDAD",Tabla1[[#This Row],[ACUM. PRÓX. MAT.]]&lt;19999,"MANT.PRÓX.",Tabla1[[#This Row],[ACUM. PRÓX. MAT.]]&gt;=20000,"MANT.VENCIDO")</f>
        <v>NORMALIDAD</v>
      </c>
      <c r="V4" s="4">
        <v>457388</v>
      </c>
      <c r="W4" s="3">
        <v>45771</v>
      </c>
      <c r="X4" s="16">
        <f t="shared" si="1"/>
        <v>0</v>
      </c>
      <c r="Y4" s="16">
        <f ca="1">IFERROR(VLOOKUP('PARÁMETROS MANT.'!A25,'PARÁMETROS MANT.'!$A$2:$GH$35,AB4,FALSE),0)-Tabla1[[#This Row],[INTERV. MAT. (KM)]]</f>
        <v>440000</v>
      </c>
      <c r="Z4" s="15">
        <f ca="1">IFERROR(VLOOKUP('PARÁMETROS MANT.'!A25,'PARÁMETROS MANT.'!$A$2:$GH$35,AB4,FALSE),0)</f>
        <v>460000</v>
      </c>
      <c r="AA4" s="15" t="str">
        <f ca="1">IFERROR(VLOOKUP(Tabla1[[#This Row],[MODELO]],'PARÁMETROS MANT.'!$A$2:$GY$35,AB4,FALSE),0)</f>
        <v>SM1</v>
      </c>
      <c r="AB4" s="30">
        <f ca="1">IFERROR(MATCH(Tabla1[[#This Row],[KM ACTUAL]],INDIRECT(Tabla1[[#This Row],[BUSQUEDA DE MODELO EN PARAMETROS MANT.]],TRUE),1)+3,0)</f>
        <v>26</v>
      </c>
      <c r="AC4" s="4">
        <f>IFERROR(MATCH(Tabla1[[#This Row],[MODELO]],'PARÁMETROS MANT.'!$A$2:$A$35,0)+2,0)</f>
        <v>25</v>
      </c>
      <c r="AD4" s="4" t="str">
        <f>VLOOKUP(Tabla1[[#This Row],[MODELO]],'PARÁMETROS MANT.'!$A$1:$B$35,2,FALSE)</f>
        <v>'PARÁMETROS MANT.'!C25:DF25</v>
      </c>
      <c r="AE4" s="4" t="str">
        <f t="shared" ca="1" si="2"/>
        <v>Z</v>
      </c>
      <c r="AF4" s="4" t="str">
        <f t="shared" ca="1" si="3"/>
        <v>'PARÁMETROS MANT.'!Z25</v>
      </c>
      <c r="AG4" s="52">
        <f>Tabla1[[#This Row],[F. KM ACT.]]-Tabla1[[#This Row],[F. ULT. MANT.]]</f>
        <v>58</v>
      </c>
      <c r="AH4" s="52">
        <f>Tabla1[[#This Row],[KM ACTUAL]]-Tabla1[[#This Row],[KM ULT. MANT.]]</f>
        <v>0</v>
      </c>
      <c r="AI4" s="110">
        <f t="shared" ref="AI4:AI25" ca="1" si="6">AJ4-$AJ$1</f>
        <v>-45818</v>
      </c>
      <c r="AJ4" s="108">
        <f t="shared" ca="1" si="4"/>
        <v>0</v>
      </c>
      <c r="AL4" s="45"/>
      <c r="AM4" s="45"/>
      <c r="AN4" s="45"/>
      <c r="AO4" s="45"/>
      <c r="AP4" s="45"/>
    </row>
    <row r="5" spans="1:45" ht="15" customHeight="1" x14ac:dyDescent="0.25">
      <c r="A5" s="11">
        <v>330</v>
      </c>
      <c r="B5" s="12" t="s">
        <v>0</v>
      </c>
      <c r="C5" s="12" t="s">
        <v>99</v>
      </c>
      <c r="D5" s="15" t="s">
        <v>75</v>
      </c>
      <c r="E5" s="11" t="s">
        <v>105</v>
      </c>
      <c r="F5" s="11" t="s">
        <v>237</v>
      </c>
      <c r="G5" s="11" t="s">
        <v>111</v>
      </c>
      <c r="H5" s="56" t="s">
        <v>112</v>
      </c>
      <c r="I5" s="12" t="s">
        <v>101</v>
      </c>
      <c r="J5" s="12" t="s">
        <v>102</v>
      </c>
      <c r="K5" s="11">
        <v>2014</v>
      </c>
      <c r="L5" s="12" t="s">
        <v>108</v>
      </c>
      <c r="M5" s="15">
        <v>20000</v>
      </c>
      <c r="N5" s="28" t="s">
        <v>172</v>
      </c>
      <c r="O5" s="4">
        <v>377406</v>
      </c>
      <c r="P5" s="4">
        <f>ROUND(Tabla1[[#This Row],[KM ULT. MANT.]],-4)</f>
        <v>380000</v>
      </c>
      <c r="Q5" s="3">
        <v>45105</v>
      </c>
      <c r="R5" s="3" t="s">
        <v>8</v>
      </c>
      <c r="S5" s="15">
        <f t="shared" si="5"/>
        <v>9414</v>
      </c>
      <c r="T5" s="15">
        <f t="shared" ca="1" si="0"/>
        <v>-30586</v>
      </c>
      <c r="U5" s="15" t="str">
        <f>_xlfn.IFS(AND(Tabla1[[#This Row],[MODELO]]=D5,Tabla1[[#This Row],[INTERV. MAT. (KM)]]=M5,Tabla1[[#This Row],[ACUM. PRÓX. MAT.]]&lt;=14999),"NORMALIDAD",Tabla1[[#This Row],[ACUM. PRÓX. MAT.]]&lt;19999,"MANT.PRÓX.",Tabla1[[#This Row],[ACUM. PRÓX. MAT.]]&gt;=20000,"MANT.VENCIDO")</f>
        <v>NORMALIDAD</v>
      </c>
      <c r="V5" s="4">
        <v>389414</v>
      </c>
      <c r="W5" s="3">
        <v>45771</v>
      </c>
      <c r="X5" s="16">
        <f t="shared" si="1"/>
        <v>18.03003003003003</v>
      </c>
      <c r="Y5" s="16">
        <f ca="1">IFERROR(VLOOKUP('PARÁMETROS MANT.'!A25,'PARÁMETROS MANT.'!$A$2:$GH$35,AB5,FALSE),0)-Tabla1[[#This Row],[INTERV. MAT. (KM)]]</f>
        <v>380000</v>
      </c>
      <c r="Z5" s="15">
        <f ca="1">IFERROR(VLOOKUP('PARÁMETROS MANT.'!A25,'PARÁMETROS MANT.'!$A$2:$GH$35,AB5,FALSE),0)</f>
        <v>400000</v>
      </c>
      <c r="AA5" s="15" t="str">
        <f ca="1">IFERROR(VLOOKUP(Tabla1[[#This Row],[MODELO]],'PARÁMETROS MANT.'!$A$2:$GY$35,AB5,FALSE),0)</f>
        <v>SM2</v>
      </c>
      <c r="AB5" s="30">
        <f ca="1">IFERROR(MATCH(Tabla1[[#This Row],[KM ACTUAL]],INDIRECT(Tabla1[[#This Row],[BUSQUEDA DE MODELO EN PARAMETROS MANT.]],TRUE),1)+3,0)</f>
        <v>23</v>
      </c>
      <c r="AC5" s="4">
        <f>IFERROR(MATCH(Tabla1[[#This Row],[MODELO]],'PARÁMETROS MANT.'!$A$2:$A$35,0)+2,0)</f>
        <v>25</v>
      </c>
      <c r="AD5" s="4" t="str">
        <f>VLOOKUP(Tabla1[[#This Row],[MODELO]],'PARÁMETROS MANT.'!$A$1:$B$35,2,FALSE)</f>
        <v>'PARÁMETROS MANT.'!C25:DF25</v>
      </c>
      <c r="AE5" s="4" t="str">
        <f t="shared" ca="1" si="2"/>
        <v>W</v>
      </c>
      <c r="AF5" s="4" t="str">
        <f t="shared" ca="1" si="3"/>
        <v>'PARÁMETROS MANT.'!W25</v>
      </c>
      <c r="AG5" s="52">
        <f>Tabla1[[#This Row],[F. KM ACT.]]-Tabla1[[#This Row],[F. ULT. MANT.]]</f>
        <v>666</v>
      </c>
      <c r="AH5" s="52">
        <f>Tabla1[[#This Row],[KM ACTUAL]]-Tabla1[[#This Row],[KM ULT. MANT.]]</f>
        <v>12008</v>
      </c>
      <c r="AI5" s="110">
        <f t="shared" ca="1" si="6"/>
        <v>587.13157894736651</v>
      </c>
      <c r="AJ5" s="108">
        <f t="shared" ca="1" si="4"/>
        <v>46405.131578947367</v>
      </c>
      <c r="AL5" s="45"/>
      <c r="AM5" s="45"/>
      <c r="AN5" s="45"/>
    </row>
    <row r="6" spans="1:45" ht="15" customHeight="1" x14ac:dyDescent="0.25">
      <c r="A6" s="11">
        <v>333</v>
      </c>
      <c r="B6" s="12" t="s">
        <v>0</v>
      </c>
      <c r="C6" s="12" t="s">
        <v>99</v>
      </c>
      <c r="D6" s="15" t="s">
        <v>75</v>
      </c>
      <c r="E6" s="11" t="s">
        <v>105</v>
      </c>
      <c r="F6" s="11" t="s">
        <v>238</v>
      </c>
      <c r="G6" s="11" t="s">
        <v>113</v>
      </c>
      <c r="H6" s="56" t="s">
        <v>114</v>
      </c>
      <c r="I6" s="12" t="s">
        <v>101</v>
      </c>
      <c r="J6" s="12" t="s">
        <v>102</v>
      </c>
      <c r="K6" s="11">
        <v>2014</v>
      </c>
      <c r="L6" s="12" t="s">
        <v>108</v>
      </c>
      <c r="M6" s="15">
        <v>20000</v>
      </c>
      <c r="N6" s="28" t="s">
        <v>172</v>
      </c>
      <c r="O6" s="4">
        <v>400738</v>
      </c>
      <c r="P6" s="4">
        <f>ROUND(Tabla1[[#This Row],[KM ULT. MANT.]],-4)</f>
        <v>400000</v>
      </c>
      <c r="Q6" s="3">
        <v>45234</v>
      </c>
      <c r="R6" s="3" t="s">
        <v>9</v>
      </c>
      <c r="S6" s="15">
        <f t="shared" si="5"/>
        <v>5597</v>
      </c>
      <c r="T6" s="15" t="str">
        <f t="shared" ca="1" si="0"/>
        <v xml:space="preserve"> </v>
      </c>
      <c r="U6" s="15" t="str">
        <f>_xlfn.IFS(AND(Tabla1[[#This Row],[MODELO]]=D6,Tabla1[[#This Row],[INTERV. MAT. (KM)]]=M6,Tabla1[[#This Row],[ACUM. PRÓX. MAT.]]&lt;=14999),"NORMALIDAD",Tabla1[[#This Row],[ACUM. PRÓX. MAT.]]&lt;19999,"MANT.PRÓX.",Tabla1[[#This Row],[ACUM. PRÓX. MAT.]]&gt;=20000,"MANT.VENCIDO")</f>
        <v>NORMALIDAD</v>
      </c>
      <c r="V6" s="4">
        <v>405597</v>
      </c>
      <c r="W6" s="3">
        <v>45771</v>
      </c>
      <c r="X6" s="16">
        <f t="shared" si="1"/>
        <v>9.0484171322160147</v>
      </c>
      <c r="Y6" s="16">
        <f ca="1">IFERROR(VLOOKUP('PARÁMETROS MANT.'!A25,'PARÁMETROS MANT.'!$A$2:$GH$35,AB6,FALSE),0)-Tabla1[[#This Row],[INTERV. MAT. (KM)]]</f>
        <v>400000</v>
      </c>
      <c r="Z6" s="15">
        <f ca="1">IFERROR(VLOOKUP('PARÁMETROS MANT.'!A25,'PARÁMETROS MANT.'!$A$2:$GH$35,AB6,FALSE),0)</f>
        <v>420000</v>
      </c>
      <c r="AA6" s="15" t="str">
        <f ca="1">IFERROR(VLOOKUP(Tabla1[[#This Row],[MODELO]],'PARÁMETROS MANT.'!$A$2:$GY$35,AB6,FALSE),0)</f>
        <v>SM3</v>
      </c>
      <c r="AB6" s="30">
        <f ca="1">IFERROR(MATCH(Tabla1[[#This Row],[KM ACTUAL]],INDIRECT(Tabla1[[#This Row],[BUSQUEDA DE MODELO EN PARAMETROS MANT.]],TRUE),1)+3,0)</f>
        <v>24</v>
      </c>
      <c r="AC6" s="4">
        <f>IFERROR(MATCH(Tabla1[[#This Row],[MODELO]],'PARÁMETROS MANT.'!$A$2:$A$35,0)+2,0)</f>
        <v>25</v>
      </c>
      <c r="AD6" s="4" t="str">
        <f>VLOOKUP(Tabla1[[#This Row],[MODELO]],'PARÁMETROS MANT.'!$A$1:$B$35,2,FALSE)</f>
        <v>'PARÁMETROS MANT.'!C25:DF25</v>
      </c>
      <c r="AE6" s="4" t="str">
        <f t="shared" ca="1" si="2"/>
        <v>X</v>
      </c>
      <c r="AF6" s="4" t="str">
        <f t="shared" ca="1" si="3"/>
        <v>'PARÁMETROS MANT.'!X25</v>
      </c>
      <c r="AG6" s="52">
        <f>Tabla1[[#This Row],[F. KM ACT.]]-Tabla1[[#This Row],[F. ULT. MANT.]]</f>
        <v>537</v>
      </c>
      <c r="AH6" s="52">
        <f>Tabla1[[#This Row],[KM ACTUAL]]-Tabla1[[#This Row],[KM ULT. MANT.]]</f>
        <v>4859</v>
      </c>
      <c r="AI6" s="110">
        <f t="shared" ca="1" si="6"/>
        <v>1591.7701173080859</v>
      </c>
      <c r="AJ6" s="108">
        <f t="shared" ca="1" si="4"/>
        <v>47409.770117308086</v>
      </c>
      <c r="AL6" s="45"/>
      <c r="AM6" s="45"/>
      <c r="AN6" s="45"/>
    </row>
    <row r="7" spans="1:45" ht="15" customHeight="1" x14ac:dyDescent="0.25">
      <c r="A7" s="18">
        <v>367</v>
      </c>
      <c r="B7" s="15" t="s">
        <v>428</v>
      </c>
      <c r="C7" s="15" t="s">
        <v>200</v>
      </c>
      <c r="D7" s="15" t="s">
        <v>200</v>
      </c>
      <c r="E7" s="18" t="s">
        <v>105</v>
      </c>
      <c r="F7" s="18" t="s">
        <v>239</v>
      </c>
      <c r="G7" s="18" t="s">
        <v>202</v>
      </c>
      <c r="H7" s="56">
        <v>67196010520451</v>
      </c>
      <c r="I7" s="12" t="s">
        <v>101</v>
      </c>
      <c r="J7" s="15" t="s">
        <v>102</v>
      </c>
      <c r="K7" s="18">
        <v>2014</v>
      </c>
      <c r="L7" s="15" t="s">
        <v>102</v>
      </c>
      <c r="M7" s="15">
        <v>10000</v>
      </c>
      <c r="N7" s="4" t="s">
        <v>201</v>
      </c>
      <c r="O7" s="4">
        <v>270413</v>
      </c>
      <c r="P7" s="4">
        <f>ROUND(Tabla1[[#This Row],[KM ULT. MANT.]],-4)</f>
        <v>270000</v>
      </c>
      <c r="Q7" s="3">
        <v>45688</v>
      </c>
      <c r="R7" s="3" t="s">
        <v>40</v>
      </c>
      <c r="S7" s="15">
        <f t="shared" si="5"/>
        <v>6157</v>
      </c>
      <c r="T7" s="15" t="str">
        <f t="shared" ca="1" si="0"/>
        <v xml:space="preserve"> </v>
      </c>
      <c r="U7" s="15" t="str">
        <f>_xlfn.IFS(AND(Tabla1[[#This Row],[MODELO]]=D7,Tabla1[[#This Row],[INTERV. MAT. (KM)]]=M7,Tabla1[[#This Row],[ACUM. PRÓX. MAT.]]&lt;=7999),"NORMALIDAD",Tabla1[[#This Row],[ACUM. PRÓX. MAT.]]&lt;9999,"MANT.PRÓX.",Tabla1[[#This Row],[ACUM. PRÓX. MAT.]]&gt;=10000,"MANT.VENCIDO")</f>
        <v>NORMALIDAD</v>
      </c>
      <c r="V7" s="4">
        <v>276157</v>
      </c>
      <c r="W7" s="3">
        <v>45771</v>
      </c>
      <c r="X7" s="16">
        <f t="shared" ref="X7:X15" si="7">IFERROR(AH7/AG7,0)</f>
        <v>69.204819277108427</v>
      </c>
      <c r="Y7" s="16">
        <f ca="1">IFERROR(VLOOKUP('PARÁMETROS MANT.'!A5,'PARÁMETROS MANT.'!$A$2:$GH$35,AB7,FALSE),0)-Tabla1[[#This Row],[INTERV. MAT. (KM)]]</f>
        <v>270000</v>
      </c>
      <c r="Z7" s="15">
        <f ca="1">IFERROR(VLOOKUP('PARÁMETROS MANT.'!A5,'PARÁMETROS MANT.'!$A$2:$GH$35,AB7,FALSE),0)</f>
        <v>280000</v>
      </c>
      <c r="AA7" s="15" t="str">
        <f ca="1">IFERROR(VLOOKUP(Tabla1[[#This Row],[MODELO]],'PARÁMETROS MANT.'!$A$2:$GH$35,AB7,FALSE),0)</f>
        <v>M28</v>
      </c>
      <c r="AB7" s="30">
        <f ca="1">IFERROR(MATCH(Tabla1[[#This Row],[KM ACTUAL]],INDIRECT(Tabla1[[#This Row],[BUSQUEDA DE MODELO EN PARAMETROS MANT.]],TRUE),1)+3,0)</f>
        <v>30</v>
      </c>
      <c r="AC7" s="4">
        <f>IFERROR(MATCH(Tabla1[[#This Row],[MODELO]],'PARÁMETROS MANT.'!$A$2:$A$35,0)+2,0)</f>
        <v>5</v>
      </c>
      <c r="AD7" s="4" t="str">
        <f>VLOOKUP(Tabla1[[#This Row],[MODELO]],'PARÁMETROS MANT.'!$A$1:$B$35,2,FALSE)</f>
        <v>'PARÁMETROS MANT.'!C5:GY5</v>
      </c>
      <c r="AE7" s="4" t="str">
        <f t="shared" ref="AE7:AE16" ca="1" si="8">IFERROR(SUBSTITUTE(ADDRESS(1,AB7,4),"1",""),0)</f>
        <v>AD</v>
      </c>
      <c r="AF7" s="4" t="str">
        <f t="shared" ref="AF7:AF15" ca="1" si="9">CONCATENATE("'PARÁMETROS MANT.'!"&amp;AE7,AC7)</f>
        <v>'PARÁMETROS MANT.'!AD5</v>
      </c>
      <c r="AG7" s="52">
        <f>Tabla1[[#This Row],[F. KM ACT.]]-Tabla1[[#This Row],[F. ULT. MANT.]]</f>
        <v>83</v>
      </c>
      <c r="AH7" s="52">
        <f>Tabla1[[#This Row],[KM ACTUAL]]-Tabla1[[#This Row],[KM ULT. MANT.]]</f>
        <v>5744</v>
      </c>
      <c r="AI7" s="110">
        <f t="shared" ca="1" si="6"/>
        <v>55.530814763231319</v>
      </c>
      <c r="AJ7" s="108">
        <f t="shared" ca="1" si="4"/>
        <v>45873.530814763231</v>
      </c>
      <c r="AK7" s="45"/>
    </row>
    <row r="8" spans="1:45" ht="15" customHeight="1" x14ac:dyDescent="0.25">
      <c r="A8" s="55">
        <v>376</v>
      </c>
      <c r="B8" s="15" t="s">
        <v>428</v>
      </c>
      <c r="C8" s="15" t="s">
        <v>189</v>
      </c>
      <c r="D8" s="15" t="s">
        <v>211</v>
      </c>
      <c r="E8" s="18" t="s">
        <v>105</v>
      </c>
      <c r="F8" s="18" t="s">
        <v>240</v>
      </c>
      <c r="G8" s="18" t="s">
        <v>212</v>
      </c>
      <c r="H8" s="57" t="s">
        <v>213</v>
      </c>
      <c r="I8" s="12" t="s">
        <v>101</v>
      </c>
      <c r="J8" s="15" t="s">
        <v>102</v>
      </c>
      <c r="K8" s="55">
        <v>2018</v>
      </c>
      <c r="L8" s="15" t="s">
        <v>102</v>
      </c>
      <c r="M8" s="54">
        <v>10000</v>
      </c>
      <c r="N8" s="4" t="s">
        <v>210</v>
      </c>
      <c r="O8" s="4">
        <v>69601</v>
      </c>
      <c r="P8" s="4">
        <f>ROUND(Tabla1[[#This Row],[KM ULT. MANT.]],-4)</f>
        <v>70000</v>
      </c>
      <c r="Q8" s="49">
        <v>45617</v>
      </c>
      <c r="R8" s="3" t="s">
        <v>192</v>
      </c>
      <c r="S8" s="15">
        <f t="shared" si="5"/>
        <v>3627</v>
      </c>
      <c r="T8" s="15" t="str">
        <f t="shared" ca="1" si="0"/>
        <v xml:space="preserve"> </v>
      </c>
      <c r="U8" s="15" t="str">
        <f>_xlfn.IFS(AND(Tabla1[[#This Row],[MODELO]]=D8,Tabla1[[#This Row],[INTERV. MAT. (KM)]]=M8,Tabla1[[#This Row],[ACUM. PRÓX. MAT.]]&lt;=7999),"NORMALIDAD",Tabla1[[#This Row],[ACUM. PRÓX. MAT.]]&lt;9999,"MANT.PRÓX.",Tabla1[[#This Row],[ACUM. PRÓX. MAT.]]&gt;=10000,"MANT.VENCIDO")</f>
        <v>NORMALIDAD</v>
      </c>
      <c r="V8" s="4">
        <v>73627</v>
      </c>
      <c r="W8" s="3">
        <v>45771</v>
      </c>
      <c r="X8" s="53">
        <f t="shared" si="7"/>
        <v>26.142857142857142</v>
      </c>
      <c r="Y8" s="16">
        <f ca="1">IFERROR(VLOOKUP('PARÁMETROS MANT.'!A3,'PARÁMETROS MANT.'!$A$2:$GH$35,AB8,FALSE),0)-Tabla1[[#This Row],[INTERV. MAT. (KM)]]</f>
        <v>70000</v>
      </c>
      <c r="Z8" s="15">
        <f ca="1">IFERROR(VLOOKUP('PARÁMETROS MANT.'!A3,'PARÁMETROS MANT.'!$A$2:$GH$35,AB8,FALSE),0)</f>
        <v>80000</v>
      </c>
      <c r="AA8" s="54" t="str">
        <f ca="1">IFERROR(VLOOKUP(Tabla1[[#This Row],[MODELO]],'PARÁMETROS MANT.'!$A$2:$GY$35,AB8,FALSE),0)</f>
        <v>M2</v>
      </c>
      <c r="AB8" s="30">
        <f ca="1">IFERROR(MATCH(Tabla1[[#This Row],[KM ACTUAL]],INDIRECT(Tabla1[[#This Row],[BUSQUEDA DE MODELO EN PARAMETROS MANT.]],TRUE),1)+3,0)</f>
        <v>10</v>
      </c>
      <c r="AC8" s="51">
        <f>IFERROR(MATCH(Tabla1[[#This Row],[MODELO]],'PARÁMETROS MANT.'!$A$2:$A$35,0)+2,0)</f>
        <v>3</v>
      </c>
      <c r="AD8" s="4" t="str">
        <f>VLOOKUP(Tabla1[[#This Row],[MODELO]],'PARÁMETROS MANT.'!$A$1:$B$35,2,FALSE)</f>
        <v>'PARÁMETROS MANT.'!C3:GY3</v>
      </c>
      <c r="AE8" s="51" t="str">
        <f t="shared" ca="1" si="8"/>
        <v>J</v>
      </c>
      <c r="AF8" s="51" t="str">
        <f t="shared" ca="1" si="9"/>
        <v>'PARÁMETROS MANT.'!J3</v>
      </c>
      <c r="AG8" s="52">
        <f>Tabla1[[#This Row],[F. KM ACT.]]-Tabla1[[#This Row],[F. ULT. MANT.]]</f>
        <v>154</v>
      </c>
      <c r="AH8" s="52">
        <f>Tabla1[[#This Row],[KM ACTUAL]]-Tabla1[[#This Row],[KM ULT. MANT.]]</f>
        <v>4026</v>
      </c>
      <c r="AI8" s="110">
        <f t="shared" ca="1" si="6"/>
        <v>243.77595628415293</v>
      </c>
      <c r="AJ8" s="108">
        <f t="shared" ca="1" si="4"/>
        <v>46061.775956284153</v>
      </c>
    </row>
    <row r="9" spans="1:45" ht="15" customHeight="1" x14ac:dyDescent="0.25">
      <c r="A9" s="18">
        <v>386</v>
      </c>
      <c r="B9" s="15" t="s">
        <v>428</v>
      </c>
      <c r="C9" s="15" t="s">
        <v>189</v>
      </c>
      <c r="D9" s="15" t="s">
        <v>211</v>
      </c>
      <c r="E9" s="18" t="s">
        <v>105</v>
      </c>
      <c r="F9" s="18" t="s">
        <v>241</v>
      </c>
      <c r="G9" s="18" t="s">
        <v>190</v>
      </c>
      <c r="H9" s="57"/>
      <c r="I9" s="12" t="s">
        <v>101</v>
      </c>
      <c r="J9" s="15" t="s">
        <v>102</v>
      </c>
      <c r="K9" s="18">
        <v>2018</v>
      </c>
      <c r="L9" s="15" t="s">
        <v>214</v>
      </c>
      <c r="M9" s="15">
        <v>10000</v>
      </c>
      <c r="N9" s="4" t="s">
        <v>210</v>
      </c>
      <c r="O9" s="4">
        <v>130132</v>
      </c>
      <c r="P9" s="4">
        <f>ROUND(Tabla1[[#This Row],[KM ULT. MANT.]],-4)</f>
        <v>130000</v>
      </c>
      <c r="Q9" s="3">
        <v>45659</v>
      </c>
      <c r="R9" s="3" t="s">
        <v>192</v>
      </c>
      <c r="S9" s="15">
        <f t="shared" si="5"/>
        <v>6183</v>
      </c>
      <c r="T9" s="15" t="str">
        <f t="shared" ca="1" si="0"/>
        <v xml:space="preserve"> </v>
      </c>
      <c r="U9" s="15" t="str">
        <f>_xlfn.IFS(AND(Tabla1[[#This Row],[MODELO]]=D9,Tabla1[[#This Row],[INTERV. MAT. (KM)]]=M9,Tabla1[[#This Row],[ACUM. PRÓX. MAT.]]&lt;=7999),"NORMALIDAD",Tabla1[[#This Row],[ACUM. PRÓX. MAT.]]&lt;9999,"MANT.PRÓX.",Tabla1[[#This Row],[ACUM. PRÓX. MAT.]]&gt;=10000,"MANT.VENCIDO")</f>
        <v>NORMALIDAD</v>
      </c>
      <c r="V9" s="4">
        <v>136183</v>
      </c>
      <c r="W9" s="3">
        <v>45771</v>
      </c>
      <c r="X9" s="16">
        <f t="shared" si="7"/>
        <v>54.026785714285715</v>
      </c>
      <c r="Y9" s="16">
        <f ca="1">IFERROR(VLOOKUP('PARÁMETROS MANT.'!A3,'PARÁMETROS MANT.'!$A$2:$GH$35,AB9,FALSE),0)-Tabla1[[#This Row],[INTERV. MAT. (KM)]]</f>
        <v>130000</v>
      </c>
      <c r="Z9" s="15">
        <f ca="1">IFERROR(VLOOKUP('PARÁMETROS MANT.'!A3,'PARÁMETROS MANT.'!$A$2:$GH$35,AB9,FALSE),0)</f>
        <v>140000</v>
      </c>
      <c r="AA9" s="15" t="str">
        <f ca="1">IFERROR(VLOOKUP(Tabla1[[#This Row],[MODELO]],'PARÁMETROS MANT.'!$A$2:$GY$35,AB9,FALSE),0)</f>
        <v>M2</v>
      </c>
      <c r="AB9" s="30">
        <f ca="1">IFERROR(MATCH(Tabla1[[#This Row],[KM ACTUAL]],INDIRECT(Tabla1[[#This Row],[BUSQUEDA DE MODELO EN PARAMETROS MANT.]],TRUE),1)+3,0)</f>
        <v>16</v>
      </c>
      <c r="AC9" s="4">
        <f>IFERROR(MATCH(Tabla1[[#This Row],[MODELO]],'PARÁMETROS MANT.'!$A$2:$A$35,0)+2,0)</f>
        <v>3</v>
      </c>
      <c r="AD9" s="4" t="str">
        <f>VLOOKUP(Tabla1[[#This Row],[MODELO]],'PARÁMETROS MANT.'!$A$1:$B$35,2,FALSE)</f>
        <v>'PARÁMETROS MANT.'!C3:GY3</v>
      </c>
      <c r="AE9" s="4" t="str">
        <f t="shared" ca="1" si="8"/>
        <v>P</v>
      </c>
      <c r="AF9" s="4" t="str">
        <f t="shared" ca="1" si="9"/>
        <v>'PARÁMETROS MANT.'!P3</v>
      </c>
      <c r="AG9" s="52">
        <f>Tabla1[[#This Row],[F. KM ACT.]]-Tabla1[[#This Row],[F. ULT. MANT.]]</f>
        <v>112</v>
      </c>
      <c r="AH9" s="52">
        <f>Tabla1[[#This Row],[KM ACTUAL]]-Tabla1[[#This Row],[KM ULT. MANT.]]</f>
        <v>6051</v>
      </c>
      <c r="AI9" s="110">
        <f t="shared" ca="1" si="6"/>
        <v>70.650140472651401</v>
      </c>
      <c r="AJ9" s="108">
        <f t="shared" ca="1" si="4"/>
        <v>45888.650140472651</v>
      </c>
    </row>
    <row r="10" spans="1:45" ht="15" customHeight="1" x14ac:dyDescent="0.25">
      <c r="A10" s="11">
        <v>387</v>
      </c>
      <c r="B10" s="12" t="s">
        <v>1</v>
      </c>
      <c r="C10" s="12" t="s">
        <v>99</v>
      </c>
      <c r="D10" s="15" t="s">
        <v>71</v>
      </c>
      <c r="E10" s="11" t="s">
        <v>105</v>
      </c>
      <c r="F10" s="11" t="s">
        <v>242</v>
      </c>
      <c r="G10" s="11" t="s">
        <v>116</v>
      </c>
      <c r="H10" s="57">
        <v>65195534266332</v>
      </c>
      <c r="I10" s="12" t="s">
        <v>117</v>
      </c>
      <c r="J10" s="12" t="s">
        <v>102</v>
      </c>
      <c r="K10" s="11">
        <v>2018</v>
      </c>
      <c r="L10" s="12" t="s">
        <v>108</v>
      </c>
      <c r="M10" s="15">
        <v>10000</v>
      </c>
      <c r="N10" s="28" t="s">
        <v>203</v>
      </c>
      <c r="O10" s="4">
        <v>199250</v>
      </c>
      <c r="P10" s="4">
        <f>ROUND(Tabla1[[#This Row],[KM ULT. MANT.]],-4)</f>
        <v>200000</v>
      </c>
      <c r="Q10" s="3">
        <v>45579</v>
      </c>
      <c r="R10" s="3" t="s">
        <v>9</v>
      </c>
      <c r="S10" s="15">
        <f t="shared" si="5"/>
        <v>8415</v>
      </c>
      <c r="T10" s="15" t="str">
        <f t="shared" ca="1" si="0"/>
        <v xml:space="preserve"> </v>
      </c>
      <c r="U10" s="15" t="str">
        <f>_xlfn.IFS(AND(Tabla1[[#This Row],[MODELO]]=D10,Tabla1[[#This Row],[INTERV. MAT. (KM)]]=M10,Tabla1[[#This Row],[ACUM. PRÓX. MAT.]]&lt;=7999),"NORMALIDAD",Tabla1[[#This Row],[ACUM. PRÓX. MAT.]]&gt;=8000,"MANT.PRÓX.",Tabla1[[#This Row],[ACUM. PRÓX. MAT.]]&gt;=10000,"MANT.VENCIDO")</f>
        <v>MANT.PRÓX.</v>
      </c>
      <c r="V10" s="4">
        <v>208415</v>
      </c>
      <c r="W10" s="3">
        <v>45771</v>
      </c>
      <c r="X10" s="16">
        <f t="shared" si="7"/>
        <v>47.734375</v>
      </c>
      <c r="Y10" s="16">
        <f ca="1">IFERROR(VLOOKUP('PARÁMETROS MANT.'!A21,'PARÁMETROS MANT.'!$A$2:$GH$35,AB10,FALSE),0)-Tabla1[[#This Row],[INTERV. MAT. (KM)]]</f>
        <v>200000</v>
      </c>
      <c r="Z10" s="15">
        <f ca="1">IFERROR(VLOOKUP('PARÁMETROS MANT.'!A21,'PARÁMETROS MANT.'!$A$2:$GH$35,AB10,FALSE),0)</f>
        <v>210000</v>
      </c>
      <c r="AA10" s="15" t="str">
        <f ca="1">IFERROR(VLOOKUP(Tabla1[[#This Row],[MODELO]],'PARÁMETROS MANT.'!$A$2:$GH$35,AB10,FALSE),0)</f>
        <v>SL</v>
      </c>
      <c r="AB10" s="30">
        <f ca="1">IFERROR(MATCH(Tabla1[[#This Row],[KM ACTUAL]],INDIRECT(Tabla1[[#This Row],[BUSQUEDA DE MODELO EN PARAMETROS MANT.]],TRUE),1)+3,0)</f>
        <v>23</v>
      </c>
      <c r="AC10" s="4">
        <f>IFERROR(MATCH(Tabla1[[#This Row],[MODELO]],'PARÁMETROS MANT.'!$A$2:$A$35,0)+2,0)</f>
        <v>21</v>
      </c>
      <c r="AD10" s="4" t="str">
        <f>VLOOKUP(Tabla1[[#This Row],[MODELO]],'PARÁMETROS MANT.'!$A$1:$B$35,2,FALSE)</f>
        <v>'PARÁMETROS MANT.'!C21:GY21</v>
      </c>
      <c r="AE10" s="4" t="str">
        <f t="shared" ca="1" si="8"/>
        <v>W</v>
      </c>
      <c r="AF10" s="4" t="str">
        <f t="shared" ca="1" si="9"/>
        <v>'PARÁMETROS MANT.'!W21</v>
      </c>
      <c r="AG10" s="52">
        <f>Tabla1[[#This Row],[F. KM ACT.]]-Tabla1[[#This Row],[F. ULT. MANT.]]</f>
        <v>192</v>
      </c>
      <c r="AH10" s="52">
        <f>Tabla1[[#This Row],[KM ACTUAL]]-Tabla1[[#This Row],[KM ULT. MANT.]]</f>
        <v>9165</v>
      </c>
      <c r="AI10" s="113">
        <f t="shared" ca="1" si="6"/>
        <v>33.204582651393139</v>
      </c>
      <c r="AJ10" s="114">
        <f t="shared" ca="1" si="4"/>
        <v>45851.204582651393</v>
      </c>
    </row>
    <row r="11" spans="1:45" ht="15" customHeight="1" x14ac:dyDescent="0.25">
      <c r="A11" s="11">
        <v>388</v>
      </c>
      <c r="B11" s="12" t="s">
        <v>1</v>
      </c>
      <c r="C11" s="12" t="s">
        <v>99</v>
      </c>
      <c r="D11" s="15" t="s">
        <v>71</v>
      </c>
      <c r="E11" s="11" t="s">
        <v>105</v>
      </c>
      <c r="F11" s="11" t="s">
        <v>243</v>
      </c>
      <c r="G11" s="11" t="s">
        <v>118</v>
      </c>
      <c r="H11" s="57">
        <v>65195534257345</v>
      </c>
      <c r="I11" s="12" t="s">
        <v>117</v>
      </c>
      <c r="J11" s="12" t="s">
        <v>102</v>
      </c>
      <c r="K11" s="11">
        <v>2018</v>
      </c>
      <c r="L11" s="12" t="s">
        <v>115</v>
      </c>
      <c r="M11" s="15">
        <v>10000</v>
      </c>
      <c r="N11" s="28" t="s">
        <v>205</v>
      </c>
      <c r="O11" s="4">
        <v>178880</v>
      </c>
      <c r="P11" s="4">
        <f>ROUND(Tabla1[[#This Row],[KM ULT. MANT.]],-4)</f>
        <v>180000</v>
      </c>
      <c r="Q11" s="3">
        <v>45720</v>
      </c>
      <c r="R11" s="3" t="s">
        <v>8</v>
      </c>
      <c r="S11" s="15">
        <f t="shared" si="5"/>
        <v>2485</v>
      </c>
      <c r="T11" s="15" t="str">
        <f t="shared" ca="1" si="0"/>
        <v xml:space="preserve"> </v>
      </c>
      <c r="U11" s="15" t="str">
        <f>_xlfn.IFS(AND(Tabla1[[#This Row],[MODELO]]=D11,Tabla1[[#This Row],[INTERV. MAT. (KM)]]=M11,Tabla1[[#This Row],[ACUM. PRÓX. MAT.]]&lt;=7999),"NORMALIDAD",Tabla1[[#This Row],[ACUM. PRÓX. MAT.]]&gt;=8000,"MANT.PRÓX.",Tabla1[[#This Row],[ACUM. PRÓX. MAT.]]&gt;=10000,"MANT.VENCIDO")</f>
        <v>NORMALIDAD</v>
      </c>
      <c r="V11" s="4">
        <v>182485</v>
      </c>
      <c r="W11" s="3">
        <v>45771</v>
      </c>
      <c r="X11" s="16">
        <f t="shared" si="7"/>
        <v>70.686274509803923</v>
      </c>
      <c r="Y11" s="16">
        <f ca="1">IFERROR(VLOOKUP('PARÁMETROS MANT.'!A21,'PARÁMETROS MANT.'!$A$2:$GH$35,AB11,FALSE),0)-Tabla1[[#This Row],[INTERV. MAT. (KM)]]</f>
        <v>180000</v>
      </c>
      <c r="Z11" s="15">
        <f ca="1">IFERROR(VLOOKUP('PARÁMETROS MANT.'!A21,'PARÁMETROS MANT.'!$A$2:$GH$35,AB11,FALSE),0)</f>
        <v>190000</v>
      </c>
      <c r="AA11" s="15" t="str">
        <f ca="1">IFERROR(VLOOKUP(Tabla1[[#This Row],[MODELO]],'PARÁMETROS MANT.'!$A$2:$GH$35,AB11,FALSE),0)</f>
        <v>SL</v>
      </c>
      <c r="AB11" s="30">
        <f ca="1">IFERROR(MATCH(Tabla1[[#This Row],[KM ACTUAL]],INDIRECT(Tabla1[[#This Row],[BUSQUEDA DE MODELO EN PARAMETROS MANT.]],TRUE),1)+3,0)</f>
        <v>21</v>
      </c>
      <c r="AC11" s="4">
        <f>IFERROR(MATCH(Tabla1[[#This Row],[MODELO]],'PARÁMETROS MANT.'!$A$2:$A$35,0)+2,0)</f>
        <v>21</v>
      </c>
      <c r="AD11" s="4" t="str">
        <f>VLOOKUP(Tabla1[[#This Row],[MODELO]],'PARÁMETROS MANT.'!$A$1:$B$35,2,FALSE)</f>
        <v>'PARÁMETROS MANT.'!C21:GY21</v>
      </c>
      <c r="AE11" s="4" t="str">
        <f t="shared" ca="1" si="8"/>
        <v>U</v>
      </c>
      <c r="AF11" s="4" t="str">
        <f t="shared" ca="1" si="9"/>
        <v>'PARÁMETROS MANT.'!U21</v>
      </c>
      <c r="AG11" s="52">
        <f>Tabla1[[#This Row],[F. KM ACT.]]-Tabla1[[#This Row],[F. ULT. MANT.]]</f>
        <v>51</v>
      </c>
      <c r="AH11" s="52">
        <f>Tabla1[[#This Row],[KM ACTUAL]]-Tabla1[[#This Row],[KM ULT. MANT.]]</f>
        <v>3605</v>
      </c>
      <c r="AI11" s="113">
        <f t="shared" ca="1" si="6"/>
        <v>106.31484049930441</v>
      </c>
      <c r="AJ11" s="114">
        <f t="shared" ca="1" si="4"/>
        <v>45924.314840499304</v>
      </c>
    </row>
    <row r="12" spans="1:45" ht="15" customHeight="1" x14ac:dyDescent="0.25">
      <c r="A12" s="11">
        <v>389</v>
      </c>
      <c r="B12" s="12" t="s">
        <v>1</v>
      </c>
      <c r="C12" s="12" t="s">
        <v>99</v>
      </c>
      <c r="D12" s="15" t="s">
        <v>71</v>
      </c>
      <c r="E12" s="11" t="s">
        <v>105</v>
      </c>
      <c r="F12" s="11" t="s">
        <v>244</v>
      </c>
      <c r="G12" s="11" t="s">
        <v>119</v>
      </c>
      <c r="H12" s="57">
        <v>65195534263864</v>
      </c>
      <c r="I12" s="12" t="s">
        <v>117</v>
      </c>
      <c r="J12" s="12" t="s">
        <v>102</v>
      </c>
      <c r="K12" s="11">
        <v>2018</v>
      </c>
      <c r="L12" s="12" t="s">
        <v>115</v>
      </c>
      <c r="M12" s="15">
        <v>10000</v>
      </c>
      <c r="N12" s="28" t="s">
        <v>204</v>
      </c>
      <c r="O12" s="4">
        <v>185849</v>
      </c>
      <c r="P12" s="4">
        <f>ROUND(Tabla1[[#This Row],[KM ULT. MANT.]],-4)</f>
        <v>190000</v>
      </c>
      <c r="Q12" s="3">
        <v>45716</v>
      </c>
      <c r="R12" s="3" t="s">
        <v>73</v>
      </c>
      <c r="S12" s="15">
        <f t="shared" si="5"/>
        <v>-4129</v>
      </c>
      <c r="T12" s="15" t="str">
        <f t="shared" ca="1" si="0"/>
        <v xml:space="preserve"> </v>
      </c>
      <c r="U12" s="15" t="str">
        <f>_xlfn.IFS(AND(Tabla1[[#This Row],[MODELO]]=D12,Tabla1[[#This Row],[INTERV. MAT. (KM)]]=M12,Tabla1[[#This Row],[ACUM. PRÓX. MAT.]]&lt;=7999),"NORMALIDAD",Tabla1[[#This Row],[ACUM. PRÓX. MAT.]]&gt;=8000,"MANT.PRÓX.",Tabla1[[#This Row],[ACUM. PRÓX. MAT.]]&gt;=10000,"MANT.VENCIDO")</f>
        <v>NORMALIDAD</v>
      </c>
      <c r="V12" s="4">
        <v>185871</v>
      </c>
      <c r="W12" s="3">
        <v>45771</v>
      </c>
      <c r="X12" s="16">
        <f t="shared" si="7"/>
        <v>0.4</v>
      </c>
      <c r="Y12" s="16">
        <f ca="1">IFERROR(VLOOKUP('PARÁMETROS MANT.'!A21,'PARÁMETROS MANT.'!$A$2:$GH$35,AB12,FALSE),0)-Tabla1[[#This Row],[INTERV. MAT. (KM)]]</f>
        <v>180000</v>
      </c>
      <c r="Z12" s="15">
        <f ca="1">IFERROR(VLOOKUP('PARÁMETROS MANT.'!A21,'PARÁMETROS MANT.'!$A$2:$GH$35,AB12,FALSE),0)</f>
        <v>190000</v>
      </c>
      <c r="AA12" s="15" t="str">
        <f ca="1">IFERROR(VLOOKUP(Tabla1[[#This Row],[MODELO]],'PARÁMETROS MANT.'!$A$2:$GH$35,AB12,FALSE),0)</f>
        <v>SL</v>
      </c>
      <c r="AB12" s="30">
        <f ca="1">IFERROR(MATCH(Tabla1[[#This Row],[KM ACTUAL]],INDIRECT(Tabla1[[#This Row],[BUSQUEDA DE MODELO EN PARAMETROS MANT.]],TRUE),1)+3,0)</f>
        <v>21</v>
      </c>
      <c r="AC12" s="4">
        <f>IFERROR(MATCH(Tabla1[[#This Row],[MODELO]],'PARÁMETROS MANT.'!$A$2:$A$35,0)+2,0)</f>
        <v>21</v>
      </c>
      <c r="AD12" s="4" t="str">
        <f>VLOOKUP(Tabla1[[#This Row],[MODELO]],'PARÁMETROS MANT.'!$A$1:$B$35,2,FALSE)</f>
        <v>'PARÁMETROS MANT.'!C21:GY21</v>
      </c>
      <c r="AE12" s="4" t="str">
        <f t="shared" ca="1" si="8"/>
        <v>U</v>
      </c>
      <c r="AF12" s="4" t="str">
        <f t="shared" ca="1" si="9"/>
        <v>'PARÁMETROS MANT.'!U21</v>
      </c>
      <c r="AG12" s="52">
        <f>Tabla1[[#This Row],[F. KM ACT.]]-Tabla1[[#This Row],[F. ULT. MANT.]]</f>
        <v>55</v>
      </c>
      <c r="AH12" s="52">
        <f>Tabla1[[#This Row],[KM ACTUAL]]-Tabla1[[#This Row],[KM ULT. MANT.]]</f>
        <v>22</v>
      </c>
      <c r="AI12" s="113">
        <f t="shared" ca="1" si="6"/>
        <v>10322.5</v>
      </c>
      <c r="AJ12" s="114">
        <f t="shared" ca="1" si="4"/>
        <v>56140.5</v>
      </c>
    </row>
    <row r="13" spans="1:45" ht="15" customHeight="1" x14ac:dyDescent="0.25">
      <c r="A13" s="11">
        <v>390</v>
      </c>
      <c r="B13" s="12" t="s">
        <v>1</v>
      </c>
      <c r="C13" s="12" t="s">
        <v>99</v>
      </c>
      <c r="D13" s="15" t="s">
        <v>71</v>
      </c>
      <c r="E13" s="11" t="s">
        <v>105</v>
      </c>
      <c r="F13" s="11" t="s">
        <v>245</v>
      </c>
      <c r="G13" s="11" t="s">
        <v>120</v>
      </c>
      <c r="H13" s="57">
        <v>65195534263859</v>
      </c>
      <c r="I13" s="12" t="s">
        <v>117</v>
      </c>
      <c r="J13" s="12" t="s">
        <v>102</v>
      </c>
      <c r="K13" s="11">
        <v>2018</v>
      </c>
      <c r="L13" s="12" t="s">
        <v>115</v>
      </c>
      <c r="M13" s="15">
        <v>10000</v>
      </c>
      <c r="N13" s="28" t="s">
        <v>204</v>
      </c>
      <c r="O13" s="4">
        <v>154211</v>
      </c>
      <c r="P13" s="4">
        <f>ROUND(Tabla1[[#This Row],[KM ULT. MANT.]],-4)</f>
        <v>150000</v>
      </c>
      <c r="Q13" s="3">
        <v>45750</v>
      </c>
      <c r="R13" s="3" t="s">
        <v>73</v>
      </c>
      <c r="S13" s="15">
        <f t="shared" si="5"/>
        <v>5243</v>
      </c>
      <c r="T13" s="15" t="str">
        <f t="shared" ca="1" si="0"/>
        <v xml:space="preserve"> </v>
      </c>
      <c r="U13" s="15" t="str">
        <f>_xlfn.IFS(AND(Tabla1[[#This Row],[MODELO]]=D13,Tabla1[[#This Row],[INTERV. MAT. (KM)]]=M13,Tabla1[[#This Row],[ACUM. PRÓX. MAT.]]&lt;=7999),"NORMALIDAD",Tabla1[[#This Row],[ACUM. PRÓX. MAT.]]&gt;=8000,"MANT.PRÓX.",Tabla1[[#This Row],[ACUM. PRÓX. MAT.]]&gt;=10000,"MANT.VENCIDO")</f>
        <v>NORMALIDAD</v>
      </c>
      <c r="V13" s="4">
        <v>155243</v>
      </c>
      <c r="W13" s="3">
        <v>45771</v>
      </c>
      <c r="X13" s="16">
        <f t="shared" si="7"/>
        <v>49.142857142857146</v>
      </c>
      <c r="Y13" s="16">
        <f ca="1">IFERROR(VLOOKUP('PARÁMETROS MANT.'!A21,'PARÁMETROS MANT.'!$A$2:$GH$35,AB13,FALSE),0)-Tabla1[[#This Row],[INTERV. MAT. (KM)]]</f>
        <v>150000</v>
      </c>
      <c r="Z13" s="15">
        <f ca="1">IFERROR(VLOOKUP('PARÁMETROS MANT.'!A21,'PARÁMETROS MANT.'!$A$2:$GH$35,AB13,FALSE),0)</f>
        <v>160000</v>
      </c>
      <c r="AA13" s="15" t="str">
        <f ca="1">IFERROR(VLOOKUP(Tabla1[[#This Row],[MODELO]],'PARÁMETROS MANT.'!$A$2:$GH$35,AB13,FALSE),0)</f>
        <v>SM2</v>
      </c>
      <c r="AB13" s="30">
        <f ca="1">IFERROR(MATCH(Tabla1[[#This Row],[KM ACTUAL]],INDIRECT(Tabla1[[#This Row],[BUSQUEDA DE MODELO EN PARAMETROS MANT.]],TRUE),1)+3,0)</f>
        <v>18</v>
      </c>
      <c r="AC13" s="4">
        <f>IFERROR(MATCH(Tabla1[[#This Row],[MODELO]],'PARÁMETROS MANT.'!$A$2:$A$35,0)+2,0)</f>
        <v>21</v>
      </c>
      <c r="AD13" s="4" t="str">
        <f>VLOOKUP(Tabla1[[#This Row],[MODELO]],'PARÁMETROS MANT.'!$A$1:$B$35,2,FALSE)</f>
        <v>'PARÁMETROS MANT.'!C21:GY21</v>
      </c>
      <c r="AE13" s="4" t="str">
        <f t="shared" ca="1" si="8"/>
        <v>R</v>
      </c>
      <c r="AF13" s="4" t="str">
        <f t="shared" ca="1" si="9"/>
        <v>'PARÁMETROS MANT.'!R21</v>
      </c>
      <c r="AG13" s="52">
        <f>Tabla1[[#This Row],[F. KM ACT.]]-Tabla1[[#This Row],[F. ULT. MANT.]]</f>
        <v>21</v>
      </c>
      <c r="AH13" s="52">
        <f>Tabla1[[#This Row],[KM ACTUAL]]-Tabla1[[#This Row],[KM ULT. MANT.]]</f>
        <v>1032</v>
      </c>
      <c r="AI13" s="113">
        <f t="shared" ca="1" si="6"/>
        <v>96.799418604648963</v>
      </c>
      <c r="AJ13" s="114">
        <f t="shared" ca="1" si="4"/>
        <v>45914.799418604649</v>
      </c>
    </row>
    <row r="14" spans="1:45" ht="15" customHeight="1" x14ac:dyDescent="0.25">
      <c r="A14" s="11">
        <v>395</v>
      </c>
      <c r="B14" s="12" t="s">
        <v>0</v>
      </c>
      <c r="C14" s="12" t="s">
        <v>99</v>
      </c>
      <c r="D14" s="15" t="s">
        <v>75</v>
      </c>
      <c r="E14" s="11" t="s">
        <v>105</v>
      </c>
      <c r="F14" s="11" t="s">
        <v>246</v>
      </c>
      <c r="G14" s="11" t="s">
        <v>176</v>
      </c>
      <c r="H14" s="58" t="s">
        <v>182</v>
      </c>
      <c r="I14" s="12" t="s">
        <v>117</v>
      </c>
      <c r="J14" s="12" t="s">
        <v>102</v>
      </c>
      <c r="K14" s="15">
        <v>2019</v>
      </c>
      <c r="L14" s="12" t="s">
        <v>102</v>
      </c>
      <c r="M14" s="15">
        <v>20000</v>
      </c>
      <c r="N14" s="28" t="s">
        <v>210</v>
      </c>
      <c r="O14" s="4">
        <v>140689</v>
      </c>
      <c r="P14" s="4">
        <f>ROUND(Tabla1[[#This Row],[KM ULT. MANT.]],-4)</f>
        <v>140000</v>
      </c>
      <c r="Q14" s="3">
        <v>45590</v>
      </c>
      <c r="R14" s="4" t="s">
        <v>8</v>
      </c>
      <c r="S14" s="15">
        <f t="shared" si="5"/>
        <v>13371</v>
      </c>
      <c r="T14" s="15">
        <f t="shared" ca="1" si="0"/>
        <v>-26629</v>
      </c>
      <c r="U14" s="15" t="str">
        <f>_xlfn.IFS(AND(Tabla1[[#This Row],[MODELO]]=D14,Tabla1[[#This Row],[INTERV. MAT. (KM)]]=M14,Tabla1[[#This Row],[ACUM. PRÓX. MAT.]]&lt;=14999),"NORMALIDAD",Tabla1[[#This Row],[ACUM. PRÓX. MAT.]]&lt;19999,"MANT.PRÓX.",Tabla1[[#This Row],[ACUM. PRÓX. MAT.]]&gt;=20000,"MANT.VENCIDO")</f>
        <v>NORMALIDAD</v>
      </c>
      <c r="V14" s="4">
        <v>153371</v>
      </c>
      <c r="W14" s="3">
        <v>45771</v>
      </c>
      <c r="X14" s="16">
        <f t="shared" si="7"/>
        <v>70.06629834254143</v>
      </c>
      <c r="Y14" s="16">
        <f ca="1">IFERROR(VLOOKUP('PARÁMETROS MANT.'!A25,'PARÁMETROS MANT.'!$A$2:$GH$35,AB14,FALSE),0)-Tabla1[[#This Row],[INTERV. MAT. (KM)]]</f>
        <v>140000</v>
      </c>
      <c r="Z14" s="15">
        <f ca="1">IFERROR(VLOOKUP('PARÁMETROS MANT.'!A25,'PARÁMETROS MANT.'!$A$2:$GH$35,AB14,FALSE),0)</f>
        <v>160000</v>
      </c>
      <c r="AA14" s="15" t="str">
        <f ca="1">IFERROR(VLOOKUP(Tabla1[[#This Row],[MODELO]],'PARÁMETROS MANT.'!$A$2:$GY$35,AB14,FALSE),0)</f>
        <v>SM2</v>
      </c>
      <c r="AB14" s="30">
        <f ca="1">IFERROR(MATCH(Tabla1[[#This Row],[KM ACTUAL]],INDIRECT(Tabla1[[#This Row],[BUSQUEDA DE MODELO EN PARAMETROS MANT.]],TRUE),1)+3,0)</f>
        <v>11</v>
      </c>
      <c r="AC14" s="4">
        <f>IFERROR(MATCH(Tabla1[[#This Row],[MODELO]],'PARÁMETROS MANT.'!$A$2:$A$35,0)+2,0)</f>
        <v>25</v>
      </c>
      <c r="AD14" s="4" t="str">
        <f>VLOOKUP(Tabla1[[#This Row],[MODELO]],'PARÁMETROS MANT.'!$A$1:$B$35,2,FALSE)</f>
        <v>'PARÁMETROS MANT.'!C25:DF25</v>
      </c>
      <c r="AE14" s="4" t="str">
        <f t="shared" ca="1" si="8"/>
        <v>K</v>
      </c>
      <c r="AF14" s="4" t="str">
        <f t="shared" ca="1" si="9"/>
        <v>'PARÁMETROS MANT.'!K25</v>
      </c>
      <c r="AG14" s="52">
        <f>Tabla1[[#This Row],[F. KM ACT.]]-Tabla1[[#This Row],[F. ULT. MANT.]]</f>
        <v>181</v>
      </c>
      <c r="AH14" s="52">
        <f>Tabla1[[#This Row],[KM ACTUAL]]-Tabla1[[#This Row],[KM ULT. MANT.]]</f>
        <v>12682</v>
      </c>
      <c r="AI14" s="113">
        <f t="shared" ca="1" si="6"/>
        <v>94.610392682545353</v>
      </c>
      <c r="AJ14" s="114">
        <f t="shared" ca="1" si="4"/>
        <v>45912.610392682545</v>
      </c>
    </row>
    <row r="15" spans="1:45" ht="15" customHeight="1" x14ac:dyDescent="0.25">
      <c r="A15" s="11">
        <v>396</v>
      </c>
      <c r="B15" s="12" t="s">
        <v>0</v>
      </c>
      <c r="C15" s="12" t="s">
        <v>99</v>
      </c>
      <c r="D15" s="15" t="s">
        <v>75</v>
      </c>
      <c r="E15" s="11" t="s">
        <v>105</v>
      </c>
      <c r="F15" s="11" t="s">
        <v>247</v>
      </c>
      <c r="G15" s="11" t="s">
        <v>177</v>
      </c>
      <c r="H15" s="58" t="s">
        <v>183</v>
      </c>
      <c r="I15" s="12" t="s">
        <v>117</v>
      </c>
      <c r="J15" s="12" t="s">
        <v>102</v>
      </c>
      <c r="K15" s="15">
        <v>2019</v>
      </c>
      <c r="L15" s="12" t="s">
        <v>102</v>
      </c>
      <c r="M15" s="15">
        <v>20000</v>
      </c>
      <c r="N15" s="28" t="s">
        <v>210</v>
      </c>
      <c r="O15" s="4">
        <v>179671</v>
      </c>
      <c r="P15" s="4">
        <f>ROUND(Tabla1[[#This Row],[KM ULT. MANT.]],-4)</f>
        <v>180000</v>
      </c>
      <c r="Q15" s="3">
        <v>45589</v>
      </c>
      <c r="R15" s="4" t="s">
        <v>10</v>
      </c>
      <c r="S15" s="15">
        <f t="shared" si="5"/>
        <v>14590</v>
      </c>
      <c r="T15" s="15">
        <f t="shared" ca="1" si="0"/>
        <v>-25410</v>
      </c>
      <c r="U15" s="15" t="str">
        <f>_xlfn.IFS(AND(Tabla1[[#This Row],[MODELO]]=D15,Tabla1[[#This Row],[INTERV. MAT. (KM)]]=M15,Tabla1[[#This Row],[ACUM. PRÓX. MAT.]]&lt;=14999),"NORMALIDAD",Tabla1[[#This Row],[ACUM. PRÓX. MAT.]]&lt;19999,"MANT.PRÓX.",Tabla1[[#This Row],[ACUM. PRÓX. MAT.]]&gt;=20000,"MANT.VENCIDO")</f>
        <v>NORMALIDAD</v>
      </c>
      <c r="V15" s="4">
        <v>194590</v>
      </c>
      <c r="W15" s="3">
        <v>45771</v>
      </c>
      <c r="X15" s="16">
        <f t="shared" si="7"/>
        <v>81.972527472527474</v>
      </c>
      <c r="Y15" s="16">
        <f ca="1">IFERROR(VLOOKUP('PARÁMETROS MANT.'!A25,'PARÁMETROS MANT.'!$A$2:$GH$35,AB15,FALSE),0)-Tabla1[[#This Row],[INTERV. MAT. (KM)]]</f>
        <v>180000</v>
      </c>
      <c r="Z15" s="15">
        <f ca="1">IFERROR(VLOOKUP('PARÁMETROS MANT.'!A25,'PARÁMETROS MANT.'!$A$2:$GH$35,AB15,FALSE),0)</f>
        <v>200000</v>
      </c>
      <c r="AA15" s="15" t="str">
        <f ca="1">IFERROR(VLOOKUP(Tabla1[[#This Row],[MODELO]],'PARÁMETROS MANT.'!$A$2:$GY$35,AB15,FALSE),0)</f>
        <v>SM2</v>
      </c>
      <c r="AB15" s="30">
        <f ca="1">IFERROR(MATCH(Tabla1[[#This Row],[KM ACTUAL]],INDIRECT(Tabla1[[#This Row],[BUSQUEDA DE MODELO EN PARAMETROS MANT.]],TRUE),1)+3,0)</f>
        <v>13</v>
      </c>
      <c r="AC15" s="4">
        <f>IFERROR(MATCH(Tabla1[[#This Row],[MODELO]],'PARÁMETROS MANT.'!$A$2:$A$35,0)+2,0)</f>
        <v>25</v>
      </c>
      <c r="AD15" s="4" t="str">
        <f>VLOOKUP(Tabla1[[#This Row],[MODELO]],'PARÁMETROS MANT.'!$A$1:$B$35,2,FALSE)</f>
        <v>'PARÁMETROS MANT.'!C25:DF25</v>
      </c>
      <c r="AE15" s="4" t="str">
        <f t="shared" ca="1" si="8"/>
        <v>M</v>
      </c>
      <c r="AF15" s="4" t="str">
        <f t="shared" ca="1" si="9"/>
        <v>'PARÁMETROS MANT.'!M25</v>
      </c>
      <c r="AG15" s="52">
        <f>Tabla1[[#This Row],[F. KM ACT.]]-Tabla1[[#This Row],[F. ULT. MANT.]]</f>
        <v>182</v>
      </c>
      <c r="AH15" s="52">
        <f>Tabla1[[#This Row],[KM ACTUAL]]-Tabla1[[#This Row],[KM ULT. MANT.]]</f>
        <v>14919</v>
      </c>
      <c r="AI15" s="113">
        <f t="shared" ca="1" si="6"/>
        <v>65.997721026877116</v>
      </c>
      <c r="AJ15" s="114">
        <f t="shared" ca="1" si="4"/>
        <v>45883.997721026877</v>
      </c>
    </row>
    <row r="16" spans="1:45" ht="15" customHeight="1" x14ac:dyDescent="0.25">
      <c r="A16" s="11">
        <v>401</v>
      </c>
      <c r="B16" s="12" t="s">
        <v>0</v>
      </c>
      <c r="C16" s="15" t="s">
        <v>194</v>
      </c>
      <c r="D16" s="15" t="s">
        <v>197</v>
      </c>
      <c r="E16" s="11" t="s">
        <v>105</v>
      </c>
      <c r="F16" s="18" t="s">
        <v>252</v>
      </c>
      <c r="G16" s="18" t="s">
        <v>195</v>
      </c>
      <c r="H16" s="11">
        <v>8372441</v>
      </c>
      <c r="I16" s="12" t="s">
        <v>117</v>
      </c>
      <c r="J16" s="12" t="s">
        <v>102</v>
      </c>
      <c r="K16" s="24">
        <v>2021</v>
      </c>
      <c r="L16" s="12" t="s">
        <v>102</v>
      </c>
      <c r="M16" s="15">
        <v>20000</v>
      </c>
      <c r="N16" s="28" t="s">
        <v>210</v>
      </c>
      <c r="O16" s="26">
        <v>178555</v>
      </c>
      <c r="P16" s="4">
        <f>ROUND(Tabla1[[#This Row],[KM ULT. MANT.]],-4)</f>
        <v>180000</v>
      </c>
      <c r="Q16" s="3" t="s">
        <v>473</v>
      </c>
      <c r="R16" s="3" t="s">
        <v>221</v>
      </c>
      <c r="S16" s="15">
        <f t="shared" si="5"/>
        <v>722</v>
      </c>
      <c r="T16" s="15" t="str">
        <f t="shared" ca="1" si="0"/>
        <v xml:space="preserve"> </v>
      </c>
      <c r="U16" s="15" t="str">
        <f>_xlfn.IFS(AND(Tabla1[[#This Row],[MODELO]]=D16,Tabla1[[#This Row],[INTERV. MAT. (KM)]]=M16,Tabla1[[#This Row],[ACUM. PRÓX. MAT.]]&lt;=14999),"NORMALIDAD",Tabla1[[#This Row],[ACUM. PRÓX. MAT.]]&lt;19999,"MANT.PRÓX.",Tabla1[[#This Row],[ACUM. PRÓX. MAT.]]&gt;=20000,"MANT.VENCIDO")</f>
        <v>NORMALIDAD</v>
      </c>
      <c r="V16" s="26">
        <v>180722</v>
      </c>
      <c r="W16" s="3">
        <v>45771</v>
      </c>
      <c r="X16" s="47">
        <f t="shared" ref="X16:X23" si="10">IFERROR(AH16/AG16,0)</f>
        <v>0</v>
      </c>
      <c r="Y16" s="16">
        <f ca="1">IFERROR(VLOOKUP('PARÁMETROS MANT.'!A9,'PARÁMETROS MANT.'!$A$2:$GH$35,AB16,FALSE),0)-Tabla1[[#This Row],[INTERV. MAT. (KM)]]</f>
        <v>180000</v>
      </c>
      <c r="Z16" s="15">
        <f ca="1">IFERROR(VLOOKUP('PARÁMETROS MANT.'!A9,'PARÁMETROS MANT.'!$A$2:$GH$35,AB16,FALSE),0)</f>
        <v>200000</v>
      </c>
      <c r="AA16" s="24" t="str">
        <f ca="1">IFERROR(VLOOKUP(Tabla1[[#This Row],[MODELO]],'PARÁMETROS MANT.'!$A$2:$GY$35,AB16,FALSE),0)</f>
        <v>M</v>
      </c>
      <c r="AB16" s="30">
        <f ca="1">IFERROR(MATCH(Tabla1[[#This Row],[KM ACTUAL]],INDIRECT(Tabla1[[#This Row],[BUSQUEDA DE MODELO EN PARAMETROS MANT.]],TRUE),1)+3,0)</f>
        <v>12</v>
      </c>
      <c r="AC16" s="4">
        <f>IFERROR(MATCH(Tabla1[[#This Row],[MODELO]],'PARÁMETROS MANT.'!$A$2:$A$35,0)+2,0)</f>
        <v>9</v>
      </c>
      <c r="AD16" s="4" t="str">
        <f>VLOOKUP(Tabla1[[#This Row],[MODELO]],'PARÁMETROS MANT.'!$A$1:$B$35,2,FALSE)</f>
        <v>'PARÁMETROS MANT.'!C9:GY9</v>
      </c>
      <c r="AE16" s="26" t="str">
        <f t="shared" ca="1" si="8"/>
        <v>L</v>
      </c>
      <c r="AF16" s="26" t="str">
        <f t="shared" ref="AF16:AF23" ca="1" si="11">CONCATENATE("'PARÁMETROS MANT.'!"&amp;AE16,AC16)</f>
        <v>'PARÁMETROS MANT.'!L9</v>
      </c>
      <c r="AG16" s="52" t="e">
        <f>Tabla1[[#This Row],[F. KM ACT.]]-Tabla1[[#This Row],[F. ULT. MANT.]]</f>
        <v>#VALUE!</v>
      </c>
      <c r="AH16" s="52">
        <f>Tabla1[[#This Row],[KM ACTUAL]]-Tabla1[[#This Row],[KM ULT. MANT.]]</f>
        <v>2167</v>
      </c>
      <c r="AI16" s="113">
        <f t="shared" ca="1" si="6"/>
        <v>-45818</v>
      </c>
      <c r="AJ16" s="114">
        <f t="shared" ca="1" si="4"/>
        <v>0</v>
      </c>
    </row>
    <row r="17" spans="1:45" ht="15" customHeight="1" x14ac:dyDescent="0.25">
      <c r="A17" s="11">
        <v>402</v>
      </c>
      <c r="B17" s="12" t="s">
        <v>0</v>
      </c>
      <c r="C17" s="15" t="s">
        <v>194</v>
      </c>
      <c r="D17" s="15" t="s">
        <v>197</v>
      </c>
      <c r="E17" s="11" t="s">
        <v>105</v>
      </c>
      <c r="F17" s="18" t="s">
        <v>253</v>
      </c>
      <c r="G17" s="18" t="s">
        <v>196</v>
      </c>
      <c r="H17" s="11">
        <v>8372437</v>
      </c>
      <c r="I17" s="12" t="s">
        <v>117</v>
      </c>
      <c r="J17" s="12" t="s">
        <v>102</v>
      </c>
      <c r="K17" s="24">
        <v>2021</v>
      </c>
      <c r="L17" s="12" t="s">
        <v>102</v>
      </c>
      <c r="M17" s="15">
        <v>20000</v>
      </c>
      <c r="N17" s="28" t="s">
        <v>210</v>
      </c>
      <c r="O17" s="26">
        <v>180362</v>
      </c>
      <c r="P17" s="4">
        <f>ROUND(Tabla1[[#This Row],[KM ULT. MANT.]],-4)</f>
        <v>180000</v>
      </c>
      <c r="Q17" s="25">
        <v>45649</v>
      </c>
      <c r="R17" s="3" t="s">
        <v>221</v>
      </c>
      <c r="S17" s="15">
        <f t="shared" si="5"/>
        <v>10290</v>
      </c>
      <c r="T17" s="15" t="str">
        <f t="shared" ca="1" si="0"/>
        <v xml:space="preserve"> </v>
      </c>
      <c r="U17" s="15" t="str">
        <f>_xlfn.IFS(AND(Tabla1[[#This Row],[MODELO]]=D17,Tabla1[[#This Row],[INTERV. MAT. (KM)]]=M17,Tabla1[[#This Row],[ACUM. PRÓX. MAT.]]&lt;=14999),"NORMALIDAD",Tabla1[[#This Row],[ACUM. PRÓX. MAT.]]&lt;19999,"MANT.PRÓX.",Tabla1[[#This Row],[ACUM. PRÓX. MAT.]]&gt;=20000,"MANT.VENCIDO")</f>
        <v>NORMALIDAD</v>
      </c>
      <c r="V17" s="26">
        <v>190290</v>
      </c>
      <c r="W17" s="3">
        <v>45771</v>
      </c>
      <c r="X17" s="47">
        <f t="shared" si="10"/>
        <v>81.377049180327873</v>
      </c>
      <c r="Y17" s="16">
        <f ca="1">IFERROR(VLOOKUP('PARÁMETROS MANT.'!A9,'PARÁMETROS MANT.'!$A$2:$GH$35,AB17,FALSE),0)-Tabla1[[#This Row],[INTERV. MAT. (KM)]]</f>
        <v>180000</v>
      </c>
      <c r="Z17" s="15">
        <f ca="1">IFERROR(VLOOKUP('PARÁMETROS MANT.'!A9,'PARÁMETROS MANT.'!$A$2:$GH$35,AB17,FALSE),0)</f>
        <v>200000</v>
      </c>
      <c r="AA17" s="24" t="str">
        <f ca="1">IFERROR(VLOOKUP(Tabla1[[#This Row],[MODELO]],'PARÁMETROS MANT.'!$A$2:$GY$35,AB17,FALSE),0)</f>
        <v>M</v>
      </c>
      <c r="AB17" s="30">
        <f ca="1">IFERROR(MATCH(Tabla1[[#This Row],[KM ACTUAL]],INDIRECT(Tabla1[[#This Row],[BUSQUEDA DE MODELO EN PARAMETROS MANT.]],TRUE),1)+3,0)</f>
        <v>12</v>
      </c>
      <c r="AC17" s="4">
        <f>IFERROR(MATCH(Tabla1[[#This Row],[MODELO]],'PARÁMETROS MANT.'!$A$2:$A$35,0)+2,0)</f>
        <v>9</v>
      </c>
      <c r="AD17" s="4" t="str">
        <f>VLOOKUP(Tabla1[[#This Row],[MODELO]],'PARÁMETROS MANT.'!$A$1:$B$35,2,FALSE)</f>
        <v>'PARÁMETROS MANT.'!C9:GY9</v>
      </c>
      <c r="AE17" s="26" t="str">
        <f t="shared" ref="AE17:AE23" ca="1" si="12">IFERROR(SUBSTITUTE(ADDRESS(1,AB17,4),"1",""),0)</f>
        <v>L</v>
      </c>
      <c r="AF17" s="26" t="str">
        <f t="shared" ca="1" si="11"/>
        <v>'PARÁMETROS MANT.'!L9</v>
      </c>
      <c r="AG17" s="52">
        <f>Tabla1[[#This Row],[F. KM ACT.]]-Tabla1[[#This Row],[F. ULT. MANT.]]</f>
        <v>122</v>
      </c>
      <c r="AH17" s="52">
        <f>Tabla1[[#This Row],[KM ACTUAL]]-Tabla1[[#This Row],[KM ULT. MANT.]]</f>
        <v>9928</v>
      </c>
      <c r="AI17" s="113">
        <f t="shared" ca="1" si="6"/>
        <v>119.32111200644431</v>
      </c>
      <c r="AJ17" s="114">
        <f t="shared" ca="1" si="4"/>
        <v>45937.321112006444</v>
      </c>
    </row>
    <row r="18" spans="1:45" ht="15" customHeight="1" x14ac:dyDescent="0.25">
      <c r="A18" s="11">
        <v>403</v>
      </c>
      <c r="B18" s="12" t="s">
        <v>0</v>
      </c>
      <c r="C18" s="12" t="s">
        <v>99</v>
      </c>
      <c r="D18" s="15" t="s">
        <v>75</v>
      </c>
      <c r="E18" s="11" t="s">
        <v>105</v>
      </c>
      <c r="F18" s="18" t="s">
        <v>254</v>
      </c>
      <c r="G18" s="18" t="s">
        <v>199</v>
      </c>
      <c r="H18" s="11" t="s">
        <v>215</v>
      </c>
      <c r="I18" s="12" t="s">
        <v>117</v>
      </c>
      <c r="J18" s="12" t="s">
        <v>102</v>
      </c>
      <c r="K18" s="24">
        <v>2021</v>
      </c>
      <c r="L18" s="12" t="s">
        <v>102</v>
      </c>
      <c r="M18" s="15">
        <v>20000</v>
      </c>
      <c r="N18" s="28" t="s">
        <v>210</v>
      </c>
      <c r="O18" s="26">
        <v>179616</v>
      </c>
      <c r="P18" s="4">
        <f>ROUND(Tabla1[[#This Row],[KM ULT. MANT.]],-4)</f>
        <v>180000</v>
      </c>
      <c r="Q18" s="25">
        <v>45569</v>
      </c>
      <c r="R18" s="3" t="s">
        <v>10</v>
      </c>
      <c r="S18" s="15">
        <f t="shared" si="5"/>
        <v>18682</v>
      </c>
      <c r="T18" s="15">
        <f t="shared" ca="1" si="0"/>
        <v>-21318</v>
      </c>
      <c r="U18" s="15" t="str">
        <f>_xlfn.IFS(AND(Tabla1[[#This Row],[MODELO]]=D18,Tabla1[[#This Row],[INTERV. MAT. (KM)]]=M18,Tabla1[[#This Row],[ACUM. PRÓX. MAT.]]&lt;=14999),"NORMALIDAD",Tabla1[[#This Row],[ACUM. PRÓX. MAT.]]&lt;19999,"MANT.PRÓX.",Tabla1[[#This Row],[ACUM. PRÓX. MAT.]]&gt;=20000,"MANT.VENCIDO")</f>
        <v>MANT.PRÓX.</v>
      </c>
      <c r="V18" s="4">
        <v>198682</v>
      </c>
      <c r="W18" s="3">
        <v>45771</v>
      </c>
      <c r="X18" s="47">
        <f t="shared" si="10"/>
        <v>94.386138613861391</v>
      </c>
      <c r="Y18" s="16">
        <f ca="1">IFERROR(VLOOKUP('PARÁMETROS MANT.'!A25,'PARÁMETROS MANT.'!$A$2:$GH$35,AB18,FALSE),0)-Tabla1[[#This Row],[INTERV. MAT. (KM)]]</f>
        <v>180000</v>
      </c>
      <c r="Z18" s="15">
        <f ca="1">IFERROR(VLOOKUP('PARÁMETROS MANT.'!A25,'PARÁMETROS MANT.'!$A$2:$GH$35,AB18,FALSE),0)</f>
        <v>200000</v>
      </c>
      <c r="AA18" s="24" t="str">
        <f ca="1">IFERROR(VLOOKUP(Tabla1[[#This Row],[MODELO]],'PARÁMETROS MANT.'!$A$2:$GY$35,AB18,FALSE),0)</f>
        <v>SM2</v>
      </c>
      <c r="AB18" s="30">
        <f ca="1">IFERROR(MATCH(Tabla1[[#This Row],[KM ACTUAL]],INDIRECT(Tabla1[[#This Row],[BUSQUEDA DE MODELO EN PARAMETROS MANT.]],TRUE),1)+3,0)</f>
        <v>13</v>
      </c>
      <c r="AC18" s="26">
        <f>IFERROR(MATCH(Tabla1[[#This Row],[MODELO]],'PARÁMETROS MANT.'!$A$2:$A$35,0)+2,0)</f>
        <v>25</v>
      </c>
      <c r="AD18" s="4" t="str">
        <f>VLOOKUP(Tabla1[[#This Row],[MODELO]],'PARÁMETROS MANT.'!$A$1:$B$35,2,FALSE)</f>
        <v>'PARÁMETROS MANT.'!C25:DF25</v>
      </c>
      <c r="AE18" s="26" t="str">
        <f t="shared" ca="1" si="12"/>
        <v>M</v>
      </c>
      <c r="AF18" s="26" t="str">
        <f t="shared" ca="1" si="11"/>
        <v>'PARÁMETROS MANT.'!M25</v>
      </c>
      <c r="AG18" s="52">
        <f>Tabla1[[#This Row],[F. KM ACT.]]-Tabla1[[#This Row],[F. ULT. MANT.]]</f>
        <v>202</v>
      </c>
      <c r="AH18" s="52">
        <f>Tabla1[[#This Row],[KM ACTUAL]]-Tabla1[[#This Row],[KM ULT. MANT.]]</f>
        <v>19066</v>
      </c>
      <c r="AI18" s="113">
        <f t="shared" ca="1" si="6"/>
        <v>13.963914822197694</v>
      </c>
      <c r="AJ18" s="114">
        <f t="shared" ca="1" si="4"/>
        <v>45831.963914822198</v>
      </c>
    </row>
    <row r="19" spans="1:45" ht="15" customHeight="1" x14ac:dyDescent="0.25">
      <c r="A19" s="11">
        <v>404</v>
      </c>
      <c r="B19" s="12" t="s">
        <v>0</v>
      </c>
      <c r="C19" s="12" t="s">
        <v>99</v>
      </c>
      <c r="D19" s="15" t="s">
        <v>75</v>
      </c>
      <c r="E19" s="11" t="s">
        <v>105</v>
      </c>
      <c r="F19" s="18" t="s">
        <v>255</v>
      </c>
      <c r="G19" s="18" t="s">
        <v>198</v>
      </c>
      <c r="H19" s="11" t="s">
        <v>216</v>
      </c>
      <c r="I19" s="12" t="s">
        <v>117</v>
      </c>
      <c r="J19" s="12" t="s">
        <v>102</v>
      </c>
      <c r="K19" s="23">
        <v>2021</v>
      </c>
      <c r="L19" s="12" t="s">
        <v>102</v>
      </c>
      <c r="M19" s="15">
        <v>20000</v>
      </c>
      <c r="N19" s="28" t="s">
        <v>210</v>
      </c>
      <c r="O19" s="46">
        <v>179219</v>
      </c>
      <c r="P19" s="4">
        <f>ROUND(Tabla1[[#This Row],[KM ULT. MANT.]],-4)</f>
        <v>180000</v>
      </c>
      <c r="Q19" s="25">
        <v>45631</v>
      </c>
      <c r="R19" s="3" t="s">
        <v>10</v>
      </c>
      <c r="S19" s="15">
        <f t="shared" si="5"/>
        <v>11169</v>
      </c>
      <c r="T19" s="15">
        <f t="shared" ca="1" si="0"/>
        <v>-28831</v>
      </c>
      <c r="U19" s="15" t="str">
        <f>_xlfn.IFS(AND(Tabla1[[#This Row],[MODELO]]=D19,Tabla1[[#This Row],[INTERV. MAT. (KM)]]=M19,Tabla1[[#This Row],[ACUM. PRÓX. MAT.]]&lt;=14999),"NORMALIDAD",Tabla1[[#This Row],[ACUM. PRÓX. MAT.]]&lt;19999,"MANT.PRÓX.",Tabla1[[#This Row],[ACUM. PRÓX. MAT.]]&gt;=20000,"MANT.VENCIDO")</f>
        <v>NORMALIDAD</v>
      </c>
      <c r="V19" s="4">
        <v>191169</v>
      </c>
      <c r="W19" s="3">
        <v>45771</v>
      </c>
      <c r="X19" s="47">
        <f t="shared" si="10"/>
        <v>85.357142857142861</v>
      </c>
      <c r="Y19" s="16">
        <f ca="1">IFERROR(VLOOKUP('PARÁMETROS MANT.'!A25,'PARÁMETROS MANT.'!$A$2:$GH$35,AB19,FALSE),0)-Tabla1[[#This Row],[INTERV. MAT. (KM)]]</f>
        <v>180000</v>
      </c>
      <c r="Z19" s="15">
        <f ca="1">IFERROR(VLOOKUP('PARÁMETROS MANT.'!A25,'PARÁMETROS MANT.'!$A$2:$GH$35,AB19,FALSE),0)</f>
        <v>200000</v>
      </c>
      <c r="AA19" s="24" t="str">
        <f ca="1">IFERROR(VLOOKUP(Tabla1[[#This Row],[MODELO]],'PARÁMETROS MANT.'!$A$2:$GY$35,AB19,FALSE),0)</f>
        <v>SM2</v>
      </c>
      <c r="AB19" s="30">
        <f ca="1">IFERROR(MATCH(Tabla1[[#This Row],[KM ACTUAL]],INDIRECT(Tabla1[[#This Row],[BUSQUEDA DE MODELO EN PARAMETROS MANT.]],TRUE),1)+3,0)</f>
        <v>13</v>
      </c>
      <c r="AC19" s="26">
        <f>IFERROR(MATCH(Tabla1[[#This Row],[MODELO]],'PARÁMETROS MANT.'!$A$2:$A$35,0)+2,0)</f>
        <v>25</v>
      </c>
      <c r="AD19" s="4" t="str">
        <f>VLOOKUP(Tabla1[[#This Row],[MODELO]],'PARÁMETROS MANT.'!$A$1:$B$35,2,FALSE)</f>
        <v>'PARÁMETROS MANT.'!C25:DF25</v>
      </c>
      <c r="AE19" s="26" t="str">
        <f t="shared" ca="1" si="12"/>
        <v>M</v>
      </c>
      <c r="AF19" s="26" t="str">
        <f t="shared" ca="1" si="11"/>
        <v>'PARÁMETROS MANT.'!M25</v>
      </c>
      <c r="AG19" s="52">
        <f>Tabla1[[#This Row],[F. KM ACT.]]-Tabla1[[#This Row],[F. ULT. MANT.]]</f>
        <v>140</v>
      </c>
      <c r="AH19" s="52">
        <f>Tabla1[[#This Row],[KM ACTUAL]]-Tabla1[[#This Row],[KM ULT. MANT.]]</f>
        <v>11950</v>
      </c>
      <c r="AI19" s="113">
        <f t="shared" ca="1" si="6"/>
        <v>103.45941422594478</v>
      </c>
      <c r="AJ19" s="114">
        <f t="shared" ca="1" si="4"/>
        <v>45921.459414225945</v>
      </c>
    </row>
    <row r="20" spans="1:45" ht="15" customHeight="1" x14ac:dyDescent="0.25">
      <c r="A20" s="11">
        <v>405</v>
      </c>
      <c r="B20" s="15" t="s">
        <v>0</v>
      </c>
      <c r="C20" s="12" t="s">
        <v>99</v>
      </c>
      <c r="D20" s="15" t="s">
        <v>75</v>
      </c>
      <c r="E20" s="11" t="s">
        <v>105</v>
      </c>
      <c r="F20" s="18" t="s">
        <v>256</v>
      </c>
      <c r="G20" s="18" t="s">
        <v>206</v>
      </c>
      <c r="H20" s="11" t="s">
        <v>217</v>
      </c>
      <c r="I20" s="12" t="s">
        <v>117</v>
      </c>
      <c r="J20" s="12" t="s">
        <v>102</v>
      </c>
      <c r="K20" s="55">
        <v>2021</v>
      </c>
      <c r="L20" s="12" t="s">
        <v>102</v>
      </c>
      <c r="M20" s="15">
        <v>20000</v>
      </c>
      <c r="N20" s="4" t="s">
        <v>210</v>
      </c>
      <c r="O20" s="48">
        <v>160223</v>
      </c>
      <c r="P20" s="4">
        <f>ROUND(Tabla1[[#This Row],[KM ULT. MANT.]],-4)</f>
        <v>160000</v>
      </c>
      <c r="Q20" s="49">
        <v>45659</v>
      </c>
      <c r="R20" s="3" t="s">
        <v>9</v>
      </c>
      <c r="S20" s="15">
        <f t="shared" si="5"/>
        <v>8914</v>
      </c>
      <c r="T20" s="15" t="str">
        <f t="shared" ca="1" si="0"/>
        <v xml:space="preserve"> </v>
      </c>
      <c r="U20" s="15" t="str">
        <f>_xlfn.IFS(AND(Tabla1[[#This Row],[MODELO]]=D20,Tabla1[[#This Row],[INTERV. MAT. (KM)]]=M20,Tabla1[[#This Row],[ACUM. PRÓX. MAT.]]&lt;=14999),"NORMALIDAD",Tabla1[[#This Row],[ACUM. PRÓX. MAT.]]&lt;19999,"MANT.PRÓX.",Tabla1[[#This Row],[ACUM. PRÓX. MAT.]]&gt;=20000,"MANT.VENCIDO")</f>
        <v>NORMALIDAD</v>
      </c>
      <c r="V20" s="4">
        <v>168914</v>
      </c>
      <c r="W20" s="3">
        <v>45771</v>
      </c>
      <c r="X20" s="53">
        <f t="shared" si="10"/>
        <v>77.598214285714292</v>
      </c>
      <c r="Y20" s="16">
        <f ca="1">IFERROR(VLOOKUP('PARÁMETROS MANT.'!A25,'PARÁMETROS MANT.'!$A$2:$GH$35,AB20,FALSE),0)-Tabla1[[#This Row],[INTERV. MAT. (KM)]]</f>
        <v>160000</v>
      </c>
      <c r="Z20" s="15">
        <f ca="1">IFERROR(VLOOKUP('PARÁMETROS MANT.'!A25,'PARÁMETROS MANT.'!$A$2:$GH$35,AB20,FALSE),0)</f>
        <v>180000</v>
      </c>
      <c r="AA20" s="54" t="str">
        <f ca="1">IFERROR(VLOOKUP(Tabla1[[#This Row],[MODELO]],'PARÁMETROS MANT.'!$A$2:$GY$35,AB20,FALSE),0)</f>
        <v>SM3</v>
      </c>
      <c r="AB20" s="30">
        <f ca="1">IFERROR(MATCH(Tabla1[[#This Row],[KM ACTUAL]],INDIRECT(Tabla1[[#This Row],[BUSQUEDA DE MODELO EN PARAMETROS MANT.]],TRUE),1)+3,0)</f>
        <v>12</v>
      </c>
      <c r="AC20" s="51">
        <f>IFERROR(MATCH(Tabla1[[#This Row],[MODELO]],'PARÁMETROS MANT.'!$A$2:$A$35,0)+2,0)</f>
        <v>25</v>
      </c>
      <c r="AD20" s="4" t="str">
        <f>VLOOKUP(Tabla1[[#This Row],[MODELO]],'PARÁMETROS MANT.'!$A$1:$B$35,2,FALSE)</f>
        <v>'PARÁMETROS MANT.'!C25:DF25</v>
      </c>
      <c r="AE20" s="51" t="str">
        <f t="shared" ca="1" si="12"/>
        <v>L</v>
      </c>
      <c r="AF20" s="51" t="str">
        <f t="shared" ca="1" si="11"/>
        <v>'PARÁMETROS MANT.'!L25</v>
      </c>
      <c r="AG20" s="52">
        <f>Tabla1[[#This Row],[F. KM ACT.]]-Tabla1[[#This Row],[F. ULT. MANT.]]</f>
        <v>112</v>
      </c>
      <c r="AH20" s="52">
        <f>Tabla1[[#This Row],[KM ACTUAL]]-Tabla1[[#This Row],[KM ULT. MANT.]]</f>
        <v>8691</v>
      </c>
      <c r="AI20" s="113">
        <f t="shared" ca="1" si="6"/>
        <v>142.86411230007798</v>
      </c>
      <c r="AJ20" s="114">
        <f t="shared" ca="1" si="4"/>
        <v>45960.864112300078</v>
      </c>
      <c r="AO20" s="69"/>
    </row>
    <row r="21" spans="1:45" ht="15" customHeight="1" x14ac:dyDescent="0.25">
      <c r="A21" s="55">
        <v>406</v>
      </c>
      <c r="B21" s="18" t="s">
        <v>0</v>
      </c>
      <c r="C21" s="12" t="s">
        <v>99</v>
      </c>
      <c r="D21" s="18" t="s">
        <v>75</v>
      </c>
      <c r="E21" s="11" t="s">
        <v>105</v>
      </c>
      <c r="F21" s="18" t="s">
        <v>257</v>
      </c>
      <c r="G21" s="15" t="s">
        <v>207</v>
      </c>
      <c r="H21" s="11" t="s">
        <v>218</v>
      </c>
      <c r="I21" s="12" t="s">
        <v>117</v>
      </c>
      <c r="J21" s="12" t="s">
        <v>102</v>
      </c>
      <c r="K21" s="55">
        <v>2021</v>
      </c>
      <c r="L21" s="12" t="s">
        <v>102</v>
      </c>
      <c r="M21" s="54">
        <v>20000</v>
      </c>
      <c r="N21" s="4" t="s">
        <v>210</v>
      </c>
      <c r="O21" s="48">
        <v>199515</v>
      </c>
      <c r="P21" s="4">
        <f>ROUND(Tabla1[[#This Row],[KM ULT. MANT.]],-4)</f>
        <v>200000</v>
      </c>
      <c r="Q21" s="49">
        <v>45688</v>
      </c>
      <c r="R21" s="4" t="s">
        <v>9</v>
      </c>
      <c r="S21" s="15">
        <f t="shared" si="5"/>
        <v>10526</v>
      </c>
      <c r="T21" s="15" t="str">
        <f t="shared" ca="1" si="0"/>
        <v xml:space="preserve"> </v>
      </c>
      <c r="U21" s="15" t="str">
        <f>_xlfn.IFS(AND(Tabla1[[#This Row],[MODELO]]=D21,Tabla1[[#This Row],[INTERV. MAT. (KM)]]=M21,Tabla1[[#This Row],[ACUM. PRÓX. MAT.]]&lt;=14999),"NORMALIDAD",Tabla1[[#This Row],[ACUM. PRÓX. MAT.]]&lt;19999,"MANT.PRÓX.",Tabla1[[#This Row],[ACUM. PRÓX. MAT.]]&gt;=20000,"MANT.VENCIDO")</f>
        <v>NORMALIDAD</v>
      </c>
      <c r="V21" s="39">
        <v>210526</v>
      </c>
      <c r="W21" s="3">
        <v>45771</v>
      </c>
      <c r="X21" s="53">
        <f t="shared" si="10"/>
        <v>132.66265060240963</v>
      </c>
      <c r="Y21" s="16">
        <f ca="1">IFERROR(VLOOKUP('PARÁMETROS MANT.'!A25,'PARÁMETROS MANT.'!$A$2:$GH$35,AB21,FALSE),0)-Tabla1[[#This Row],[INTERV. MAT. (KM)]]</f>
        <v>200000</v>
      </c>
      <c r="Z21" s="15">
        <f ca="1">IFERROR(VLOOKUP('PARÁMETROS MANT.'!A25,'PARÁMETROS MANT.'!$A$2:$GH$35,AB21,FALSE),0)</f>
        <v>220000</v>
      </c>
      <c r="AA21" s="18" t="str">
        <f ca="1">IFERROR(VLOOKUP(Tabla1[[#This Row],[MODELO]],'PARÁMETROS MANT.'!$A$2:$GY$35,AB21,FALSE),0)</f>
        <v>SM1</v>
      </c>
      <c r="AB21" s="30">
        <f ca="1">IFERROR(MATCH(Tabla1[[#This Row],[KM ACTUAL]],INDIRECT(Tabla1[[#This Row],[BUSQUEDA DE MODELO EN PARAMETROS MANT.]],TRUE),1)+3,0)</f>
        <v>14</v>
      </c>
      <c r="AC21" s="4">
        <f>IFERROR(MATCH(Tabla1[[#This Row],[MODELO]],'PARÁMETROS MANT.'!$A$2:$A$35,0)+2,0)</f>
        <v>25</v>
      </c>
      <c r="AD21" s="4" t="str">
        <f>VLOOKUP(Tabla1[[#This Row],[MODELO]],'PARÁMETROS MANT.'!$A$1:$B$35,2,FALSE)</f>
        <v>'PARÁMETROS MANT.'!C25:DF25</v>
      </c>
      <c r="AE21" s="48" t="str">
        <f t="shared" ca="1" si="12"/>
        <v>N</v>
      </c>
      <c r="AF21" s="49" t="str">
        <f t="shared" ca="1" si="11"/>
        <v>'PARÁMETROS MANT.'!N25</v>
      </c>
      <c r="AG21" s="52">
        <f>Tabla1[[#This Row],[F. KM ACT.]]-Tabla1[[#This Row],[F. ULT. MANT.]]</f>
        <v>83</v>
      </c>
      <c r="AH21" s="52">
        <f>Tabla1[[#This Row],[KM ACTUAL]]-Tabla1[[#This Row],[KM ULT. MANT.]]</f>
        <v>11011</v>
      </c>
      <c r="AI21" s="113">
        <f t="shared" ca="1" si="6"/>
        <v>71.414222141494974</v>
      </c>
      <c r="AJ21" s="114">
        <f t="shared" ca="1" si="4"/>
        <v>45889.414222141495</v>
      </c>
      <c r="AK21" s="50"/>
    </row>
    <row r="22" spans="1:45" ht="15" customHeight="1" x14ac:dyDescent="0.25">
      <c r="A22" s="55">
        <v>407</v>
      </c>
      <c r="B22" s="55" t="s">
        <v>0</v>
      </c>
      <c r="C22" s="12" t="s">
        <v>99</v>
      </c>
      <c r="D22" s="18" t="s">
        <v>75</v>
      </c>
      <c r="E22" s="11" t="s">
        <v>105</v>
      </c>
      <c r="F22" s="18" t="s">
        <v>258</v>
      </c>
      <c r="G22" s="15" t="s">
        <v>208</v>
      </c>
      <c r="H22" s="11" t="s">
        <v>219</v>
      </c>
      <c r="I22" s="12" t="s">
        <v>117</v>
      </c>
      <c r="J22" s="12" t="s">
        <v>102</v>
      </c>
      <c r="K22" s="55">
        <v>2021</v>
      </c>
      <c r="L22" s="12" t="s">
        <v>102</v>
      </c>
      <c r="M22" s="54">
        <v>20000</v>
      </c>
      <c r="N22" s="4" t="s">
        <v>210</v>
      </c>
      <c r="O22" s="48">
        <v>179396</v>
      </c>
      <c r="P22" s="4">
        <f>ROUND(Tabla1[[#This Row],[KM ULT. MANT.]],-4)</f>
        <v>180000</v>
      </c>
      <c r="Q22" s="3">
        <v>45747</v>
      </c>
      <c r="R22" s="4" t="s">
        <v>10</v>
      </c>
      <c r="S22" s="15">
        <f t="shared" si="5"/>
        <v>859</v>
      </c>
      <c r="T22" s="15">
        <f t="shared" ca="1" si="0"/>
        <v>-39141</v>
      </c>
      <c r="U22" s="15" t="str">
        <f>_xlfn.IFS(AND(Tabla1[[#This Row],[MODELO]]=D22,Tabla1[[#This Row],[INTERV. MAT. (KM)]]=M22,Tabla1[[#This Row],[ACUM. PRÓX. MAT.]]&lt;=14999),"NORMALIDAD",Tabla1[[#This Row],[ACUM. PRÓX. MAT.]]&lt;19999,"MANT.PRÓX.",Tabla1[[#This Row],[ACUM. PRÓX. MAT.]]&gt;=20000,"MANT.VENCIDO")</f>
        <v>NORMALIDAD</v>
      </c>
      <c r="V22" s="39">
        <v>180859</v>
      </c>
      <c r="W22" s="3">
        <v>45771</v>
      </c>
      <c r="X22" s="16">
        <f t="shared" si="10"/>
        <v>60.958333333333336</v>
      </c>
      <c r="Y22" s="16">
        <f ca="1">IFERROR(VLOOKUP('PARÁMETROS MANT.'!A25,'PARÁMETROS MANT.'!$A$2:$GH$35,AB22,FALSE),0)-Tabla1[[#This Row],[INTERV. MAT. (KM)]]</f>
        <v>180000</v>
      </c>
      <c r="Z22" s="15">
        <f ca="1">IFERROR(VLOOKUP('PARÁMETROS MANT.'!A25,'PARÁMETROS MANT.'!$A$2:$GH$35,AB22,FALSE),0)</f>
        <v>200000</v>
      </c>
      <c r="AA22" s="18" t="str">
        <f ca="1">IFERROR(VLOOKUP(Tabla1[[#This Row],[MODELO]],'PARÁMETROS MANT.'!$A$2:$GY$35,AB22,FALSE),0)</f>
        <v>SM2</v>
      </c>
      <c r="AB22" s="30">
        <f ca="1">IFERROR(MATCH(Tabla1[[#This Row],[KM ACTUAL]],INDIRECT(Tabla1[[#This Row],[BUSQUEDA DE MODELO EN PARAMETROS MANT.]],TRUE),1)+3,0)</f>
        <v>13</v>
      </c>
      <c r="AC22" s="4">
        <f>IFERROR(MATCH(Tabla1[[#This Row],[MODELO]],'PARÁMETROS MANT.'!$A$2:$A$35,0)+2,0)</f>
        <v>25</v>
      </c>
      <c r="AD22" s="4" t="str">
        <f>VLOOKUP(Tabla1[[#This Row],[MODELO]],'PARÁMETROS MANT.'!$A$1:$B$35,2,FALSE)</f>
        <v>'PARÁMETROS MANT.'!C25:DF25</v>
      </c>
      <c r="AE22" s="48" t="str">
        <f t="shared" ca="1" si="12"/>
        <v>M</v>
      </c>
      <c r="AF22" s="49" t="str">
        <f t="shared" ca="1" si="11"/>
        <v>'PARÁMETROS MANT.'!M25</v>
      </c>
      <c r="AG22" s="52">
        <f>Tabla1[[#This Row],[F. KM ACT.]]-Tabla1[[#This Row],[F. ULT. MANT.]]</f>
        <v>24</v>
      </c>
      <c r="AH22" s="52">
        <f>Tabla1[[#This Row],[KM ACTUAL]]-Tabla1[[#This Row],[KM ULT. MANT.]]</f>
        <v>1463</v>
      </c>
      <c r="AI22" s="113">
        <f t="shared" ca="1" si="6"/>
        <v>314.00136705399927</v>
      </c>
      <c r="AJ22" s="114">
        <f t="shared" ca="1" si="4"/>
        <v>46132.001367053999</v>
      </c>
      <c r="AK22" s="50"/>
    </row>
    <row r="23" spans="1:45" ht="15" customHeight="1" x14ac:dyDescent="0.25">
      <c r="A23" s="55">
        <v>408</v>
      </c>
      <c r="B23" s="55" t="s">
        <v>0</v>
      </c>
      <c r="C23" s="12" t="s">
        <v>99</v>
      </c>
      <c r="D23" s="18" t="s">
        <v>75</v>
      </c>
      <c r="E23" s="11" t="s">
        <v>105</v>
      </c>
      <c r="F23" s="18" t="s">
        <v>259</v>
      </c>
      <c r="G23" s="15" t="s">
        <v>209</v>
      </c>
      <c r="H23" s="11" t="s">
        <v>220</v>
      </c>
      <c r="I23" s="12" t="s">
        <v>117</v>
      </c>
      <c r="J23" s="12" t="s">
        <v>102</v>
      </c>
      <c r="K23" s="55">
        <v>2021</v>
      </c>
      <c r="L23" s="12" t="s">
        <v>102</v>
      </c>
      <c r="M23" s="54">
        <v>20000</v>
      </c>
      <c r="N23" s="4" t="s">
        <v>210</v>
      </c>
      <c r="O23" s="48">
        <v>159617</v>
      </c>
      <c r="P23" s="4">
        <f>ROUND(Tabla1[[#This Row],[KM ULT. MANT.]],-4)</f>
        <v>160000</v>
      </c>
      <c r="Q23" s="49">
        <v>45771</v>
      </c>
      <c r="R23" s="4" t="s">
        <v>9</v>
      </c>
      <c r="S23" s="15">
        <f t="shared" si="5"/>
        <v>-383</v>
      </c>
      <c r="T23" s="15">
        <f t="shared" ca="1" si="0"/>
        <v>-40383</v>
      </c>
      <c r="U23" s="15" t="str">
        <f>_xlfn.IFS(AND(Tabla1[[#This Row],[MODELO]]=D23,Tabla1[[#This Row],[INTERV. MAT. (KM)]]=M23,Tabla1[[#This Row],[ACUM. PRÓX. MAT.]]&lt;=14999),"NORMALIDAD",Tabla1[[#This Row],[ACUM. PRÓX. MAT.]]&lt;19999,"MANT.PRÓX.",Tabla1[[#This Row],[ACUM. PRÓX. MAT.]]&gt;=20000,"MANT.VENCIDO")</f>
        <v>NORMALIDAD</v>
      </c>
      <c r="V23" s="39">
        <v>159617</v>
      </c>
      <c r="W23" s="3">
        <v>45771</v>
      </c>
      <c r="X23" s="16">
        <f t="shared" si="10"/>
        <v>0</v>
      </c>
      <c r="Y23" s="16">
        <f ca="1">IFERROR(VLOOKUP('PARÁMETROS MANT.'!A25,'PARÁMETROS MANT.'!$A$2:$GH$35,AB23,FALSE),0)-Tabla1[[#This Row],[INTERV. MAT. (KM)]]</f>
        <v>140000</v>
      </c>
      <c r="Z23" s="15">
        <f ca="1">IFERROR(VLOOKUP('PARÁMETROS MANT.'!A25,'PARÁMETROS MANT.'!$A$2:$GH$35,AB23,FALSE),0)</f>
        <v>160000</v>
      </c>
      <c r="AA23" s="18" t="str">
        <f ca="1">IFERROR(VLOOKUP(Tabla1[[#This Row],[MODELO]],'PARÁMETROS MANT.'!$A$2:$GY$35,AB23,FALSE),0)</f>
        <v>SM2</v>
      </c>
      <c r="AB23" s="30">
        <f ca="1">IFERROR(MATCH(Tabla1[[#This Row],[KM ACTUAL]],INDIRECT(Tabla1[[#This Row],[BUSQUEDA DE MODELO EN PARAMETROS MANT.]],TRUE),1)+3,0)</f>
        <v>11</v>
      </c>
      <c r="AC23" s="4">
        <f>IFERROR(MATCH(Tabla1[[#This Row],[MODELO]],'PARÁMETROS MANT.'!$A$2:$A$35,0)+2,0)</f>
        <v>25</v>
      </c>
      <c r="AD23" s="4" t="str">
        <f>VLOOKUP(Tabla1[[#This Row],[MODELO]],'PARÁMETROS MANT.'!$A$1:$B$35,2,FALSE)</f>
        <v>'PARÁMETROS MANT.'!C25:DF25</v>
      </c>
      <c r="AE23" s="48" t="str">
        <f t="shared" ca="1" si="12"/>
        <v>K</v>
      </c>
      <c r="AF23" s="49" t="str">
        <f t="shared" ca="1" si="11"/>
        <v>'PARÁMETROS MANT.'!K25</v>
      </c>
      <c r="AG23" s="52">
        <f>Tabla1[[#This Row],[F. KM ACT.]]-Tabla1[[#This Row],[F. ULT. MANT.]]</f>
        <v>0</v>
      </c>
      <c r="AH23" s="52">
        <f>Tabla1[[#This Row],[KM ACTUAL]]-Tabla1[[#This Row],[KM ULT. MANT.]]</f>
        <v>0</v>
      </c>
      <c r="AI23" s="113">
        <f t="shared" ca="1" si="6"/>
        <v>-45818</v>
      </c>
      <c r="AJ23" s="114">
        <f t="shared" ca="1" si="4"/>
        <v>0</v>
      </c>
      <c r="AK23" s="50"/>
    </row>
    <row r="24" spans="1:45" ht="15" customHeight="1" x14ac:dyDescent="0.25">
      <c r="A24" s="55">
        <v>409</v>
      </c>
      <c r="B24" s="18" t="s">
        <v>1</v>
      </c>
      <c r="C24" s="12" t="s">
        <v>99</v>
      </c>
      <c r="D24" s="18" t="s">
        <v>224</v>
      </c>
      <c r="E24" s="11" t="s">
        <v>105</v>
      </c>
      <c r="F24" s="18" t="s">
        <v>260</v>
      </c>
      <c r="G24" s="11" t="s">
        <v>225</v>
      </c>
      <c r="H24" s="59">
        <v>65195835395161</v>
      </c>
      <c r="I24" s="12" t="s">
        <v>117</v>
      </c>
      <c r="J24" s="12" t="s">
        <v>102</v>
      </c>
      <c r="K24" s="11">
        <v>2021</v>
      </c>
      <c r="L24" s="12" t="s">
        <v>102</v>
      </c>
      <c r="M24" s="54">
        <v>10000</v>
      </c>
      <c r="N24" s="4" t="s">
        <v>468</v>
      </c>
      <c r="O24" s="48">
        <v>80546</v>
      </c>
      <c r="P24" s="4">
        <f>ROUND(Tabla1[[#This Row],[KM ULT. MANT.]],-4)</f>
        <v>80000</v>
      </c>
      <c r="Q24" s="49">
        <v>45628</v>
      </c>
      <c r="R24" s="4" t="s">
        <v>8</v>
      </c>
      <c r="S24" s="15">
        <f t="shared" si="5"/>
        <v>15350</v>
      </c>
      <c r="T24" s="15">
        <f t="shared" ca="1" si="0"/>
        <v>5350</v>
      </c>
      <c r="U24" s="15" t="str">
        <f>_xlfn.IFS(AND(Tabla1[[#This Row],[MODELO]]=D24,Tabla1[[#This Row],[INTERV. MAT. (KM)]]=M24,Tabla1[[#This Row],[ACUM. PRÓX. MAT.]]&lt;=7999),"NORMALIDAD",Tabla1[[#This Row],[ACUM. PRÓX. MAT.]]&gt;=8000,"MANT.PRÓX.",Tabla1[[#This Row],[ACUM. PRÓX. MAT.]]&gt;=10000,"MANT.VENCIDO")</f>
        <v>MANT.PRÓX.</v>
      </c>
      <c r="V24" s="39">
        <v>95350</v>
      </c>
      <c r="W24" s="3">
        <v>45771</v>
      </c>
      <c r="X24" s="16">
        <f>IFERROR(AH24/AG24,0)</f>
        <v>103.52447552447552</v>
      </c>
      <c r="Y24" s="16">
        <f ca="1">IFERROR(VLOOKUP('PARÁMETROS MANT.'!A11,'PARÁMETROS MANT.'!$A$2:$GH$35,AB24,FALSE),0)-Tabla1[[#This Row],[INTERV. MAT. (KM)]]</f>
        <v>90000</v>
      </c>
      <c r="Z24" s="15">
        <f ca="1">IFERROR(VLOOKUP('PARÁMETROS MANT.'!A11,'PARÁMETROS MANT.'!$A$2:$GH$35,AB24,FALSE),0)</f>
        <v>100000</v>
      </c>
      <c r="AA24" s="18" t="str">
        <f ca="1">IFERROR(VLOOKUP(Tabla1[[#This Row],[MODELO]],'PARÁMETROS MANT.'!$A$2:$GY$35,AB24,FALSE),0)</f>
        <v>SM1</v>
      </c>
      <c r="AB24" s="30">
        <f ca="1">IFERROR(MATCH(Tabla1[[#This Row],[KM ACTUAL]],INDIRECT(Tabla1[[#This Row],[BUSQUEDA DE MODELO EN PARAMETROS MANT.]],TRUE),1)+3,0)</f>
        <v>12</v>
      </c>
      <c r="AC24" s="4">
        <f>IFERROR(MATCH(Tabla1[[#This Row],[MODELO]],'PARÁMETROS MANT.'!$A$2:$A$35,0)+2,0)</f>
        <v>11</v>
      </c>
      <c r="AD24" s="4" t="str">
        <f>VLOOKUP(Tabla1[[#This Row],[MODELO]],'PARÁMETROS MANT.'!$A$1:$B$35,2,FALSE)</f>
        <v>'PARÁMETROS MANT.'!C11:CY11</v>
      </c>
      <c r="AE24" s="48" t="str">
        <f ca="1">IFERROR(SUBSTITUTE(ADDRESS(1,AB24,4),"1",""),0)</f>
        <v>L</v>
      </c>
      <c r="AF24" s="49" t="str">
        <f ca="1">CONCATENATE("'PARÁMETROS MANT.'!"&amp;AE24,AC24)</f>
        <v>'PARÁMETROS MANT.'!L11</v>
      </c>
      <c r="AG24" s="52">
        <f>Tabla1[[#This Row],[F. KM ACT.]]-Tabla1[[#This Row],[F. ULT. MANT.]]</f>
        <v>143</v>
      </c>
      <c r="AH24" s="52">
        <f>Tabla1[[#This Row],[KM ACTUAL]]-Tabla1[[#This Row],[KM ULT. MANT.]]</f>
        <v>14804</v>
      </c>
      <c r="AI24" s="113">
        <f t="shared" ca="1" si="6"/>
        <v>44.916914347471902</v>
      </c>
      <c r="AJ24" s="114">
        <f t="shared" ca="1" si="4"/>
        <v>45862.916914347472</v>
      </c>
      <c r="AK24" s="50"/>
      <c r="AS24" s="2" t="s">
        <v>433</v>
      </c>
    </row>
    <row r="25" spans="1:45" ht="15" customHeight="1" x14ac:dyDescent="0.25">
      <c r="A25" s="18">
        <v>410</v>
      </c>
      <c r="B25" s="18" t="s">
        <v>1</v>
      </c>
      <c r="C25" s="12" t="s">
        <v>99</v>
      </c>
      <c r="D25" s="18" t="s">
        <v>224</v>
      </c>
      <c r="E25" s="11" t="s">
        <v>105</v>
      </c>
      <c r="F25" s="18" t="s">
        <v>261</v>
      </c>
      <c r="G25" s="11" t="s">
        <v>226</v>
      </c>
      <c r="H25" s="59">
        <v>65195835372082</v>
      </c>
      <c r="I25" s="12" t="s">
        <v>117</v>
      </c>
      <c r="J25" s="12" t="s">
        <v>102</v>
      </c>
      <c r="K25" s="11">
        <v>2021</v>
      </c>
      <c r="L25" s="12" t="s">
        <v>102</v>
      </c>
      <c r="M25" s="54">
        <v>10000</v>
      </c>
      <c r="N25" s="4" t="s">
        <v>468</v>
      </c>
      <c r="O25" s="39">
        <v>118887</v>
      </c>
      <c r="P25" s="4">
        <f>ROUND(Tabla1[[#This Row],[KM ULT. MANT.]],-4)</f>
        <v>120000</v>
      </c>
      <c r="Q25" s="49">
        <v>45688</v>
      </c>
      <c r="R25" s="4" t="s">
        <v>10</v>
      </c>
      <c r="S25" s="15">
        <f t="shared" si="5"/>
        <v>4130</v>
      </c>
      <c r="T25" s="15" t="str">
        <f t="shared" ca="1" si="0"/>
        <v xml:space="preserve"> </v>
      </c>
      <c r="U25" s="15" t="str">
        <f>_xlfn.IFS(AND(Tabla1[[#This Row],[MODELO]]=D25,Tabla1[[#This Row],[INTERV. MAT. (KM)]]=M25,Tabla1[[#This Row],[ACUM. PRÓX. MAT.]]&lt;=7999),"NORMALIDAD",Tabla1[[#This Row],[ACUM. PRÓX. MAT.]]&gt;=8000,"MANT.PRÓX.",Tabla1[[#This Row],[ACUM. PRÓX. MAT.]]&gt;=10000,"MANT.VENCIDO")</f>
        <v>NORMALIDAD</v>
      </c>
      <c r="V25" s="39">
        <v>124130</v>
      </c>
      <c r="W25" s="3">
        <v>45771</v>
      </c>
      <c r="X25" s="16">
        <f>IFERROR(AH25/AG25,0)</f>
        <v>63.168674698795179</v>
      </c>
      <c r="Y25" s="16">
        <f ca="1">IFERROR(VLOOKUP('PARÁMETROS MANT.'!A11,'PARÁMETROS MANT.'!$A$2:$GH$35,AB25,FALSE),0)-Tabla1[[#This Row],[INTERV. MAT. (KM)]]</f>
        <v>120000</v>
      </c>
      <c r="Z25" s="15">
        <f ca="1">IFERROR(VLOOKUP('PARÁMETROS MANT.'!A11,'PARÁMETROS MANT.'!$A$2:$GH$35,AB25,FALSE),0)</f>
        <v>130000</v>
      </c>
      <c r="AA25" s="18" t="str">
        <f ca="1">IFERROR(VLOOKUP(Tabla1[[#This Row],[MODELO]],'PARÁMETROS MANT.'!$A$2:$GY$35,AB25,FALSE),0)</f>
        <v>SM1</v>
      </c>
      <c r="AB25" s="30">
        <f ca="1">IFERROR(MATCH(Tabla1[[#This Row],[KM ACTUAL]],INDIRECT(Tabla1[[#This Row],[BUSQUEDA DE MODELO EN PARAMETROS MANT.]],TRUE),1)+3,0)</f>
        <v>15</v>
      </c>
      <c r="AC25" s="4">
        <f>IFERROR(MATCH(Tabla1[[#This Row],[MODELO]],'PARÁMETROS MANT.'!$A$2:$A$35,0)+2,0)</f>
        <v>11</v>
      </c>
      <c r="AD25" s="4" t="str">
        <f>VLOOKUP(Tabla1[[#This Row],[MODELO]],'PARÁMETROS MANT.'!$A$1:$B$35,2,FALSE)</f>
        <v>'PARÁMETROS MANT.'!C11:CY11</v>
      </c>
      <c r="AE25" s="48" t="str">
        <f ca="1">IFERROR(SUBSTITUTE(ADDRESS(1,AB25,4),"1",""),0)</f>
        <v>O</v>
      </c>
      <c r="AF25" s="49" t="str">
        <f ca="1">CONCATENATE("'PARÁMETROS MANT.'!"&amp;AE25,AC25)</f>
        <v>'PARÁMETROS MANT.'!O11</v>
      </c>
      <c r="AG25" s="52">
        <f>Tabla1[[#This Row],[F. KM ACT.]]-Tabla1[[#This Row],[F. ULT. MANT.]]</f>
        <v>83</v>
      </c>
      <c r="AH25" s="52">
        <f>Tabla1[[#This Row],[KM ACTUAL]]-Tabla1[[#This Row],[KM ULT. MANT.]]</f>
        <v>5243</v>
      </c>
      <c r="AI25" s="113">
        <f t="shared" ca="1" si="6"/>
        <v>92.925805836355721</v>
      </c>
      <c r="AJ25" s="122">
        <f t="shared" ca="1" si="4"/>
        <v>45910.925805836356</v>
      </c>
      <c r="AK25" s="50"/>
    </row>
    <row r="26" spans="1:45" ht="15" customHeight="1" x14ac:dyDescent="0.25">
      <c r="A26" s="118">
        <v>422</v>
      </c>
      <c r="B26" s="118" t="s">
        <v>0</v>
      </c>
      <c r="C26" s="118" t="s">
        <v>194</v>
      </c>
      <c r="D26" s="118" t="s">
        <v>197</v>
      </c>
      <c r="E26" s="118" t="s">
        <v>105</v>
      </c>
      <c r="F26" s="143" t="s">
        <v>464</v>
      </c>
      <c r="G26" s="143" t="s">
        <v>465</v>
      </c>
      <c r="H26" s="143">
        <v>8449246</v>
      </c>
      <c r="I26" s="142" t="s">
        <v>117</v>
      </c>
      <c r="J26" s="142" t="s">
        <v>102</v>
      </c>
      <c r="K26" s="118">
        <v>2025</v>
      </c>
      <c r="L26" s="118" t="s">
        <v>102</v>
      </c>
      <c r="M26" s="118">
        <v>20000</v>
      </c>
      <c r="N26" s="4" t="s">
        <v>468</v>
      </c>
      <c r="O26" s="146">
        <v>100</v>
      </c>
      <c r="P26" s="4">
        <v>0</v>
      </c>
      <c r="Q26" s="3">
        <v>45689</v>
      </c>
      <c r="R26" s="3" t="s">
        <v>72</v>
      </c>
      <c r="S26" s="15" t="str">
        <f>IFERROR(IF(P26&lt;&gt;0,V26-P26," "),0)</f>
        <v xml:space="preserve"> </v>
      </c>
      <c r="T26" s="15" t="e">
        <f ca="1">IF(OR(AND(#REF!="O 500 RS E V",AA26="SM2"),AND(#REF!="O 500 RS E V",AA26="SM4")),((#REF!+20000)-S26)*-1,IF(AND(#REF!&lt;&gt;"O 500 RS E V",S26&gt;#REF!),S26-#REF!," "))</f>
        <v>#REF!</v>
      </c>
      <c r="U26" s="15" t="str">
        <f>_xlfn.IFS(AND(Tabla1[[#This Row],[MODELO]]=D26,Tabla1[[#This Row],[INTERV. MAT. (KM)]]=M26,Tabla1[[#This Row],[ACUM. PRÓX. MAT.]]&lt;=4999),"NORMALIDAD",Tabla1[[#This Row],[ACUM. PRÓX. MAT.]]&lt;10000,"MANT.PRÓX.",Tabla1[[#This Row],[ACUM. PRÓX. MAT.]]&gt;=10000,"MANT.VENCIDO")</f>
        <v>MANT.VENCIDO</v>
      </c>
      <c r="V26" s="39">
        <v>5989</v>
      </c>
      <c r="W26" s="3">
        <v>45771</v>
      </c>
      <c r="X26" s="16">
        <f>IFERROR(AH26/AG26,0)</f>
        <v>0</v>
      </c>
      <c r="Y26" s="16">
        <f>IFERROR(VLOOKUP('PARÁMETROS MANT.'!A44,'PARÁMETROS MANT.'!$A$2:$GH$35,AB26,FALSE),0)-Tabla1[[#This Row],[INTERV. MAT. (KM)]]</f>
        <v>-20000</v>
      </c>
      <c r="Z26" s="15">
        <f>IFERROR(VLOOKUP('PARÁMETROS MANT.'!A44,'PARÁMETROS MANT.'!$A$2:$GH$35,AB26,FALSE),0)</f>
        <v>0</v>
      </c>
      <c r="AA26" s="18">
        <f ca="1">IFERROR(VLOOKUP(Tabla1[[#This Row],[MODELO]],'PARÁMETROS MANT.'!$A$2:$GH$35,AB26,FALSE),0)</f>
        <v>0</v>
      </c>
      <c r="AB26" s="31">
        <f ca="1">IFERROR(MATCH(Tabla1[[#This Row],[KM ACTUAL]],INDIRECT(Tabla1[[#This Row],[BUSQUEDA DE MODELO EN PARAMETROS MANT.]],TRUE),1)+3,0)</f>
        <v>0</v>
      </c>
      <c r="AC26" s="32">
        <f>IFERROR(MATCH(Tabla1[[#This Row],[MODELO]],'PARÁMETROS MANT.'!$A$2:$A$35,0)+2,0)</f>
        <v>9</v>
      </c>
      <c r="AD26" s="32" t="str">
        <f>VLOOKUP(Tabla1[[#This Row],[MODELO]],'PARÁMETROS MANT.'!$A$1:$B$35,2,FALSE)</f>
        <v>'PARÁMETROS MANT.'!C9:GY9</v>
      </c>
      <c r="AE26" s="145">
        <f ca="1">IFERROR(SUBSTITUTE(ADDRESS(1,AB26,4),"1",""),0)</f>
        <v>0</v>
      </c>
      <c r="AF26" s="32" t="str">
        <f ca="1">CONCATENATE("'PARÁMETROS MANT.'!"&amp;AE26,AC26)</f>
        <v>'PARÁMETROS MANT.'!09</v>
      </c>
      <c r="AG26" s="52"/>
      <c r="AH26" s="52"/>
      <c r="AI26" s="113"/>
      <c r="AJ26" s="114"/>
    </row>
    <row r="27" spans="1:45" ht="15" customHeight="1" x14ac:dyDescent="0.25">
      <c r="A27" s="118">
        <v>423</v>
      </c>
      <c r="B27" s="118" t="s">
        <v>0</v>
      </c>
      <c r="C27" s="118" t="s">
        <v>194</v>
      </c>
      <c r="D27" s="118" t="s">
        <v>197</v>
      </c>
      <c r="E27" s="118" t="s">
        <v>105</v>
      </c>
      <c r="F27" s="144" t="s">
        <v>466</v>
      </c>
      <c r="G27" s="144" t="s">
        <v>467</v>
      </c>
      <c r="H27" s="144">
        <v>8449266</v>
      </c>
      <c r="I27" s="142" t="s">
        <v>117</v>
      </c>
      <c r="J27" s="142" t="s">
        <v>102</v>
      </c>
      <c r="K27" s="118">
        <v>2025</v>
      </c>
      <c r="L27" s="118" t="s">
        <v>102</v>
      </c>
      <c r="M27" s="118">
        <v>20000</v>
      </c>
      <c r="N27" s="4" t="s">
        <v>468</v>
      </c>
      <c r="O27" s="146">
        <v>100</v>
      </c>
      <c r="P27" s="4">
        <f>ROUND(Tabla1[[#This Row],[KM ULT. MANT.]],-4)</f>
        <v>0</v>
      </c>
      <c r="Q27" s="3">
        <v>45689</v>
      </c>
      <c r="R27" s="3" t="s">
        <v>72</v>
      </c>
      <c r="S27" s="15" t="str">
        <f>IFERROR(IF(P27&lt;&gt;0,V27-P27," "),0)</f>
        <v xml:space="preserve"> </v>
      </c>
      <c r="T27" s="15" t="e">
        <f ca="1">IF(OR(AND(#REF!="O 500 RS E V",AA27="SM2"),AND(#REF!="O 500 RS E V",AA27="SM4")),((#REF!+20000)-S27)*-1,IF(AND(#REF!&lt;&gt;"O 500 RS E V",S27&gt;#REF!),S27-#REF!," "))</f>
        <v>#REF!</v>
      </c>
      <c r="U27" s="15" t="str">
        <f>_xlfn.IFS(AND(Tabla1[[#This Row],[MODELO]]=D27,Tabla1[[#This Row],[INTERV. MAT. (KM)]]=M27,Tabla1[[#This Row],[ACUM. PRÓX. MAT.]]&lt;=4999),"NORMALIDAD",Tabla1[[#This Row],[ACUM. PRÓX. MAT.]]&lt;10000,"MANT.PRÓX.",Tabla1[[#This Row],[ACUM. PRÓX. MAT.]]&gt;=10000,"MANT.VENCIDO")</f>
        <v>MANT.VENCIDO</v>
      </c>
      <c r="V27" s="39">
        <v>4919</v>
      </c>
      <c r="W27" s="3">
        <v>45771</v>
      </c>
      <c r="X27" s="16">
        <f>IFERROR(AH27/AG27,0)</f>
        <v>0</v>
      </c>
      <c r="Y27" s="16">
        <f>IFERROR(VLOOKUP('PARÁMETROS MANT.'!A45,'PARÁMETROS MANT.'!$A$2:$GH$35,AB27,FALSE),0)-Tabla1[[#This Row],[INTERV. MAT. (KM)]]</f>
        <v>-20000</v>
      </c>
      <c r="Z27" s="15">
        <f>IFERROR(VLOOKUP('PARÁMETROS MANT.'!A45,'PARÁMETROS MANT.'!$A$2:$GH$35,AB27,FALSE),0)</f>
        <v>0</v>
      </c>
      <c r="AA27" s="18">
        <f ca="1">IFERROR(VLOOKUP(Tabla1[[#This Row],[MODELO]],'PARÁMETROS MANT.'!$A$2:$GH$35,AB27,FALSE),0)</f>
        <v>0</v>
      </c>
      <c r="AB27" s="31">
        <f ca="1">IFERROR(MATCH(Tabla1[[#This Row],[KM ACTUAL]],INDIRECT(Tabla1[[#This Row],[BUSQUEDA DE MODELO EN PARAMETROS MANT.]],TRUE),1)+3,0)</f>
        <v>0</v>
      </c>
      <c r="AC27" s="32">
        <f>IFERROR(MATCH(Tabla1[[#This Row],[MODELO]],'PARÁMETROS MANT.'!$A$2:$A$35,0)+2,0)</f>
        <v>9</v>
      </c>
      <c r="AD27" s="32" t="str">
        <f>VLOOKUP(Tabla1[[#This Row],[MODELO]],'PARÁMETROS MANT.'!$A$1:$B$35,2,FALSE)</f>
        <v>'PARÁMETROS MANT.'!C9:GY9</v>
      </c>
      <c r="AE27" s="145">
        <f ca="1">IFERROR(SUBSTITUTE(ADDRESS(1,AB27,4),"1",""),0)</f>
        <v>0</v>
      </c>
      <c r="AF27" s="32" t="str">
        <f ca="1">CONCATENATE("'PARÁMETROS MANT.'!"&amp;AE27,AC27)</f>
        <v>'PARÁMETROS MANT.'!09</v>
      </c>
      <c r="AG27" s="52"/>
      <c r="AH27" s="52"/>
      <c r="AI27" s="113"/>
      <c r="AJ27" s="114"/>
    </row>
    <row r="28" spans="1:45" x14ac:dyDescent="0.25">
      <c r="H28" s="2"/>
      <c r="P28" s="116"/>
      <c r="Q28" s="118"/>
      <c r="R28" s="118"/>
      <c r="S28" s="15"/>
      <c r="T28" s="15"/>
      <c r="U28" s="15"/>
      <c r="V28" s="26"/>
      <c r="W28" s="3" t="s">
        <v>191</v>
      </c>
      <c r="X28" s="47"/>
      <c r="Y28" s="16"/>
      <c r="Z28" s="15"/>
      <c r="AA28" s="24"/>
      <c r="AB28" s="30"/>
      <c r="AC28" s="4"/>
      <c r="AD28" s="4"/>
      <c r="AE28" s="26"/>
      <c r="AF28" s="26"/>
    </row>
    <row r="29" spans="1:45" x14ac:dyDescent="0.25">
      <c r="H29" s="2"/>
      <c r="P29" s="116"/>
      <c r="Q29" s="118"/>
      <c r="R29" s="118"/>
      <c r="S29" s="15" t="s">
        <v>191</v>
      </c>
      <c r="T29" s="15"/>
      <c r="U29" s="15"/>
      <c r="V29" s="26"/>
      <c r="W29" s="3"/>
      <c r="X29" s="47"/>
      <c r="Y29" s="16"/>
      <c r="Z29" s="15"/>
      <c r="AA29" s="24"/>
      <c r="AB29" s="30"/>
      <c r="AC29" s="4"/>
      <c r="AD29" s="4"/>
      <c r="AE29" s="26"/>
      <c r="AF29" s="26"/>
    </row>
    <row r="30" spans="1:4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4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45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6"/>
      <c r="Q32" s="7"/>
      <c r="R32" s="5"/>
    </row>
    <row r="33" spans="2:18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2:18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2:18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2:18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2:18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2:1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2:18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2:18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2:18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2:18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2:1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2:1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2:1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2:1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2:1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2:1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2:18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2:18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2:18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2:18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2:18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2:18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2:18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2:18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2:18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2:18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2:1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2:1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2:1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2:1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2:1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2:1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2:18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2:18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2:18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2:18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2:18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2:18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2:18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2:18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2:18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2:18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2:18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2:18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2:18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2:18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2:18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2:18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2:18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2:18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2:18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2:18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2:18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2:18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2:18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2:18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2:18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2:18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2:18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2:18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2:18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2:18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2:18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2:18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2:18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2:18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2:18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2:18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2:18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2:18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2:18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2:18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2:18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2:18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2:18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2:18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2:18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2:18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2:18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2:18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2:18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2:18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2:18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2:18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2:18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2:18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2:18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2:18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2:18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2:18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2:18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2:18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2:18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2:18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2:18" x14ac:dyDescent="0.25">
      <c r="B127" s="5"/>
      <c r="C127" s="5"/>
      <c r="D127" s="5"/>
      <c r="E127" s="10"/>
      <c r="F127" s="10"/>
      <c r="G127" s="10"/>
      <c r="H127" s="10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2:18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2:18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2:18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2:18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2:18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2:18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2:18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2:18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2:18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2:18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2:18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2:18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2:18" x14ac:dyDescent="0.25">
      <c r="B140" s="5"/>
      <c r="C140" s="5"/>
      <c r="D140" s="5"/>
      <c r="E140" s="10"/>
      <c r="F140" s="1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2:18" x14ac:dyDescent="0.2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2:18" x14ac:dyDescent="0.2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2:18" x14ac:dyDescent="0.2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2:18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2:18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2:18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2:18" x14ac:dyDescent="0.2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2:18" x14ac:dyDescent="0.2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2:18" x14ac:dyDescent="0.2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</sheetData>
  <sortState xmlns:xlrd2="http://schemas.microsoft.com/office/spreadsheetml/2017/richdata2" ref="A2:S15">
    <sortCondition ref="A1"/>
  </sortState>
  <mergeCells count="1">
    <mergeCell ref="A1:AE1"/>
  </mergeCells>
  <phoneticPr fontId="12" type="noConversion"/>
  <conditionalFormatting sqref="W3:W27">
    <cfRule type="timePeriod" dxfId="344" priority="12" timePeriod="yesterday">
      <formula>FLOOR(W3,1)=TODAY()-1</formula>
    </cfRule>
    <cfRule type="timePeriod" dxfId="343" priority="30" timePeriod="today">
      <formula>FLOOR(W3,1)=TODAY()</formula>
    </cfRule>
    <cfRule type="timePeriod" dxfId="342" priority="195" stopIfTrue="1" timePeriod="lastWeek">
      <formula>AND(TODAY()-ROUNDDOWN(W3,0)&gt;=(WEEKDAY(TODAY())),TODAY()-ROUNDDOWN(W3,0)&lt;(WEEKDAY(TODAY())+7))</formula>
    </cfRule>
  </conditionalFormatting>
  <conditionalFormatting sqref="U3:U27">
    <cfRule type="containsText" dxfId="341" priority="94" operator="containsText" text="MANT.VENCIDO">
      <formula>NOT(ISERROR(SEARCH("MANT.VENCIDO",U3)))</formula>
    </cfRule>
    <cfRule type="containsText" dxfId="340" priority="95" operator="containsText" text="MANT.PRÓX.">
      <formula>NOT(ISERROR(SEARCH("MANT.PRÓX.",U3)))</formula>
    </cfRule>
    <cfRule type="containsText" dxfId="339" priority="96" operator="containsText" text="NORMALIDAD">
      <formula>NOT(ISERROR(SEARCH("NORMALIDAD",U3)))</formula>
    </cfRule>
  </conditionalFormatting>
  <conditionalFormatting sqref="T3:T27">
    <cfRule type="cellIs" dxfId="338" priority="77" operator="lessThan">
      <formula>0</formula>
    </cfRule>
  </conditionalFormatting>
  <conditionalFormatting sqref="S3 S7:S13 S26:S27">
    <cfRule type="cellIs" dxfId="337" priority="25" operator="between">
      <formula>10001</formula>
      <formula>20000</formula>
    </cfRule>
    <cfRule type="cellIs" dxfId="336" priority="26" stopIfTrue="1" operator="between">
      <formula>8000</formula>
      <formula>10000</formula>
    </cfRule>
    <cfRule type="cellIs" dxfId="335" priority="29" stopIfTrue="1" operator="between">
      <formula>0</formula>
      <formula>7999</formula>
    </cfRule>
  </conditionalFormatting>
  <conditionalFormatting sqref="S14:S23 S4:S6">
    <cfRule type="cellIs" dxfId="334" priority="22" operator="between">
      <formula>20001</formula>
      <formula>40000</formula>
    </cfRule>
    <cfRule type="cellIs" dxfId="333" priority="23" operator="between">
      <formula>15000</formula>
      <formula>20000</formula>
    </cfRule>
    <cfRule type="cellIs" dxfId="332" priority="24" operator="between">
      <formula>0</formula>
      <formula>14999</formula>
    </cfRule>
  </conditionalFormatting>
  <conditionalFormatting sqref="S24:S25">
    <cfRule type="cellIs" dxfId="331" priority="13" operator="between">
      <formula>10001</formula>
      <formula>20000</formula>
    </cfRule>
    <cfRule type="cellIs" dxfId="330" priority="14" stopIfTrue="1" operator="between">
      <formula>8000</formula>
      <formula>10000</formula>
    </cfRule>
    <cfRule type="cellIs" dxfId="329" priority="15" stopIfTrue="1" operator="between">
      <formula>0</formula>
      <formula>7999</formula>
    </cfRule>
  </conditionalFormatting>
  <conditionalFormatting sqref="AI3:AI25">
    <cfRule type="iconSet" priority="796">
      <iconSet>
        <cfvo type="percent" val="0"/>
        <cfvo type="num" val="0"/>
        <cfvo type="num" val="10"/>
      </iconSet>
    </cfRule>
  </conditionalFormatting>
  <conditionalFormatting sqref="W28:W29">
    <cfRule type="timePeriod" dxfId="328" priority="1" timePeriod="yesterday">
      <formula>FLOOR(W28,1)=TODAY()-1</formula>
    </cfRule>
    <cfRule type="timePeriod" dxfId="327" priority="5" timePeriod="today">
      <formula>FLOOR(W28,1)=TODAY()</formula>
    </cfRule>
    <cfRule type="timePeriod" dxfId="326" priority="10" stopIfTrue="1" timePeriod="lastWeek">
      <formula>AND(TODAY()-ROUNDDOWN(W28,0)&gt;=(WEEKDAY(TODAY())),TODAY()-ROUNDDOWN(W28,0)&lt;(WEEKDAY(TODAY())+7))</formula>
    </cfRule>
  </conditionalFormatting>
  <conditionalFormatting sqref="U28:U29">
    <cfRule type="containsText" dxfId="325" priority="7" operator="containsText" text="MANT.VENCIDO">
      <formula>NOT(ISERROR(SEARCH("MANT.VENCIDO",U28)))</formula>
    </cfRule>
    <cfRule type="containsText" dxfId="324" priority="8" operator="containsText" text="MANT.PRÓX.">
      <formula>NOT(ISERROR(SEARCH("MANT.PRÓX.",U28)))</formula>
    </cfRule>
    <cfRule type="containsText" dxfId="323" priority="9" operator="containsText" text="NORMALIDAD">
      <formula>NOT(ISERROR(SEARCH("NORMALIDAD",U28)))</formula>
    </cfRule>
  </conditionalFormatting>
  <conditionalFormatting sqref="T28:T29">
    <cfRule type="cellIs" dxfId="322" priority="6" operator="lessThan">
      <formula>0</formula>
    </cfRule>
  </conditionalFormatting>
  <conditionalFormatting sqref="S28:S29">
    <cfRule type="cellIs" dxfId="321" priority="2" operator="between">
      <formula>20001</formula>
      <formula>40000</formula>
    </cfRule>
    <cfRule type="cellIs" dxfId="320" priority="3" operator="between">
      <formula>15000</formula>
      <formula>20000</formula>
    </cfRule>
    <cfRule type="cellIs" dxfId="319" priority="4" operator="between">
      <formula>0</formula>
      <formula>14999</formula>
    </cfRule>
  </conditionalFormatting>
  <conditionalFormatting sqref="AI26:AI27">
    <cfRule type="iconSet" priority="11">
      <iconSet>
        <cfvo type="percent" val="0"/>
        <cfvo type="num" val="0"/>
        <cfvo type="num" val="10"/>
      </iconSet>
    </cfRule>
  </conditionalFormatting>
  <dataValidations count="3">
    <dataValidation type="list" allowBlank="1" showInputMessage="1" showErrorMessage="1" sqref="L7 L14:L24 N3:N27 J3:J27" xr:uid="{00000000-0002-0000-0000-000000000000}">
      <formula1>Servicio</formula1>
    </dataValidation>
    <dataValidation type="list" allowBlank="1" showInputMessage="1" showErrorMessage="1" sqref="C8:C24 C3:C6" xr:uid="{00000000-0002-0000-0000-000002000000}">
      <formula1>Marca</formula1>
    </dataValidation>
    <dataValidation type="list" allowBlank="1" showInputMessage="1" showErrorMessage="1" sqref="B3:B27" xr:uid="{00000000-0002-0000-0000-000001000000}">
      <formula1>Vehículo</formula1>
    </dataValidation>
  </dataValidations>
  <pageMargins left="0.43307086614173229" right="0" top="0.15748031496062992" bottom="0" header="0.31496062992125984" footer="0.31496062992125984"/>
  <pageSetup firstPageNumber="0" fitToHeight="0" orientation="landscape" verticalDpi="300" r:id="rId1"/>
  <headerFooter alignWithMargins="0">
    <oddHeader>&amp;C&amp;"Times New Roman,Normal"&amp;12&amp;A</oddHeader>
    <oddFooter>&amp;C&amp;"Times New Roman,Normal"&amp;12Página &amp;P</oddFooter>
  </headerFooter>
  <colBreaks count="1" manualBreakCount="1">
    <brk id="11" max="26" man="1"/>
  </colBreaks>
  <ignoredErrors>
    <ignoredError sqref="AG10:AH13 AG23:AH25 AG14:AH15 AI3 AI7:AI15 AJ1 AG16:AH22 AI16:AI25 AI4 AI6 AI5" unlockedFormula="1"/>
    <ignoredError sqref="AA4 U3 U14:U15 U13 U11:U12 AA7:AA15 Z7:Z15 Y7:Y15 U7:U10 U16:U25 AA16:AA25 Z16:Z25 Y16:Y25 Z4 Y4 U4 AA6 Z6 Y6 U6 AA5 Z5 Y5 U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J159"/>
  <sheetViews>
    <sheetView showGridLines="0" view="pageBreakPreview" zoomScale="115" zoomScaleNormal="100" zoomScaleSheetLayoutView="115" workbookViewId="0">
      <pane xSplit="14" ySplit="2" topLeftCell="O3" activePane="bottomRight" state="frozen"/>
      <selection activeCell="D13" sqref="D13"/>
      <selection pane="topRight" activeCell="D13" sqref="D13"/>
      <selection pane="bottomLeft" activeCell="D13" sqref="D13"/>
      <selection pane="bottomRight" activeCell="A2" sqref="A2"/>
    </sheetView>
  </sheetViews>
  <sheetFormatPr baseColWidth="10" defaultColWidth="11.54296875" defaultRowHeight="12.5" x14ac:dyDescent="0.25"/>
  <cols>
    <col min="1" max="1" width="5" style="2" customWidth="1"/>
    <col min="2" max="2" width="0.54296875" style="2" hidden="1" customWidth="1"/>
    <col min="3" max="3" width="13.26953125" style="2" hidden="1" customWidth="1"/>
    <col min="4" max="4" width="0.1796875" style="2" hidden="1" customWidth="1"/>
    <col min="5" max="5" width="8.453125" style="2" hidden="1" customWidth="1"/>
    <col min="6" max="6" width="9.453125" style="2" customWidth="1"/>
    <col min="7" max="7" width="12.453125" style="2" hidden="1" customWidth="1"/>
    <col min="8" max="8" width="15.26953125" style="8" hidden="1" customWidth="1"/>
    <col min="9" max="9" width="0.1796875" style="2" customWidth="1"/>
    <col min="10" max="10" width="0.1796875" style="2" hidden="1" customWidth="1"/>
    <col min="11" max="11" width="8.81640625" style="2" hidden="1" customWidth="1"/>
    <col min="12" max="12" width="0.26953125" style="2" hidden="1" customWidth="1"/>
    <col min="13" max="13" width="8" style="2" customWidth="1"/>
    <col min="14" max="14" width="0.1796875" style="2" customWidth="1"/>
    <col min="15" max="15" width="8.54296875" style="2" customWidth="1"/>
    <col min="16" max="16" width="8" style="2" customWidth="1"/>
    <col min="17" max="17" width="8.7265625" style="2" customWidth="1"/>
    <col min="18" max="18" width="5.54296875" style="2" customWidth="1"/>
    <col min="19" max="20" width="6.54296875" style="2" customWidth="1"/>
    <col min="21" max="21" width="11.1796875" style="2" customWidth="1"/>
    <col min="22" max="22" width="9.453125" style="2" customWidth="1"/>
    <col min="23" max="23" width="8.1796875" style="2" customWidth="1"/>
    <col min="24" max="24" width="0.54296875" style="2" hidden="1" customWidth="1"/>
    <col min="25" max="25" width="4.7265625" style="2" customWidth="1"/>
    <col min="26" max="26" width="9.26953125" style="2" customWidth="1"/>
    <col min="27" max="27" width="4.7265625" style="2" customWidth="1"/>
    <col min="28" max="28" width="20.453125" style="2" hidden="1" customWidth="1"/>
    <col min="29" max="29" width="13" style="8" hidden="1" customWidth="1"/>
    <col min="30" max="30" width="23.453125" style="2" hidden="1" customWidth="1"/>
    <col min="31" max="31" width="11.453125" style="2" hidden="1" customWidth="1"/>
    <col min="32" max="32" width="22.1796875" style="2" hidden="1" customWidth="1"/>
    <col min="33" max="33" width="11.54296875" style="2" hidden="1" customWidth="1"/>
    <col min="34" max="34" width="0.453125" style="2" hidden="1" customWidth="1"/>
    <col min="35" max="35" width="3.7265625" style="2" customWidth="1"/>
    <col min="36" max="36" width="8.453125" style="2" customWidth="1"/>
    <col min="37" max="16384" width="11.54296875" style="2"/>
  </cols>
  <sheetData>
    <row r="1" spans="1:36" ht="22.5" customHeight="1" x14ac:dyDescent="0.25">
      <c r="A1" s="147" t="s">
        <v>475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J1" s="1">
        <f ca="1">TODAY()</f>
        <v>45818</v>
      </c>
    </row>
    <row r="2" spans="1:36" ht="30" customHeight="1" x14ac:dyDescent="0.25">
      <c r="A2" s="77" t="s">
        <v>6</v>
      </c>
      <c r="B2" s="77" t="s">
        <v>5</v>
      </c>
      <c r="C2" s="77" t="s">
        <v>90</v>
      </c>
      <c r="D2" s="77" t="s">
        <v>4</v>
      </c>
      <c r="E2" s="120" t="s">
        <v>91</v>
      </c>
      <c r="F2" s="77" t="s">
        <v>92</v>
      </c>
      <c r="G2" s="120" t="s">
        <v>93</v>
      </c>
      <c r="H2" s="120" t="s">
        <v>94</v>
      </c>
      <c r="I2" s="120" t="s">
        <v>95</v>
      </c>
      <c r="J2" s="120" t="s">
        <v>96</v>
      </c>
      <c r="K2" s="77" t="s">
        <v>97</v>
      </c>
      <c r="L2" s="120" t="s">
        <v>98</v>
      </c>
      <c r="M2" s="77" t="s">
        <v>87</v>
      </c>
      <c r="N2" s="120" t="s">
        <v>84</v>
      </c>
      <c r="O2" s="77" t="s">
        <v>79</v>
      </c>
      <c r="P2" s="77" t="s">
        <v>401</v>
      </c>
      <c r="Q2" s="77" t="s">
        <v>80</v>
      </c>
      <c r="R2" s="77" t="s">
        <v>173</v>
      </c>
      <c r="S2" s="77" t="s">
        <v>86</v>
      </c>
      <c r="T2" s="77" t="s">
        <v>83</v>
      </c>
      <c r="U2" s="76" t="s">
        <v>227</v>
      </c>
      <c r="V2" s="77" t="s">
        <v>7</v>
      </c>
      <c r="W2" s="77" t="s">
        <v>81</v>
      </c>
      <c r="X2" s="77" t="s">
        <v>389</v>
      </c>
      <c r="Y2" s="77" t="s">
        <v>89</v>
      </c>
      <c r="Z2" s="77" t="s">
        <v>82</v>
      </c>
      <c r="AA2" s="77" t="s">
        <v>78</v>
      </c>
      <c r="AB2" s="80" t="s">
        <v>328</v>
      </c>
      <c r="AC2" s="81" t="s">
        <v>332</v>
      </c>
      <c r="AD2" s="78" t="s">
        <v>329</v>
      </c>
      <c r="AE2" s="81" t="s">
        <v>223</v>
      </c>
      <c r="AF2" s="79" t="s">
        <v>331</v>
      </c>
      <c r="AG2" s="121" t="s">
        <v>85</v>
      </c>
      <c r="AH2" s="121" t="s">
        <v>85</v>
      </c>
      <c r="AI2" s="115" t="s">
        <v>429</v>
      </c>
      <c r="AJ2" s="109" t="s">
        <v>85</v>
      </c>
    </row>
    <row r="3" spans="1:36" ht="15" customHeight="1" x14ac:dyDescent="0.25">
      <c r="A3" s="83">
        <v>2</v>
      </c>
      <c r="B3" s="4" t="s">
        <v>333</v>
      </c>
      <c r="C3" s="4" t="s">
        <v>189</v>
      </c>
      <c r="D3" s="4" t="s">
        <v>334</v>
      </c>
      <c r="E3" s="4" t="s">
        <v>103</v>
      </c>
      <c r="F3" s="4" t="s">
        <v>335</v>
      </c>
      <c r="G3" s="4" t="s">
        <v>339</v>
      </c>
      <c r="H3" s="4" t="s">
        <v>340</v>
      </c>
      <c r="I3" s="4" t="s">
        <v>337</v>
      </c>
      <c r="J3" s="4" t="s">
        <v>336</v>
      </c>
      <c r="K3" s="83">
        <v>1993</v>
      </c>
      <c r="L3" s="4" t="s">
        <v>338</v>
      </c>
      <c r="M3" s="83">
        <v>10000</v>
      </c>
      <c r="N3" s="4" t="s">
        <v>418</v>
      </c>
      <c r="O3" s="4">
        <v>87000</v>
      </c>
      <c r="P3" s="4">
        <f>ROUND(Tabla14[[#This Row],[KM ULT. MANT.]],-4)</f>
        <v>90000</v>
      </c>
      <c r="Q3" s="3">
        <v>45147</v>
      </c>
      <c r="R3" s="3" t="s">
        <v>192</v>
      </c>
      <c r="S3" s="54">
        <f>IFERROR(IF(O3&lt;&gt;0,V3-O3," "),0)</f>
        <v>3469</v>
      </c>
      <c r="T3" s="4" t="str">
        <f t="shared" ref="T3:T29" ca="1" si="0">IF(OR(AND(D3="O 500 RS E V",AA3="SM2"),AND(D3="O 500 RS E V",AA3="SM4")),((M3+20000)-S3)*-1,IF(AND(D3&lt;&gt;"O 500 RS E V",S3&gt;M3),S3-M3," "))</f>
        <v xml:space="preserve"> </v>
      </c>
      <c r="U3" s="15" t="str">
        <f>_xlfn.IFS(AND(Tabla14[[#This Row],[MODELO]]=D3,Tabla14[[#This Row],[INTERV. MAT. (KM)]]=M3,Tabla14[[#This Row],[ACUM. PRÓX. MAT.]]&lt;=7999),"NORMALIDAD",Tabla14[[#This Row],[ACUM. PRÓX. MAT.]]&lt;9999,"MANT.PRÓX.",Tabla14[[#This Row],[ACUM. PRÓX. MAT.]]&gt;=10000,"MANT.VENCIDO")</f>
        <v>NORMALIDAD</v>
      </c>
      <c r="V3" s="86">
        <v>90469</v>
      </c>
      <c r="W3" s="103">
        <v>45771</v>
      </c>
      <c r="X3" s="4">
        <f ca="1">IFERROR(VLOOKUP('PARÁMETROS MANT.'!A7,'PARÁMETROS MANT.'!$A$2:$GH$35,AB3,FALSE),0)-Tabla14[[#This Row],[INTERV. MAT. (KM)]]</f>
        <v>90000</v>
      </c>
      <c r="Y3" s="86">
        <f>IFERROR(AH3/AG3,0)</f>
        <v>5.5592948717948714</v>
      </c>
      <c r="Z3" s="4">
        <f ca="1">IFERROR(VLOOKUP('PARÁMETROS MANT.'!A7,'PARÁMETROS MANT.'!$A$2:$GH$35,AB3,FALSE),0)</f>
        <v>100000</v>
      </c>
      <c r="AA3" s="98" t="str">
        <f ca="1">IFERROR(VLOOKUP(Tabla14[[#This Row],[MODELO]],'PARÁMETROS MANT.'!$A$2:$GY$35,AB3,FALSE),0)</f>
        <v>M10</v>
      </c>
      <c r="AB3" s="85">
        <f ca="1">IFERROR(MATCH(Tabla14[[#This Row],[KM ACTUAL]],INDIRECT(Tabla14[[#This Row],[BUSQUEDA DE MODELO EN PARAMETROS MANT.]],TRUE),1)+3,0)</f>
        <v>12</v>
      </c>
      <c r="AC3" s="82">
        <f>IFERROR(MATCH(Tabla1[[#This Row],[MODELO]],'PARÁMETROS MANT.'!$A$2:$A$35,0)+2,0)</f>
        <v>21</v>
      </c>
      <c r="AD3" s="32" t="str">
        <f>VLOOKUP(Tabla14[[#This Row],[MODELO]],'PARÁMETROS MANT.'!$A$1:$B$35,2,FALSE)</f>
        <v>'PARÁMETROS MANT.'!C7:BY7</v>
      </c>
      <c r="AE3" s="82" t="str">
        <f ca="1">IFERROR(SUBSTITUTE(ADDRESS(1,AB3,4),"1",""),0)</f>
        <v>L</v>
      </c>
      <c r="AF3" s="82" t="str">
        <f ca="1">CONCATENATE("'PARÁMETROS MANT.'!"&amp;AE3,AC3)</f>
        <v>'PARÁMETROS MANT.'!L21</v>
      </c>
      <c r="AG3" s="34">
        <f>Tabla14[[#This Row],[F. KM ACT.]]-Tabla14[[#This Row],[F. ULT. MANT.]]</f>
        <v>624</v>
      </c>
      <c r="AH3" s="34">
        <f>Tabla14[[#This Row],[KM ACTUAL]]-Tabla14[[#This Row],[KM ULT. MANT.]]</f>
        <v>3469</v>
      </c>
      <c r="AI3" s="111">
        <f ca="1">AJ3-$AJ$1</f>
        <v>1714.4260593831059</v>
      </c>
      <c r="AJ3" s="112">
        <f t="shared" ref="AJ3:AJ35" ca="1" si="1">IFERROR(TODAY()+(INDIRECT(AF3,1)-V3)/Y3,0)</f>
        <v>47532.426059383106</v>
      </c>
    </row>
    <row r="4" spans="1:36" ht="18.75" customHeight="1" x14ac:dyDescent="0.25">
      <c r="A4" s="83">
        <v>4</v>
      </c>
      <c r="B4" s="4" t="s">
        <v>333</v>
      </c>
      <c r="C4" s="4" t="s">
        <v>447</v>
      </c>
      <c r="D4" s="32" t="s">
        <v>3</v>
      </c>
      <c r="E4" s="32" t="s">
        <v>103</v>
      </c>
      <c r="F4" s="4" t="s">
        <v>448</v>
      </c>
      <c r="G4" s="32" t="s">
        <v>449</v>
      </c>
      <c r="H4" s="32" t="s">
        <v>451</v>
      </c>
      <c r="I4" s="32" t="s">
        <v>452</v>
      </c>
      <c r="J4" s="4" t="s">
        <v>336</v>
      </c>
      <c r="K4" s="134">
        <v>2016</v>
      </c>
      <c r="L4" s="4" t="s">
        <v>338</v>
      </c>
      <c r="M4" s="133">
        <v>10000</v>
      </c>
      <c r="N4" s="32" t="s">
        <v>450</v>
      </c>
      <c r="O4" s="133">
        <v>73239</v>
      </c>
      <c r="P4" s="4">
        <f>ROUND(Tabla14[[#This Row],[KM ULT. MANT.]],-4)</f>
        <v>70000</v>
      </c>
      <c r="Q4" s="135">
        <v>45292</v>
      </c>
      <c r="R4" s="3" t="s">
        <v>35</v>
      </c>
      <c r="S4" s="133">
        <f>IFERROR(IF(O4&lt;&gt;0,V4-O4," "),0)</f>
        <v>761</v>
      </c>
      <c r="T4" s="134" t="str">
        <f ca="1">IF(OR(AND(D4="O 500 RS E V",AA4="SM2"),AND(D4="O 500 RS E V",AA4="SM4")),((M4+20000)-S4)*-1,IF(AND(D4&lt;&gt;"O 500 RS E V",S4&gt;M4),S4-M4," "))</f>
        <v xml:space="preserve"> </v>
      </c>
      <c r="U4" s="15" t="str">
        <f>_xlfn.IFS(AND(Tabla14[[#This Row],[MODELO]]=D4,Tabla14[[#This Row],[INTERV. MAT. (KM)]]=M4,Tabla14[[#This Row],[ACUM. PRÓX. MAT.]]&lt;=7999),"NORMALIDAD",Tabla14[[#This Row],[ACUM. PRÓX. MAT.]]&lt;9999,"MANT.PRÓX.",Tabla14[[#This Row],[ACUM. PRÓX. MAT.]]&gt;=10000,"MANT.VENCIDO")</f>
        <v>NORMALIDAD</v>
      </c>
      <c r="V4" s="137">
        <v>74000</v>
      </c>
      <c r="W4" s="136">
        <v>45771</v>
      </c>
      <c r="X4" s="103"/>
      <c r="Y4" s="137">
        <f>IFERROR(AH4/AG4,0)</f>
        <v>1.5887265135699373</v>
      </c>
      <c r="Z4" s="133">
        <f>ROUND(Tabla14[[#This Row],[KM ACTUAL]]/20000,0)*20000</f>
        <v>80000</v>
      </c>
      <c r="AA4" s="138" t="str">
        <f ca="1">IFERROR(VLOOKUP(Tabla14[[#This Row],[MODELO]],'PARÁMETROS MANT.'!$A$2:$GY$35,AB4,FALSE),0)</f>
        <v>M24</v>
      </c>
      <c r="AB4" s="137">
        <f ca="1">IFERROR(MATCH(Tabla1[[#This Row],[KM ACTUAL]],INDIRECT(Tabla1[[#This Row],[BUSQUEDA DE MODELO EN PARAMETROS MANT.]],TRUE),1)+3,0)</f>
        <v>26</v>
      </c>
      <c r="AC4" s="133">
        <f>IFERROR(MATCH(Tabla1[[#This Row],[MODELO]],'PARÁMETROS MANT.'!$A$2:$A$35,0)+2,0)</f>
        <v>25</v>
      </c>
      <c r="AD4" s="133" t="str">
        <f>VLOOKUP(Tabla14[[#This Row],[MODELO]],'PARÁMETROS MANT.'!$A$1:$B$35,2,FALSE)</f>
        <v>'PARÁMETROS MANT.'!C31:BY31</v>
      </c>
      <c r="AE4" s="133" t="str">
        <f ca="1">IFERROR(SUBSTITUTE(ADDRESS(1,AB4,4),"1",""),0)</f>
        <v>Z</v>
      </c>
      <c r="AF4" s="133" t="str">
        <f ca="1">CONCATENATE("'PARÁMETROS MANT.'!"&amp;AE4,AC4)</f>
        <v>'PARÁMETROS MANT.'!Z25</v>
      </c>
      <c r="AG4" s="34">
        <f>Tabla14[[#This Row],[F. KM ACT.]]-Tabla14[[#This Row],[F. ULT. MANT.]]</f>
        <v>479</v>
      </c>
      <c r="AH4" s="34">
        <f>Tabla14[[#This Row],[KM ACTUAL]]-Tabla14[[#This Row],[KM ULT. MANT.]]</f>
        <v>761</v>
      </c>
      <c r="AI4" s="111">
        <f ca="1">AJ4-$AJ$1</f>
        <v>242961.89224704338</v>
      </c>
      <c r="AJ4" s="112">
        <f t="shared" ca="1" si="1"/>
        <v>288779.89224704338</v>
      </c>
    </row>
    <row r="5" spans="1:36" ht="18.75" customHeight="1" x14ac:dyDescent="0.25">
      <c r="A5" s="27">
        <v>61</v>
      </c>
      <c r="B5" s="28" t="s">
        <v>0</v>
      </c>
      <c r="C5" s="28" t="s">
        <v>99</v>
      </c>
      <c r="D5" s="15" t="s">
        <v>74</v>
      </c>
      <c r="E5" s="27" t="s">
        <v>103</v>
      </c>
      <c r="F5" s="27" t="s">
        <v>232</v>
      </c>
      <c r="G5" s="29" t="s">
        <v>121</v>
      </c>
      <c r="H5" s="35">
        <v>47697210713920</v>
      </c>
      <c r="I5" s="28" t="s">
        <v>104</v>
      </c>
      <c r="J5" s="28" t="s">
        <v>102</v>
      </c>
      <c r="K5" s="27">
        <v>1999</v>
      </c>
      <c r="L5" s="28" t="s">
        <v>103</v>
      </c>
      <c r="M5" s="4">
        <v>30000</v>
      </c>
      <c r="N5" s="28" t="s">
        <v>170</v>
      </c>
      <c r="O5" s="4">
        <v>1904996</v>
      </c>
      <c r="P5" s="4">
        <f>ROUND(Tabla14[[#This Row],[KM ULT. MANT.]],-4)</f>
        <v>1900000</v>
      </c>
      <c r="Q5" s="3">
        <v>43941</v>
      </c>
      <c r="R5" s="3" t="s">
        <v>192</v>
      </c>
      <c r="S5" s="15">
        <f t="shared" ref="S5:S35" si="2">IFERROR(IF(O5&lt;&gt;0,V5-O5," "),0)</f>
        <v>692</v>
      </c>
      <c r="T5" s="4" t="str">
        <f t="shared" ca="1" si="0"/>
        <v xml:space="preserve"> </v>
      </c>
      <c r="U5" s="15" t="str">
        <f>_xlfn.IFS(AND(Tabla14[[#This Row],[MODELO]]=D5,Tabla14[[#This Row],[INTERV. MAT. (KM)]]=M5,Tabla14[[#This Row],[ACUM. PRÓX. MAT.]]&lt;=24999),"NORMALIDAD",Tabla14[[#This Row],[ACUM. PRÓX. MAT.]]&lt;29999,"MANT.PRÓX.",Tabla14[[#This Row],[ACUM. PRÓX. MAT.]]&gt;=30000,"MANT.VENCIDO")</f>
        <v>NORMALIDAD</v>
      </c>
      <c r="V5" s="4">
        <v>1905688</v>
      </c>
      <c r="W5" s="103">
        <v>45771</v>
      </c>
      <c r="X5" s="4">
        <f ca="1">IFERROR(VLOOKUP('PARÁMETROS MANT.'!A23,'PARÁMETROS MANT.'!$A$2:$GH$35,AB5,FALSE),0)-Tabla14[[#This Row],[INTERV. MAT. (KM)]]</f>
        <v>1890000</v>
      </c>
      <c r="Y5" s="30">
        <f t="shared" ref="Y5:Y35" si="3">IFERROR(AH5/AG5,0)</f>
        <v>0.37814207650273224</v>
      </c>
      <c r="Z5" s="4">
        <f ca="1">IFERROR(VLOOKUP('PARÁMETROS MANT.'!A23,'PARÁMETROS MANT.'!$A$2:$GH$35,AB5,FALSE),0)</f>
        <v>1920000</v>
      </c>
      <c r="AA5" s="15" t="str">
        <f ca="1">IFERROR(VLOOKUP(Tabla14[[#This Row],[MODELO]],'PARÁMETROS MANT.'!$A$2:$GY$35,AB5,FALSE),0)</f>
        <v>SM3</v>
      </c>
      <c r="AB5" s="31">
        <f ca="1">IFERROR(MATCH(Tabla14[[#This Row],[KM ACTUAL]],INDIRECT(Tabla14[[#This Row],[BUSQUEDA DE MODELO EN PARAMETROS MANT.]],TRUE),1)+3,0)</f>
        <v>67</v>
      </c>
      <c r="AC5" s="32">
        <f>IFERROR(MATCH(Tabla14[[#This Row],[MODELO]],'PARÁMETROS MANT.'!$A$2:$A$35,0)+2,0)</f>
        <v>23</v>
      </c>
      <c r="AD5" s="32" t="str">
        <f>VLOOKUP(Tabla14[[#This Row],[MODELO]],'PARÁMETROS MANT.'!$A$2:$B$35,2,FALSE)</f>
        <v>'PARÁMETROS MANT.'!C23:GY23</v>
      </c>
      <c r="AE5" s="32" t="str">
        <f t="shared" ref="AE5:AE29" ca="1" si="4">IFERROR(SUBSTITUTE(ADDRESS(1,AB5,4),"1",""),0)</f>
        <v>BO</v>
      </c>
      <c r="AF5" s="32" t="str">
        <f t="shared" ref="AF5:AF29" ca="1" si="5">CONCATENATE("'PARÁMETROS MANT.'!"&amp;AE5,AC5)</f>
        <v>'PARÁMETROS MANT.'!BO23</v>
      </c>
      <c r="AG5" s="34">
        <f>Tabla14[[#This Row],[F. KM ACT.]]-Tabla14[[#This Row],[F. ULT. MANT.]]</f>
        <v>1830</v>
      </c>
      <c r="AH5" s="34">
        <f>Tabla14[[#This Row],[KM ACTUAL]]-Tabla14[[#This Row],[KM ULT. MANT.]]</f>
        <v>692</v>
      </c>
      <c r="AI5" s="111">
        <f t="shared" ref="AI5:AI35" ca="1" si="6">AJ5-$AJ$1</f>
        <v>37848.208092485555</v>
      </c>
      <c r="AJ5" s="112">
        <f t="shared" ca="1" si="1"/>
        <v>83666.208092485555</v>
      </c>
    </row>
    <row r="6" spans="1:36" ht="19.5" customHeight="1" x14ac:dyDescent="0.25">
      <c r="A6" s="11">
        <v>135</v>
      </c>
      <c r="B6" s="12" t="s">
        <v>0</v>
      </c>
      <c r="C6" s="28" t="s">
        <v>99</v>
      </c>
      <c r="D6" s="15" t="s">
        <v>74</v>
      </c>
      <c r="E6" s="27" t="s">
        <v>100</v>
      </c>
      <c r="F6" s="11" t="s">
        <v>233</v>
      </c>
      <c r="G6" s="13" t="s">
        <v>122</v>
      </c>
      <c r="H6" s="35" t="s">
        <v>123</v>
      </c>
      <c r="I6" s="28" t="s">
        <v>124</v>
      </c>
      <c r="J6" s="28" t="s">
        <v>102</v>
      </c>
      <c r="K6" s="11">
        <v>2006</v>
      </c>
      <c r="L6" s="28" t="s">
        <v>125</v>
      </c>
      <c r="M6" s="15">
        <v>30000</v>
      </c>
      <c r="N6" s="12" t="s">
        <v>171</v>
      </c>
      <c r="O6" s="4">
        <v>2596121</v>
      </c>
      <c r="P6" s="4">
        <f>ROUND(Tabla14[[#This Row],[KM ULT. MANT.]],-4)</f>
        <v>2600000</v>
      </c>
      <c r="Q6" s="3">
        <v>43907</v>
      </c>
      <c r="R6" s="3" t="s">
        <v>192</v>
      </c>
      <c r="S6" s="15">
        <f t="shared" si="2"/>
        <v>8997</v>
      </c>
      <c r="T6" s="15" t="str">
        <f t="shared" ca="1" si="0"/>
        <v xml:space="preserve"> </v>
      </c>
      <c r="U6" s="15" t="str">
        <f>_xlfn.IFS(AND(Tabla14[[#This Row],[MODELO]]=D6,Tabla14[[#This Row],[INTERV. MAT. (KM)]]=M6,Tabla14[[#This Row],[ACUM. PRÓX. MAT.]]&lt;=24999),"NORMALIDAD",Tabla14[[#This Row],[ACUM. PRÓX. MAT.]]&lt;29999,"MANT.PRÓX.",Tabla14[[#This Row],[ACUM. PRÓX. MAT.]]&gt;=30000,"MANT.VENCIDO")</f>
        <v>NORMALIDAD</v>
      </c>
      <c r="V6" s="4">
        <v>2605118</v>
      </c>
      <c r="W6" s="136">
        <v>45771</v>
      </c>
      <c r="X6" s="4">
        <f ca="1">IFERROR(VLOOKUP('PARÁMETROS MANT.'!A23,'PARÁMETROS MANT.'!$A$2:$GH$35,AB6,FALSE),0)-Tabla14[[#This Row],[INTERV. MAT. (KM)]]</f>
        <v>2580000</v>
      </c>
      <c r="Y6" s="16">
        <f t="shared" si="3"/>
        <v>4.8267167381974252</v>
      </c>
      <c r="Z6" s="4">
        <f ca="1">IFERROR(VLOOKUP('PARÁMETROS MANT.'!A23,'PARÁMETROS MANT.'!$A$2:$GH$35,AB6,FALSE),0)</f>
        <v>2610000</v>
      </c>
      <c r="AA6" s="15" t="str">
        <f ca="1">IFERROR(VLOOKUP(Tabla14[[#This Row],[MODELO]],'PARÁMETROS MANT.'!$A$2:$GY$35,AB6,FALSE),0)</f>
        <v>SM1</v>
      </c>
      <c r="AB6" s="31">
        <f ca="1">IFERROR(MATCH(Tabla14[[#This Row],[KM ACTUAL]],INDIRECT(Tabla14[[#This Row],[BUSQUEDA DE MODELO EN PARAMETROS MANT.]],TRUE),1)+3,0)</f>
        <v>90</v>
      </c>
      <c r="AC6" s="32">
        <f>IFERROR(MATCH(Tabla14[[#This Row],[MODELO]],'PARÁMETROS MANT.'!$A$2:$A$35,0)+2,0)</f>
        <v>23</v>
      </c>
      <c r="AD6" s="32" t="str">
        <f>VLOOKUP(Tabla14[[#This Row],[MODELO]],'PARÁMETROS MANT.'!$A$1:$B$35,2,FALSE)</f>
        <v>'PARÁMETROS MANT.'!C23:GY23</v>
      </c>
      <c r="AE6" s="32" t="str">
        <f t="shared" ca="1" si="4"/>
        <v>CL</v>
      </c>
      <c r="AF6" s="32" t="str">
        <f t="shared" ca="1" si="5"/>
        <v>'PARÁMETROS MANT.'!CL23</v>
      </c>
      <c r="AG6" s="34">
        <f>Tabla14[[#This Row],[F. KM ACT.]]-Tabla14[[#This Row],[F. ULT. MANT.]]</f>
        <v>1864</v>
      </c>
      <c r="AH6" s="34">
        <f>Tabla14[[#This Row],[KM ACTUAL]]-Tabla14[[#This Row],[KM ULT. MANT.]]</f>
        <v>8997</v>
      </c>
      <c r="AI6" s="111">
        <f t="shared" ca="1" si="6"/>
        <v>1011.45359564299</v>
      </c>
      <c r="AJ6" s="112">
        <f t="shared" ca="1" si="1"/>
        <v>46829.45359564299</v>
      </c>
    </row>
    <row r="7" spans="1:36" ht="15" customHeight="1" x14ac:dyDescent="0.25">
      <c r="A7" s="11">
        <v>137</v>
      </c>
      <c r="B7" s="12" t="s">
        <v>0</v>
      </c>
      <c r="C7" s="28" t="s">
        <v>99</v>
      </c>
      <c r="D7" s="15" t="s">
        <v>74</v>
      </c>
      <c r="E7" s="27" t="s">
        <v>100</v>
      </c>
      <c r="F7" s="11" t="s">
        <v>234</v>
      </c>
      <c r="G7" s="13" t="s">
        <v>126</v>
      </c>
      <c r="H7" s="35">
        <v>45792510817240</v>
      </c>
      <c r="I7" s="28" t="s">
        <v>104</v>
      </c>
      <c r="J7" s="28" t="s">
        <v>102</v>
      </c>
      <c r="K7" s="11">
        <v>2006</v>
      </c>
      <c r="L7" s="28" t="s">
        <v>125</v>
      </c>
      <c r="M7" s="15">
        <v>30000</v>
      </c>
      <c r="N7" s="12" t="s">
        <v>419</v>
      </c>
      <c r="O7" s="4">
        <v>2046578</v>
      </c>
      <c r="P7" s="4">
        <f>ROUND(Tabla14[[#This Row],[KM ULT. MANT.]],-4)</f>
        <v>2050000</v>
      </c>
      <c r="Q7" s="3">
        <v>43866</v>
      </c>
      <c r="R7" s="3" t="s">
        <v>192</v>
      </c>
      <c r="S7" s="15">
        <f t="shared" si="2"/>
        <v>7556</v>
      </c>
      <c r="T7" s="15" t="str">
        <f t="shared" ca="1" si="0"/>
        <v xml:space="preserve"> </v>
      </c>
      <c r="U7" s="15" t="str">
        <f>_xlfn.IFS(AND(Tabla14[[#This Row],[MODELO]]=D7,Tabla14[[#This Row],[INTERV. MAT. (KM)]]=M7,Tabla14[[#This Row],[ACUM. PRÓX. MAT.]]&lt;=24999),"NORMALIDAD",Tabla14[[#This Row],[ACUM. PRÓX. MAT.]]&lt;29999,"MANT.PRÓX.",Tabla14[[#This Row],[ACUM. PRÓX. MAT.]]&gt;=30000,"MANT.VENCIDO")</f>
        <v>NORMALIDAD</v>
      </c>
      <c r="V7" s="4">
        <v>2054134</v>
      </c>
      <c r="W7" s="103">
        <v>45771</v>
      </c>
      <c r="X7" s="4">
        <f ca="1">IFERROR(VLOOKUP('PARÁMETROS MANT.'!A23,'PARÁMETROS MANT.'!$A$2:$GH$35,AB7,FALSE),0)-Tabla14[[#This Row],[INTERV. MAT. (KM)]]</f>
        <v>2040000</v>
      </c>
      <c r="Y7" s="16">
        <f t="shared" si="3"/>
        <v>3.9664041994750656</v>
      </c>
      <c r="Z7" s="4">
        <f ca="1">IFERROR(VLOOKUP('PARÁMETROS MANT.'!A23,'PARÁMETROS MANT.'!$A$2:$GH$35,AB7,FALSE),0)</f>
        <v>2070000</v>
      </c>
      <c r="AA7" s="15" t="str">
        <f ca="1">IFERROR(VLOOKUP(Tabla14[[#This Row],[MODELO]],'PARÁMETROS MANT.'!$A$2:$GY$35,AB7,FALSE),0)</f>
        <v>SM1</v>
      </c>
      <c r="AB7" s="31">
        <f ca="1">IFERROR(MATCH(Tabla14[[#This Row],[KM ACTUAL]],INDIRECT(Tabla14[[#This Row],[BUSQUEDA DE MODELO EN PARAMETROS MANT.]],TRUE),1)+3,0)</f>
        <v>72</v>
      </c>
      <c r="AC7" s="32">
        <f>IFERROR(MATCH(Tabla14[[#This Row],[MODELO]],'PARÁMETROS MANT.'!$A$2:$A$35,0)+2,0)</f>
        <v>23</v>
      </c>
      <c r="AD7" s="32" t="str">
        <f>VLOOKUP(Tabla14[[#This Row],[MODELO]],'PARÁMETROS MANT.'!$A$1:$B$35,2,FALSE)</f>
        <v>'PARÁMETROS MANT.'!C23:GY23</v>
      </c>
      <c r="AE7" s="32" t="str">
        <f t="shared" ca="1" si="4"/>
        <v>BT</v>
      </c>
      <c r="AF7" s="32" t="str">
        <f t="shared" ca="1" si="5"/>
        <v>'PARÁMETROS MANT.'!BT23</v>
      </c>
      <c r="AG7" s="34">
        <f>Tabla14[[#This Row],[F. KM ACT.]]-Tabla14[[#This Row],[F. ULT. MANT.]]</f>
        <v>1905</v>
      </c>
      <c r="AH7" s="34">
        <f>Tabla14[[#This Row],[KM ACTUAL]]-Tabla14[[#This Row],[KM ULT. MANT.]]</f>
        <v>7556</v>
      </c>
      <c r="AI7" s="111">
        <f t="shared" ca="1" si="6"/>
        <v>4000.0966119639997</v>
      </c>
      <c r="AJ7" s="112">
        <f t="shared" ca="1" si="1"/>
        <v>49818.096611964</v>
      </c>
    </row>
    <row r="8" spans="1:36" ht="15" customHeight="1" x14ac:dyDescent="0.25">
      <c r="A8" s="11">
        <v>175</v>
      </c>
      <c r="B8" s="12" t="s">
        <v>0</v>
      </c>
      <c r="C8" s="28" t="s">
        <v>99</v>
      </c>
      <c r="D8" s="15" t="s">
        <v>74</v>
      </c>
      <c r="E8" s="27" t="s">
        <v>100</v>
      </c>
      <c r="F8" s="11" t="s">
        <v>265</v>
      </c>
      <c r="G8" s="14" t="s">
        <v>127</v>
      </c>
      <c r="H8" s="37" t="s">
        <v>128</v>
      </c>
      <c r="I8" s="28" t="s">
        <v>129</v>
      </c>
      <c r="J8" s="28" t="s">
        <v>102</v>
      </c>
      <c r="K8" s="11">
        <v>2010</v>
      </c>
      <c r="L8" s="28" t="s">
        <v>125</v>
      </c>
      <c r="M8" s="15">
        <v>30000</v>
      </c>
      <c r="N8" s="12" t="s">
        <v>419</v>
      </c>
      <c r="O8" s="4">
        <v>1530244</v>
      </c>
      <c r="P8" s="4">
        <f>ROUND(Tabla14[[#This Row],[KM ULT. MANT.]],-4)</f>
        <v>1530000</v>
      </c>
      <c r="Q8" s="3">
        <v>45058</v>
      </c>
      <c r="R8" s="3" t="s">
        <v>8</v>
      </c>
      <c r="S8" s="15">
        <f t="shared" si="2"/>
        <v>6257</v>
      </c>
      <c r="T8" s="15" t="str">
        <f t="shared" ca="1" si="0"/>
        <v xml:space="preserve"> </v>
      </c>
      <c r="U8" s="15" t="str">
        <f>_xlfn.IFS(AND(Tabla14[[#This Row],[MODELO]]=D8,Tabla14[[#This Row],[INTERV. MAT. (KM)]]=M8,Tabla14[[#This Row],[ACUM. PRÓX. MAT.]]&lt;=24999),"NORMALIDAD",Tabla14[[#This Row],[ACUM. PRÓX. MAT.]]&lt;29999,"MANT.PRÓX.",Tabla14[[#This Row],[ACUM. PRÓX. MAT.]]&gt;=30000,"MANT.VENCIDO")</f>
        <v>NORMALIDAD</v>
      </c>
      <c r="V8" s="4">
        <v>1536501</v>
      </c>
      <c r="W8" s="136">
        <v>45771</v>
      </c>
      <c r="X8" s="4">
        <f ca="1">IFERROR(VLOOKUP('PARÁMETROS MANT.'!A23,'PARÁMETROS MANT.'!$A$2:$GH$35,AB8,FALSE),0)-Tabla14[[#This Row],[INTERV. MAT. (KM)]]</f>
        <v>1530000</v>
      </c>
      <c r="Y8" s="16">
        <f t="shared" si="3"/>
        <v>8.7755960729312754</v>
      </c>
      <c r="Z8" s="4">
        <f ca="1">IFERROR(VLOOKUP('PARÁMETROS MANT.'!A23,'PARÁMETROS MANT.'!$A$2:$GH$35,AB8,FALSE),0)</f>
        <v>1560000</v>
      </c>
      <c r="AA8" s="15" t="str">
        <f ca="1">IFERROR(VLOOKUP(Tabla14[[#This Row],[MODELO]],'PARÁMETROS MANT.'!$A$2:$GY$35,AB8,FALSE),0)</f>
        <v>SM3</v>
      </c>
      <c r="AB8" s="31">
        <f ca="1">IFERROR(MATCH(Tabla14[[#This Row],[KM ACTUAL]],INDIRECT(Tabla14[[#This Row],[BUSQUEDA DE MODELO EN PARAMETROS MANT.]],TRUE),1)+3,0)</f>
        <v>55</v>
      </c>
      <c r="AC8" s="32">
        <f>IFERROR(MATCH(Tabla14[[#This Row],[MODELO]],'PARÁMETROS MANT.'!$A$2:$A$35,0)+2,0)</f>
        <v>23</v>
      </c>
      <c r="AD8" s="32" t="str">
        <f>VLOOKUP(Tabla14[[#This Row],[MODELO]],'PARÁMETROS MANT.'!$A$1:$B$35,2,FALSE)</f>
        <v>'PARÁMETROS MANT.'!C23:GY23</v>
      </c>
      <c r="AE8" s="32" t="str">
        <f t="shared" ca="1" si="4"/>
        <v>BC</v>
      </c>
      <c r="AF8" s="32" t="str">
        <f t="shared" ca="1" si="5"/>
        <v>'PARÁMETROS MANT.'!BC23</v>
      </c>
      <c r="AG8" s="34">
        <f>Tabla14[[#This Row],[F. KM ACT.]]-Tabla14[[#This Row],[F. ULT. MANT.]]</f>
        <v>713</v>
      </c>
      <c r="AH8" s="34">
        <f>Tabla14[[#This Row],[KM ACTUAL]]-Tabla14[[#This Row],[KM ULT. MANT.]]</f>
        <v>6257</v>
      </c>
      <c r="AI8" s="111">
        <f t="shared" ca="1" si="6"/>
        <v>2677.7668211603013</v>
      </c>
      <c r="AJ8" s="112">
        <f t="shared" ca="1" si="1"/>
        <v>48495.766821160301</v>
      </c>
    </row>
    <row r="9" spans="1:36" ht="15" customHeight="1" x14ac:dyDescent="0.25">
      <c r="A9" s="11">
        <v>177</v>
      </c>
      <c r="B9" s="12" t="s">
        <v>0</v>
      </c>
      <c r="C9" s="28" t="s">
        <v>99</v>
      </c>
      <c r="D9" s="15" t="s">
        <v>74</v>
      </c>
      <c r="E9" s="27" t="s">
        <v>100</v>
      </c>
      <c r="F9" s="11" t="s">
        <v>266</v>
      </c>
      <c r="G9" s="14" t="s">
        <v>131</v>
      </c>
      <c r="H9" s="38" t="s">
        <v>132</v>
      </c>
      <c r="I9" s="28" t="s">
        <v>129</v>
      </c>
      <c r="J9" s="28" t="s">
        <v>102</v>
      </c>
      <c r="K9" s="11">
        <v>2010</v>
      </c>
      <c r="L9" s="28" t="s">
        <v>125</v>
      </c>
      <c r="M9" s="15">
        <v>30000</v>
      </c>
      <c r="N9" s="12" t="s">
        <v>419</v>
      </c>
      <c r="O9" s="4">
        <v>1590235</v>
      </c>
      <c r="P9" s="4">
        <f>ROUND(Tabla14[[#This Row],[KM ULT. MANT.]],-4)</f>
        <v>1590000</v>
      </c>
      <c r="Q9" s="3">
        <v>45090</v>
      </c>
      <c r="R9" s="3" t="s">
        <v>8</v>
      </c>
      <c r="S9" s="15">
        <f t="shared" si="2"/>
        <v>20919</v>
      </c>
      <c r="T9" s="15" t="str">
        <f t="shared" ca="1" si="0"/>
        <v xml:space="preserve"> </v>
      </c>
      <c r="U9" s="15" t="str">
        <f>_xlfn.IFS(AND(Tabla14[[#This Row],[MODELO]]=D9,Tabla14[[#This Row],[INTERV. MAT. (KM)]]=M9,Tabla14[[#This Row],[ACUM. PRÓX. MAT.]]&lt;=24999),"NORMALIDAD",Tabla14[[#This Row],[ACUM. PRÓX. MAT.]]&lt;29999,"MANT.PRÓX.",Tabla14[[#This Row],[ACUM. PRÓX. MAT.]]&gt;=30000,"MANT.VENCIDO")</f>
        <v>NORMALIDAD</v>
      </c>
      <c r="V9" s="4">
        <v>1611154</v>
      </c>
      <c r="W9" s="103">
        <v>45771</v>
      </c>
      <c r="X9" s="4">
        <f ca="1">IFERROR(VLOOKUP('PARÁMETROS MANT.'!A23,'PARÁMETROS MANT.'!$A$2:$GH$35,AB9,FALSE),0)-Tabla14[[#This Row],[INTERV. MAT. (KM)]]</f>
        <v>1590000</v>
      </c>
      <c r="Y9" s="16">
        <f t="shared" si="3"/>
        <v>30.718061674008812</v>
      </c>
      <c r="Z9" s="4">
        <f ca="1">IFERROR(VLOOKUP('PARÁMETROS MANT.'!A23,'PARÁMETROS MANT.'!$A$2:$GH$35,AB9,FALSE),0)</f>
        <v>1620000</v>
      </c>
      <c r="AA9" s="15" t="str">
        <f ca="1">IFERROR(VLOOKUP(Tabla14[[#This Row],[MODELO]],'PARÁMETROS MANT.'!$A$2:$GY$35,AB9,FALSE),0)</f>
        <v>SM4</v>
      </c>
      <c r="AB9" s="31">
        <f ca="1">IFERROR(MATCH(Tabla14[[#This Row],[KM ACTUAL]],INDIRECT(Tabla14[[#This Row],[BUSQUEDA DE MODELO EN PARAMETROS MANT.]],TRUE),1)+3,0)</f>
        <v>57</v>
      </c>
      <c r="AC9" s="32">
        <f>IFERROR(MATCH(Tabla14[[#This Row],[MODELO]],'PARÁMETROS MANT.'!$A$2:$A$35,0)+2,0)</f>
        <v>23</v>
      </c>
      <c r="AD9" s="32" t="str">
        <f>VLOOKUP(Tabla14[[#This Row],[MODELO]],'PARÁMETROS MANT.'!$A$1:$B$35,2,FALSE)</f>
        <v>'PARÁMETROS MANT.'!C23:GY23</v>
      </c>
      <c r="AE9" s="32" t="str">
        <f t="shared" ca="1" si="4"/>
        <v>BE</v>
      </c>
      <c r="AF9" s="32" t="str">
        <f t="shared" ca="1" si="5"/>
        <v>'PARÁMETROS MANT.'!BE23</v>
      </c>
      <c r="AG9" s="34">
        <f>Tabla14[[#This Row],[F. KM ACT.]]-Tabla14[[#This Row],[F. ULT. MANT.]]</f>
        <v>681</v>
      </c>
      <c r="AH9" s="34">
        <f>Tabla14[[#This Row],[KM ACTUAL]]-Tabla14[[#This Row],[KM ULT. MANT.]]</f>
        <v>20919</v>
      </c>
      <c r="AI9" s="111">
        <f t="shared" ca="1" si="6"/>
        <v>287.97389932597434</v>
      </c>
      <c r="AJ9" s="112">
        <f t="shared" ca="1" si="1"/>
        <v>46105.973899325974</v>
      </c>
    </row>
    <row r="10" spans="1:36" ht="15" customHeight="1" x14ac:dyDescent="0.25">
      <c r="A10" s="11">
        <v>178</v>
      </c>
      <c r="B10" s="12" t="s">
        <v>0</v>
      </c>
      <c r="C10" s="28" t="s">
        <v>99</v>
      </c>
      <c r="D10" s="15" t="s">
        <v>74</v>
      </c>
      <c r="E10" s="27" t="s">
        <v>100</v>
      </c>
      <c r="F10" s="11" t="s">
        <v>267</v>
      </c>
      <c r="G10" s="14" t="s">
        <v>133</v>
      </c>
      <c r="H10" s="37" t="s">
        <v>134</v>
      </c>
      <c r="I10" s="28" t="s">
        <v>135</v>
      </c>
      <c r="J10" s="28" t="s">
        <v>136</v>
      </c>
      <c r="K10" s="11">
        <v>2010</v>
      </c>
      <c r="L10" s="28" t="s">
        <v>125</v>
      </c>
      <c r="M10" s="15">
        <v>30000</v>
      </c>
      <c r="N10" s="12" t="s">
        <v>171</v>
      </c>
      <c r="O10" s="4">
        <v>628170</v>
      </c>
      <c r="P10" s="4">
        <f>ROUND(Tabla14[[#This Row],[KM ULT. MANT.]],-4)</f>
        <v>630000</v>
      </c>
      <c r="Q10" s="3">
        <v>45709</v>
      </c>
      <c r="R10" s="3" t="s">
        <v>8</v>
      </c>
      <c r="S10" s="15">
        <f t="shared" si="2"/>
        <v>30427</v>
      </c>
      <c r="T10" s="15">
        <f t="shared" ca="1" si="0"/>
        <v>427</v>
      </c>
      <c r="U10" s="15" t="str">
        <f>_xlfn.IFS(AND(Tabla14[[#This Row],[MODELO]]=D10,Tabla14[[#This Row],[INTERV. MAT. (KM)]]=M10,Tabla14[[#This Row],[ACUM. PRÓX. MAT.]]&lt;=24999),"NORMALIDAD",Tabla14[[#This Row],[ACUM. PRÓX. MAT.]]&lt;29999,"MANT.PRÓX.",Tabla14[[#This Row],[ACUM. PRÓX. MAT.]]&gt;=30000,"MANT.VENCIDO")</f>
        <v>MANT.VENCIDO</v>
      </c>
      <c r="V10" s="4">
        <v>658597</v>
      </c>
      <c r="W10" s="136">
        <v>45771</v>
      </c>
      <c r="X10" s="4">
        <f ca="1">IFERROR(VLOOKUP('PARÁMETROS MANT.'!A23,'PARÁMETROS MANT.'!$A$2:$GH$35,AB10,FALSE),0)-Tabla14[[#This Row],[INTERV. MAT. (KM)]]</f>
        <v>630000</v>
      </c>
      <c r="Y10" s="16">
        <f t="shared" si="3"/>
        <v>490.75806451612902</v>
      </c>
      <c r="Z10" s="4">
        <f ca="1">IFERROR(VLOOKUP('PARÁMETROS MANT.'!A23,'PARÁMETROS MANT.'!$A$2:$GH$35,AB10,FALSE),0)</f>
        <v>660000</v>
      </c>
      <c r="AA10" s="15" t="str">
        <f ca="1">IFERROR(VLOOKUP(Tabla14[[#This Row],[MODELO]],'PARÁMETROS MANT.'!$A$2:$GY$35,AB10,FALSE),0)</f>
        <v>SM2</v>
      </c>
      <c r="AB10" s="31">
        <f ca="1">IFERROR(MATCH(Tabla14[[#This Row],[KM ACTUAL]],INDIRECT(Tabla14[[#This Row],[BUSQUEDA DE MODELO EN PARAMETROS MANT.]],TRUE),1)+3,0)</f>
        <v>25</v>
      </c>
      <c r="AC10" s="32">
        <f>IFERROR(MATCH(Tabla14[[#This Row],[MODELO]],'PARÁMETROS MANT.'!$A$2:$A$35,0)+2,0)</f>
        <v>23</v>
      </c>
      <c r="AD10" s="32" t="str">
        <f>VLOOKUP(Tabla14[[#This Row],[MODELO]],'PARÁMETROS MANT.'!$A$1:$B$35,2,FALSE)</f>
        <v>'PARÁMETROS MANT.'!C23:GY23</v>
      </c>
      <c r="AE10" s="32" t="str">
        <f t="shared" ca="1" si="4"/>
        <v>Y</v>
      </c>
      <c r="AF10" s="32" t="str">
        <f t="shared" ca="1" si="5"/>
        <v>'PARÁMETROS MANT.'!Y23</v>
      </c>
      <c r="AG10" s="34">
        <f>Tabla14[[#This Row],[F. KM ACT.]]-Tabla14[[#This Row],[F. ULT. MANT.]]</f>
        <v>62</v>
      </c>
      <c r="AH10" s="34">
        <f>Tabla14[[#This Row],[KM ACTUAL]]-Tabla14[[#This Row],[KM ULT. MANT.]]</f>
        <v>30427</v>
      </c>
      <c r="AI10" s="111">
        <f t="shared" ca="1" si="6"/>
        <v>2.8588424754343578</v>
      </c>
      <c r="AJ10" s="112">
        <f t="shared" ca="1" si="1"/>
        <v>45820.858842475434</v>
      </c>
    </row>
    <row r="11" spans="1:36" ht="15" customHeight="1" x14ac:dyDescent="0.25">
      <c r="A11" s="11">
        <v>179</v>
      </c>
      <c r="B11" s="12" t="s">
        <v>0</v>
      </c>
      <c r="C11" s="28" t="s">
        <v>99</v>
      </c>
      <c r="D11" s="15" t="s">
        <v>74</v>
      </c>
      <c r="E11" s="27" t="s">
        <v>100</v>
      </c>
      <c r="F11" s="11" t="s">
        <v>268</v>
      </c>
      <c r="G11" s="14" t="s">
        <v>137</v>
      </c>
      <c r="H11" s="37" t="s">
        <v>138</v>
      </c>
      <c r="I11" s="28" t="s">
        <v>130</v>
      </c>
      <c r="J11" s="28" t="s">
        <v>136</v>
      </c>
      <c r="K11" s="11">
        <v>2010</v>
      </c>
      <c r="L11" s="28" t="s">
        <v>125</v>
      </c>
      <c r="M11" s="15">
        <v>30000</v>
      </c>
      <c r="N11" s="12" t="s">
        <v>171</v>
      </c>
      <c r="O11" s="4">
        <v>780692</v>
      </c>
      <c r="P11" s="4">
        <f>ROUND(Tabla14[[#This Row],[KM ULT. MANT.]],-4)</f>
        <v>780000</v>
      </c>
      <c r="Q11" s="3">
        <v>45712</v>
      </c>
      <c r="R11" s="3" t="s">
        <v>469</v>
      </c>
      <c r="S11" s="15">
        <f t="shared" si="2"/>
        <v>32742</v>
      </c>
      <c r="T11" s="15">
        <f t="shared" ca="1" si="0"/>
        <v>2742</v>
      </c>
      <c r="U11" s="15" t="str">
        <f>_xlfn.IFS(AND(Tabla14[[#This Row],[MODELO]]=D11,Tabla14[[#This Row],[INTERV. MAT. (KM)]]=M11,Tabla14[[#This Row],[ACUM. PRÓX. MAT.]]&lt;=24999),"NORMALIDAD",Tabla14[[#This Row],[ACUM. PRÓX. MAT.]]&lt;29999,"MANT.PRÓX.",Tabla14[[#This Row],[ACUM. PRÓX. MAT.]]&gt;=30000,"MANT.VENCIDO")</f>
        <v>MANT.VENCIDO</v>
      </c>
      <c r="V11" s="4">
        <v>813434</v>
      </c>
      <c r="W11" s="103">
        <v>45771</v>
      </c>
      <c r="X11" s="4">
        <f ca="1">IFERROR(VLOOKUP('PARÁMETROS MANT.'!A23,'PARÁMETROS MANT.'!$A$2:$GH$35,AB11,FALSE),0)-Tabla14[[#This Row],[INTERV. MAT. (KM)]]</f>
        <v>810000</v>
      </c>
      <c r="Y11" s="16">
        <f t="shared" si="3"/>
        <v>554.94915254237287</v>
      </c>
      <c r="Z11" s="4">
        <f ca="1">IFERROR(VLOOKUP('PARÁMETROS MANT.'!A23,'PARÁMETROS MANT.'!$A$2:$GH$35,AB11,FALSE),0)</f>
        <v>840000</v>
      </c>
      <c r="AA11" s="15" t="str">
        <f ca="1">IFERROR(VLOOKUP(Tabla14[[#This Row],[MODELO]],'PARÁMETROS MANT.'!$A$2:$GY$35,AB11,FALSE),0)</f>
        <v>SM3</v>
      </c>
      <c r="AB11" s="31">
        <f ca="1">IFERROR(MATCH(Tabla14[[#This Row],[KM ACTUAL]],INDIRECT(Tabla14[[#This Row],[BUSQUEDA DE MODELO EN PARAMETROS MANT.]],TRUE),1)+3,0)</f>
        <v>31</v>
      </c>
      <c r="AC11" s="32">
        <f>IFERROR(MATCH(Tabla14[[#This Row],[MODELO]],'PARÁMETROS MANT.'!$A$2:$A$35,0)+2,0)</f>
        <v>23</v>
      </c>
      <c r="AD11" s="32" t="str">
        <f>VLOOKUP(Tabla14[[#This Row],[MODELO]],'PARÁMETROS MANT.'!$A$1:$B$35,2,FALSE)</f>
        <v>'PARÁMETROS MANT.'!C23:GY23</v>
      </c>
      <c r="AE11" s="32" t="str">
        <f t="shared" ca="1" si="4"/>
        <v>AE</v>
      </c>
      <c r="AF11" s="32" t="str">
        <f t="shared" ca="1" si="5"/>
        <v>'PARÁMETROS MANT.'!AE23</v>
      </c>
      <c r="AG11" s="34">
        <f>Tabla14[[#This Row],[F. KM ACT.]]-Tabla14[[#This Row],[F. ULT. MANT.]]</f>
        <v>59</v>
      </c>
      <c r="AH11" s="34">
        <f>Tabla14[[#This Row],[KM ACTUAL]]-Tabla14[[#This Row],[KM ULT. MANT.]]</f>
        <v>32742</v>
      </c>
      <c r="AI11" s="111">
        <f t="shared" ca="1" si="6"/>
        <v>47.871052470829454</v>
      </c>
      <c r="AJ11" s="112">
        <f t="shared" ca="1" si="1"/>
        <v>45865.871052470829</v>
      </c>
    </row>
    <row r="12" spans="1:36" ht="15" customHeight="1" x14ac:dyDescent="0.25">
      <c r="A12" s="27">
        <v>186</v>
      </c>
      <c r="B12" s="28" t="s">
        <v>0</v>
      </c>
      <c r="C12" s="28" t="s">
        <v>99</v>
      </c>
      <c r="D12" s="4" t="s">
        <v>74</v>
      </c>
      <c r="E12" s="27" t="s">
        <v>100</v>
      </c>
      <c r="F12" s="27" t="s">
        <v>269</v>
      </c>
      <c r="G12" s="27" t="s">
        <v>140</v>
      </c>
      <c r="H12" s="38" t="s">
        <v>141</v>
      </c>
      <c r="I12" s="28" t="s">
        <v>124</v>
      </c>
      <c r="J12" s="28" t="s">
        <v>102</v>
      </c>
      <c r="K12" s="27">
        <v>2011</v>
      </c>
      <c r="L12" s="28" t="s">
        <v>103</v>
      </c>
      <c r="M12" s="4">
        <v>30000</v>
      </c>
      <c r="N12" s="28" t="s">
        <v>419</v>
      </c>
      <c r="O12" s="4">
        <v>537493</v>
      </c>
      <c r="P12" s="4">
        <f>ROUND(Tabla14[[#This Row],[KM ULT. MANT.]],-4)</f>
        <v>540000</v>
      </c>
      <c r="Q12" s="3">
        <v>45070</v>
      </c>
      <c r="R12" s="3" t="s">
        <v>470</v>
      </c>
      <c r="S12" s="4">
        <f t="shared" si="2"/>
        <v>1271</v>
      </c>
      <c r="T12" s="4" t="str">
        <f t="shared" ca="1" si="0"/>
        <v xml:space="preserve"> </v>
      </c>
      <c r="U12" s="15" t="str">
        <f>_xlfn.IFS(AND(Tabla14[[#This Row],[MODELO]]=D12,Tabla14[[#This Row],[INTERV. MAT. (KM)]]=M12,Tabla14[[#This Row],[ACUM. PRÓX. MAT.]]&lt;=24999),"NORMALIDAD",Tabla14[[#This Row],[ACUM. PRÓX. MAT.]]&lt;29999,"MANT.PRÓX.",Tabla14[[#This Row],[ACUM. PRÓX. MAT.]]&gt;=30000,"MANT.VENCIDO")</f>
        <v>NORMALIDAD</v>
      </c>
      <c r="V12" s="4">
        <v>538764</v>
      </c>
      <c r="W12" s="136">
        <v>45771</v>
      </c>
      <c r="X12" s="4">
        <f ca="1">IFERROR(VLOOKUP('PARÁMETROS MANT.'!A23,'PARÁMETROS MANT.'!$A$2:$GH$35,AB12,FALSE),0)-Tabla14[[#This Row],[INTERV. MAT. (KM)]]</f>
        <v>510000</v>
      </c>
      <c r="Y12" s="30">
        <f t="shared" si="3"/>
        <v>1.8131241084165477</v>
      </c>
      <c r="Z12" s="4">
        <f ca="1">IFERROR(VLOOKUP('PARÁMETROS MANT.'!A23,'PARÁMETROS MANT.'!$A$2:$GH$35,AB12,FALSE),0)</f>
        <v>540000</v>
      </c>
      <c r="AA12" s="15" t="str">
        <f ca="1">IFERROR(VLOOKUP(Tabla14[[#This Row],[MODELO]],'PARÁMETROS MANT.'!$A$2:$GY$35,AB12,FALSE),0)</f>
        <v>SM4</v>
      </c>
      <c r="AB12" s="31">
        <f ca="1">IFERROR(MATCH(Tabla14[[#This Row],[KM ACTUAL]],INDIRECT(Tabla14[[#This Row],[BUSQUEDA DE MODELO EN PARAMETROS MANT.]],TRUE),1)+3,0)</f>
        <v>21</v>
      </c>
      <c r="AC12" s="32">
        <f>IFERROR(MATCH(Tabla14[[#This Row],[MODELO]],'PARÁMETROS MANT.'!$A$2:$A$35,0)+2,0)</f>
        <v>23</v>
      </c>
      <c r="AD12" s="32" t="str">
        <f>VLOOKUP(Tabla14[[#This Row],[MODELO]],'PARÁMETROS MANT.'!$A$1:$B$35,2,FALSE)</f>
        <v>'PARÁMETROS MANT.'!C23:GY23</v>
      </c>
      <c r="AE12" s="32" t="str">
        <f t="shared" ca="1" si="4"/>
        <v>U</v>
      </c>
      <c r="AF12" s="32" t="str">
        <f t="shared" ca="1" si="5"/>
        <v>'PARÁMETROS MANT.'!U23</v>
      </c>
      <c r="AG12" s="34">
        <f>Tabla14[[#This Row],[F. KM ACT.]]-Tabla14[[#This Row],[F. ULT. MANT.]]</f>
        <v>701</v>
      </c>
      <c r="AH12" s="34">
        <f>Tabla14[[#This Row],[KM ACTUAL]]-Tabla14[[#This Row],[KM ULT. MANT.]]</f>
        <v>1271</v>
      </c>
      <c r="AI12" s="111">
        <f t="shared" ca="1" si="6"/>
        <v>681.69630212431366</v>
      </c>
      <c r="AJ12" s="112">
        <f t="shared" ca="1" si="1"/>
        <v>46499.696302124314</v>
      </c>
    </row>
    <row r="13" spans="1:36" ht="15" customHeight="1" x14ac:dyDescent="0.25">
      <c r="A13" s="27">
        <v>188</v>
      </c>
      <c r="B13" s="28" t="s">
        <v>0</v>
      </c>
      <c r="C13" s="28" t="s">
        <v>99</v>
      </c>
      <c r="D13" s="4" t="s">
        <v>74</v>
      </c>
      <c r="E13" s="27" t="s">
        <v>100</v>
      </c>
      <c r="F13" s="27" t="s">
        <v>270</v>
      </c>
      <c r="G13" s="36" t="s">
        <v>142</v>
      </c>
      <c r="H13" s="38" t="s">
        <v>143</v>
      </c>
      <c r="I13" s="28" t="s">
        <v>139</v>
      </c>
      <c r="J13" s="28" t="s">
        <v>144</v>
      </c>
      <c r="K13" s="27">
        <v>2011</v>
      </c>
      <c r="L13" s="28" t="s">
        <v>103</v>
      </c>
      <c r="M13" s="4">
        <v>30000</v>
      </c>
      <c r="N13" s="28" t="s">
        <v>419</v>
      </c>
      <c r="O13" s="4">
        <v>324148</v>
      </c>
      <c r="P13" s="4">
        <f>ROUND(Tabla14[[#This Row],[KM ULT. MANT.]],-4)</f>
        <v>320000</v>
      </c>
      <c r="Q13" s="3">
        <v>42739</v>
      </c>
      <c r="R13" s="3" t="s">
        <v>231</v>
      </c>
      <c r="S13" s="4">
        <f t="shared" si="2"/>
        <v>6370</v>
      </c>
      <c r="T13" s="4" t="str">
        <f t="shared" ca="1" si="0"/>
        <v xml:space="preserve"> </v>
      </c>
      <c r="U13" s="15" t="str">
        <f>_xlfn.IFS(AND(Tabla14[[#This Row],[MODELO]]=D13,Tabla14[[#This Row],[INTERV. MAT. (KM)]]=M13,Tabla14[[#This Row],[ACUM. PRÓX. MAT.]]&lt;=24999),"NORMALIDAD",Tabla14[[#This Row],[ACUM. PRÓX. MAT.]]&lt;29999,"MANT.PRÓX.",Tabla14[[#This Row],[ACUM. PRÓX. MAT.]]&gt;=30000,"MANT.VENCIDO")</f>
        <v>NORMALIDAD</v>
      </c>
      <c r="V13" s="4">
        <v>330518</v>
      </c>
      <c r="W13" s="103">
        <v>45771</v>
      </c>
      <c r="X13" s="4">
        <f ca="1">IFERROR(VLOOKUP('PARÁMETROS MANT.'!A23,'PARÁMETROS MANT.'!$A$2:$GH$35,AB13,FALSE),0)-Tabla14[[#This Row],[INTERV. MAT. (KM)]]</f>
        <v>330000</v>
      </c>
      <c r="Y13" s="30">
        <f t="shared" si="3"/>
        <v>2.1009234828496042</v>
      </c>
      <c r="Z13" s="4">
        <f ca="1">IFERROR(VLOOKUP('PARÁMETROS MANT.'!A19,'PARÁMETROS MANT.'!$A$2:$GH$35,AB13,FALSE),0)</f>
        <v>130000</v>
      </c>
      <c r="AA13" s="15" t="str">
        <f ca="1">IFERROR(VLOOKUP(Tabla14[[#This Row],[MODELO]],'PARÁMETROS MANT.'!$A$2:$GY$35,AB13,FALSE),0)</f>
        <v>SM5</v>
      </c>
      <c r="AB13" s="31">
        <f ca="1">IFERROR(MATCH(Tabla14[[#This Row],[KM ACTUAL]],INDIRECT(Tabla14[[#This Row],[BUSQUEDA DE MODELO EN PARAMETROS MANT.]],TRUE),1)+3,0)</f>
        <v>15</v>
      </c>
      <c r="AC13" s="32">
        <f>IFERROR(MATCH(Tabla14[[#This Row],[MODELO]],'PARÁMETROS MANT.'!$A$2:$A$35,0)+2,0)</f>
        <v>23</v>
      </c>
      <c r="AD13" s="32" t="str">
        <f>VLOOKUP(Tabla14[[#This Row],[MODELO]],'PARÁMETROS MANT.'!$A$1:$B$35,2,FALSE)</f>
        <v>'PARÁMETROS MANT.'!C23:GY23</v>
      </c>
      <c r="AE13" s="32" t="str">
        <f t="shared" ca="1" si="4"/>
        <v>O</v>
      </c>
      <c r="AF13" s="32" t="str">
        <f t="shared" ca="1" si="5"/>
        <v>'PARÁMETROS MANT.'!O23</v>
      </c>
      <c r="AG13" s="34">
        <f>Tabla14[[#This Row],[F. KM ACT.]]-Tabla14[[#This Row],[F. ULT. MANT.]]</f>
        <v>3032</v>
      </c>
      <c r="AH13" s="34">
        <f>Tabla14[[#This Row],[KM ACTUAL]]-Tabla14[[#This Row],[KM ULT. MANT.]]</f>
        <v>6370</v>
      </c>
      <c r="AI13" s="111">
        <f t="shared" ca="1" si="6"/>
        <v>14032.87660910518</v>
      </c>
      <c r="AJ13" s="112">
        <f t="shared" ca="1" si="1"/>
        <v>59850.87660910518</v>
      </c>
    </row>
    <row r="14" spans="1:36" ht="12.75" customHeight="1" x14ac:dyDescent="0.25">
      <c r="A14" s="27">
        <v>189</v>
      </c>
      <c r="B14" s="28" t="s">
        <v>0</v>
      </c>
      <c r="C14" s="28" t="s">
        <v>99</v>
      </c>
      <c r="D14" s="4" t="s">
        <v>74</v>
      </c>
      <c r="E14" s="27" t="s">
        <v>100</v>
      </c>
      <c r="F14" s="27" t="s">
        <v>271</v>
      </c>
      <c r="G14" s="36" t="s">
        <v>145</v>
      </c>
      <c r="H14" s="38" t="s">
        <v>146</v>
      </c>
      <c r="I14" s="28" t="s">
        <v>139</v>
      </c>
      <c r="J14" s="28" t="s">
        <v>144</v>
      </c>
      <c r="K14" s="27">
        <v>2011</v>
      </c>
      <c r="L14" s="28" t="s">
        <v>103</v>
      </c>
      <c r="M14" s="4">
        <v>30000</v>
      </c>
      <c r="N14" s="28" t="s">
        <v>419</v>
      </c>
      <c r="O14" s="4">
        <v>353694</v>
      </c>
      <c r="P14" s="4">
        <f>ROUND(Tabla14[[#This Row],[KM ULT. MANT.]],-4)</f>
        <v>350000</v>
      </c>
      <c r="Q14" s="3">
        <v>42758</v>
      </c>
      <c r="R14" s="3" t="s">
        <v>231</v>
      </c>
      <c r="S14" s="4">
        <f t="shared" si="2"/>
        <v>1398</v>
      </c>
      <c r="T14" s="4" t="str">
        <f t="shared" ca="1" si="0"/>
        <v xml:space="preserve"> </v>
      </c>
      <c r="U14" s="15" t="str">
        <f>_xlfn.IFS(AND(Tabla14[[#This Row],[MODELO]]=D14,Tabla14[[#This Row],[INTERV. MAT. (KM)]]=M14,Tabla14[[#This Row],[ACUM. PRÓX. MAT.]]&lt;=24999),"NORMALIDAD",Tabla14[[#This Row],[ACUM. PRÓX. MAT.]]&lt;29999,"MANT.PRÓX.",Tabla14[[#This Row],[ACUM. PRÓX. MAT.]]&gt;=30000,"MANT.VENCIDO")</f>
        <v>NORMALIDAD</v>
      </c>
      <c r="V14" s="4">
        <v>355092</v>
      </c>
      <c r="W14" s="136">
        <v>45771</v>
      </c>
      <c r="X14" s="4">
        <f ca="1">IFERROR(VLOOKUP('PARÁMETROS MANT.'!A23,'PARÁMETROS MANT.'!$A$2:$GH$35,AB14,FALSE),0)-Tabla14[[#This Row],[INTERV. MAT. (KM)]]</f>
        <v>330000</v>
      </c>
      <c r="Y14" s="30">
        <f t="shared" si="3"/>
        <v>0.46398937935612344</v>
      </c>
      <c r="Z14" s="4">
        <f ca="1">IFERROR(VLOOKUP('PARÁMETROS MANT.'!A23,'PARÁMETROS MANT.'!$A$2:$GH$35,AB14,FALSE),0)</f>
        <v>360000</v>
      </c>
      <c r="AA14" s="15" t="str">
        <f ca="1">IFERROR(VLOOKUP(Tabla14[[#This Row],[MODELO]],'PARÁMETROS MANT.'!$A$2:$GY$35,AB14,FALSE),0)</f>
        <v>SM5</v>
      </c>
      <c r="AB14" s="31">
        <f ca="1">IFERROR(MATCH(Tabla14[[#This Row],[KM ACTUAL]],INDIRECT(Tabla14[[#This Row],[BUSQUEDA DE MODELO EN PARAMETROS MANT.]],TRUE),1)+3,0)</f>
        <v>15</v>
      </c>
      <c r="AC14" s="32">
        <f>IFERROR(MATCH(Tabla14[[#This Row],[MODELO]],'PARÁMETROS MANT.'!$A$2:$A$35,0)+2,0)</f>
        <v>23</v>
      </c>
      <c r="AD14" s="32" t="str">
        <f>VLOOKUP(Tabla14[[#This Row],[MODELO]],'PARÁMETROS MANT.'!$A$1:$B$35,2,FALSE)</f>
        <v>'PARÁMETROS MANT.'!C23:GY23</v>
      </c>
      <c r="AE14" s="32" t="str">
        <f t="shared" ca="1" si="4"/>
        <v>O</v>
      </c>
      <c r="AF14" s="32" t="str">
        <f t="shared" ca="1" si="5"/>
        <v>'PARÁMETROS MANT.'!O23</v>
      </c>
      <c r="AG14" s="34">
        <f>Tabla14[[#This Row],[F. KM ACT.]]-Tabla14[[#This Row],[F. ULT. MANT.]]</f>
        <v>3013</v>
      </c>
      <c r="AH14" s="34">
        <f>Tabla14[[#This Row],[KM ACTUAL]]-Tabla14[[#This Row],[KM ULT. MANT.]]</f>
        <v>1398</v>
      </c>
      <c r="AI14" s="111">
        <f t="shared" ca="1" si="6"/>
        <v>10577.828326180257</v>
      </c>
      <c r="AJ14" s="112">
        <f t="shared" ca="1" si="1"/>
        <v>56395.828326180257</v>
      </c>
    </row>
    <row r="15" spans="1:36" ht="15" hidden="1" customHeight="1" x14ac:dyDescent="0.25">
      <c r="A15" s="11">
        <v>275</v>
      </c>
      <c r="B15" s="12" t="s">
        <v>0</v>
      </c>
      <c r="C15" s="28" t="s">
        <v>99</v>
      </c>
      <c r="D15" s="15" t="s">
        <v>74</v>
      </c>
      <c r="E15" s="27" t="s">
        <v>100</v>
      </c>
      <c r="F15" s="11" t="s">
        <v>272</v>
      </c>
      <c r="G15" s="11" t="s">
        <v>147</v>
      </c>
      <c r="H15" s="39" t="s">
        <v>148</v>
      </c>
      <c r="I15" s="28" t="s">
        <v>139</v>
      </c>
      <c r="J15" s="28" t="s">
        <v>102</v>
      </c>
      <c r="K15" s="11">
        <v>2013</v>
      </c>
      <c r="L15" s="28" t="s">
        <v>125</v>
      </c>
      <c r="M15" s="15">
        <v>30000</v>
      </c>
      <c r="N15" s="12" t="s">
        <v>419</v>
      </c>
      <c r="O15" s="4">
        <v>511537</v>
      </c>
      <c r="P15" s="4">
        <f>ROUND(Tabla14[[#This Row],[KM ULT. MANT.]],-4)</f>
        <v>510000</v>
      </c>
      <c r="Q15" s="3">
        <v>45293</v>
      </c>
      <c r="R15" s="3" t="s">
        <v>8</v>
      </c>
      <c r="S15" s="15">
        <f t="shared" si="2"/>
        <v>9851</v>
      </c>
      <c r="T15" s="15" t="str">
        <f t="shared" ca="1" si="0"/>
        <v xml:space="preserve"> </v>
      </c>
      <c r="U15" s="15" t="str">
        <f>_xlfn.IFS(AND(Tabla14[[#This Row],[MODELO]]=D15,Tabla14[[#This Row],[INTERV. MAT. (KM)]]=M15,Tabla14[[#This Row],[ACUM. PRÓX. MAT.]]&lt;=24999),"NORMALIDAD",Tabla14[[#This Row],[ACUM. PRÓX. MAT.]]&lt;29999,"MANT.PRÓX.",Tabla14[[#This Row],[ACUM. PRÓX. MAT.]]&gt;=30000,"MANT.VENCIDO")</f>
        <v>NORMALIDAD</v>
      </c>
      <c r="V15" s="4">
        <v>521388</v>
      </c>
      <c r="W15" s="103">
        <v>45769</v>
      </c>
      <c r="X15" s="4">
        <f ca="1">IFERROR(VLOOKUP('PARÁMETROS MANT.'!A23,'PARÁMETROS MANT.'!$A$2:$GH$35,AB15,FALSE),0)-Tabla14[[#This Row],[INTERV. MAT. (KM)]]</f>
        <v>510000</v>
      </c>
      <c r="Y15" s="16">
        <f t="shared" si="3"/>
        <v>20.695378151260503</v>
      </c>
      <c r="Z15" s="4">
        <f ca="1">IFERROR(VLOOKUP('PARÁMETROS MANT.'!A23,'PARÁMETROS MANT.'!$A$2:$GH$35,AB15,FALSE),0)</f>
        <v>540000</v>
      </c>
      <c r="AA15" s="15" t="str">
        <f ca="1">IFERROR(VLOOKUP(Tabla14[[#This Row],[MODELO]],'PARÁMETROS MANT.'!$A$2:$GY$35,AB15,FALSE),0)</f>
        <v>SM4</v>
      </c>
      <c r="AB15" s="31">
        <f ca="1">IFERROR(MATCH(Tabla14[[#This Row],[KM ACTUAL]],INDIRECT(Tabla14[[#This Row],[BUSQUEDA DE MODELO EN PARAMETROS MANT.]],TRUE),1)+3,0)</f>
        <v>21</v>
      </c>
      <c r="AC15" s="32">
        <f>IFERROR(MATCH(Tabla14[[#This Row],[MODELO]],'PARÁMETROS MANT.'!$A$2:$A$35,0)+2,0)</f>
        <v>23</v>
      </c>
      <c r="AD15" s="32" t="str">
        <f>VLOOKUP(Tabla14[[#This Row],[MODELO]],'PARÁMETROS MANT.'!$A$1:$B$35,2,FALSE)</f>
        <v>'PARÁMETROS MANT.'!C23:GY23</v>
      </c>
      <c r="AE15" s="32" t="str">
        <f t="shared" ca="1" si="4"/>
        <v>U</v>
      </c>
      <c r="AF15" s="32" t="str">
        <f t="shared" ca="1" si="5"/>
        <v>'PARÁMETROS MANT.'!U23</v>
      </c>
      <c r="AG15" s="34">
        <f>Tabla14[[#This Row],[F. KM ACT.]]-Tabla14[[#This Row],[F. ULT. MANT.]]</f>
        <v>476</v>
      </c>
      <c r="AH15" s="34">
        <f>Tabla14[[#This Row],[KM ACTUAL]]-Tabla14[[#This Row],[KM ULT. MANT.]]</f>
        <v>9851</v>
      </c>
      <c r="AI15" s="111">
        <f t="shared" ca="1" si="6"/>
        <v>899.33123540757515</v>
      </c>
      <c r="AJ15" s="112">
        <f t="shared" ca="1" si="1"/>
        <v>46717.331235407575</v>
      </c>
    </row>
    <row r="16" spans="1:36" ht="15" customHeight="1" x14ac:dyDescent="0.25">
      <c r="A16" s="11">
        <v>276</v>
      </c>
      <c r="B16" s="12" t="s">
        <v>0</v>
      </c>
      <c r="C16" s="28" t="s">
        <v>99</v>
      </c>
      <c r="D16" s="15" t="s">
        <v>74</v>
      </c>
      <c r="E16" s="27" t="s">
        <v>100</v>
      </c>
      <c r="F16" s="11" t="s">
        <v>273</v>
      </c>
      <c r="G16" s="11" t="s">
        <v>149</v>
      </c>
      <c r="H16" s="39" t="s">
        <v>150</v>
      </c>
      <c r="I16" s="28" t="s">
        <v>124</v>
      </c>
      <c r="J16" s="28" t="s">
        <v>102</v>
      </c>
      <c r="K16" s="11">
        <v>2013</v>
      </c>
      <c r="L16" s="28" t="s">
        <v>125</v>
      </c>
      <c r="M16" s="15">
        <v>30000</v>
      </c>
      <c r="N16" s="12" t="s">
        <v>419</v>
      </c>
      <c r="O16" s="4">
        <v>481753</v>
      </c>
      <c r="P16" s="4">
        <f>ROUND(Tabla14[[#This Row],[KM ULT. MANT.]],-4)</f>
        <v>480000</v>
      </c>
      <c r="Q16" s="3">
        <v>45624</v>
      </c>
      <c r="R16" s="3" t="s">
        <v>10</v>
      </c>
      <c r="S16" s="15">
        <f t="shared" si="2"/>
        <v>242</v>
      </c>
      <c r="T16" s="15" t="str">
        <f t="shared" ca="1" si="0"/>
        <v xml:space="preserve"> </v>
      </c>
      <c r="U16" s="15" t="str">
        <f>_xlfn.IFS(AND(Tabla14[[#This Row],[MODELO]]=D16,Tabla14[[#This Row],[INTERV. MAT. (KM)]]=M16,Tabla14[[#This Row],[ACUM. PRÓX. MAT.]]&lt;=24999),"NORMALIDAD",Tabla14[[#This Row],[ACUM. PRÓX. MAT.]]&lt;29999,"MANT.PRÓX.",Tabla14[[#This Row],[ACUM. PRÓX. MAT.]]&gt;=30000,"MANT.VENCIDO")</f>
        <v>NORMALIDAD</v>
      </c>
      <c r="V16" s="4">
        <v>481995</v>
      </c>
      <c r="W16" s="136">
        <v>45771</v>
      </c>
      <c r="X16" s="4">
        <f ca="1">IFERROR(VLOOKUP('PARÁMETROS MANT.'!A23,'PARÁMETROS MANT.'!$A$2:$GH$35,AB16,FALSE),0)-Tabla14[[#This Row],[INTERV. MAT. (KM)]]</f>
        <v>480000</v>
      </c>
      <c r="Y16" s="16">
        <f t="shared" si="3"/>
        <v>1.6462585034013606</v>
      </c>
      <c r="Z16" s="4">
        <f ca="1">IFERROR(VLOOKUP('PARÁMETROS MANT.'!A23,'PARÁMETROS MANT.'!$A$2:$GH$35,AB16,FALSE),0)</f>
        <v>510000</v>
      </c>
      <c r="AA16" s="15" t="str">
        <f ca="1">IFERROR(VLOOKUP(Tabla14[[#This Row],[MODELO]],'PARÁMETROS MANT.'!$A$2:$GY$35,AB16,FALSE),0)</f>
        <v>SM1</v>
      </c>
      <c r="AB16" s="31">
        <f ca="1">IFERROR(MATCH(Tabla14[[#This Row],[KM ACTUAL]],INDIRECT(Tabla14[[#This Row],[BUSQUEDA DE MODELO EN PARAMETROS MANT.]],TRUE),1)+3,0)</f>
        <v>20</v>
      </c>
      <c r="AC16" s="32">
        <f>IFERROR(MATCH(Tabla14[[#This Row],[MODELO]],'PARÁMETROS MANT.'!$A$2:$A$35,0)+2,0)</f>
        <v>23</v>
      </c>
      <c r="AD16" s="32" t="str">
        <f>VLOOKUP(Tabla14[[#This Row],[MODELO]],'PARÁMETROS MANT.'!$A$1:$B$35,2,FALSE)</f>
        <v>'PARÁMETROS MANT.'!C23:GY23</v>
      </c>
      <c r="AE16" s="32" t="str">
        <f t="shared" ca="1" si="4"/>
        <v>T</v>
      </c>
      <c r="AF16" s="32" t="str">
        <f t="shared" ca="1" si="5"/>
        <v>'PARÁMETROS MANT.'!T23</v>
      </c>
      <c r="AG16" s="34">
        <f>Tabla14[[#This Row],[F. KM ACT.]]-Tabla14[[#This Row],[F. ULT. MANT.]]</f>
        <v>147</v>
      </c>
      <c r="AH16" s="34">
        <f>Tabla14[[#This Row],[KM ACTUAL]]-Tabla14[[#This Row],[KM ULT. MANT.]]</f>
        <v>242</v>
      </c>
      <c r="AI16" s="111">
        <f t="shared" ca="1" si="6"/>
        <v>17011.301652892565</v>
      </c>
      <c r="AJ16" s="112">
        <f t="shared" ca="1" si="1"/>
        <v>62829.301652892565</v>
      </c>
    </row>
    <row r="17" spans="1:36" ht="15" customHeight="1" x14ac:dyDescent="0.25">
      <c r="A17" s="11">
        <v>377</v>
      </c>
      <c r="B17" s="12" t="s">
        <v>0</v>
      </c>
      <c r="C17" s="28" t="s">
        <v>99</v>
      </c>
      <c r="D17" s="15" t="s">
        <v>75</v>
      </c>
      <c r="E17" s="27" t="s">
        <v>105</v>
      </c>
      <c r="F17" s="11" t="s">
        <v>274</v>
      </c>
      <c r="G17" s="11" t="s">
        <v>151</v>
      </c>
      <c r="H17" s="40" t="s">
        <v>152</v>
      </c>
      <c r="I17" s="28" t="s">
        <v>153</v>
      </c>
      <c r="J17" s="28" t="s">
        <v>102</v>
      </c>
      <c r="K17" s="11">
        <v>2018</v>
      </c>
      <c r="L17" s="28" t="s">
        <v>125</v>
      </c>
      <c r="M17" s="15">
        <v>20000</v>
      </c>
      <c r="N17" s="12" t="s">
        <v>330</v>
      </c>
      <c r="O17" s="4">
        <v>576477</v>
      </c>
      <c r="P17" s="4">
        <f>ROUND(Tabla14[[#This Row],[KM ULT. MANT.]],-4)</f>
        <v>580000</v>
      </c>
      <c r="Q17" s="3">
        <v>45756</v>
      </c>
      <c r="R17" s="3" t="s">
        <v>8</v>
      </c>
      <c r="S17" s="15">
        <f t="shared" si="2"/>
        <v>0</v>
      </c>
      <c r="T17" s="15" t="str">
        <f t="shared" ca="1" si="0"/>
        <v xml:space="preserve"> </v>
      </c>
      <c r="U17" s="15" t="str">
        <f>_xlfn.IFS(AND(Tabla14[[#This Row],[MODELO]]=D17,Tabla14[[#This Row],[INTERV. MAT. (KM)]]=M17,Tabla14[[#This Row],[ACUM. PRÓX. MAT.]]&lt;=14999),"NORMALIDAD",Tabla14[[#This Row],[ACUM. PRÓX. MAT.]]&lt;19999,"MANT.PRÓX.",Tabla14[[#This Row],[ACUM. PRÓX. MAT.]]&gt;=20000,"MANT.VENCIDO")</f>
        <v>NORMALIDAD</v>
      </c>
      <c r="V17" s="4">
        <v>576477</v>
      </c>
      <c r="W17" s="103">
        <v>45771</v>
      </c>
      <c r="X17" s="4">
        <f ca="1">IFERROR(VLOOKUP('PARÁMETROS MANT.'!A25,'PARÁMETROS MANT.'!$A$2:$GH$35,AB17,FALSE),0)-Tabla14[[#This Row],[INTERV. MAT. (KM)]]</f>
        <v>560000</v>
      </c>
      <c r="Y17" s="16">
        <f t="shared" si="3"/>
        <v>0</v>
      </c>
      <c r="Z17" s="4">
        <f ca="1">IFERROR(VLOOKUP('PARÁMETROS MANT.'!A25,'PARÁMETROS MANT.'!$A$2:$GH$35,AB17,FALSE),0)</f>
        <v>580000</v>
      </c>
      <c r="AA17" s="15" t="str">
        <f ca="1">IFERROR(VLOOKUP(Tabla14[[#This Row],[MODELO]],'PARÁMETROS MANT.'!$A$2:$GY$35,AB17,FALSE),0)</f>
        <v>SM1</v>
      </c>
      <c r="AB17" s="31">
        <f ca="1">IFERROR(MATCH(Tabla14[[#This Row],[KM ACTUAL]],INDIRECT(Tabla14[[#This Row],[BUSQUEDA DE MODELO EN PARAMETROS MANT.]],TRUE),1)+3,0)</f>
        <v>32</v>
      </c>
      <c r="AC17" s="32">
        <f>IFERROR(MATCH(Tabla14[[#This Row],[MODELO]],'PARÁMETROS MANT.'!$A$2:$A$35,0)+2,0)</f>
        <v>25</v>
      </c>
      <c r="AD17" s="32" t="str">
        <f>VLOOKUP(Tabla14[[#This Row],[MODELO]],'PARÁMETROS MANT.'!$A$1:$B$35,2,FALSE)</f>
        <v>'PARÁMETROS MANT.'!C25:DF25</v>
      </c>
      <c r="AE17" s="32" t="str">
        <f t="shared" ca="1" si="4"/>
        <v>AF</v>
      </c>
      <c r="AF17" s="32" t="str">
        <f t="shared" ca="1" si="5"/>
        <v>'PARÁMETROS MANT.'!AF25</v>
      </c>
      <c r="AG17" s="34">
        <f>Tabla14[[#This Row],[F. KM ACT.]]-Tabla14[[#This Row],[F. ULT. MANT.]]</f>
        <v>15</v>
      </c>
      <c r="AH17" s="34">
        <f>Tabla14[[#This Row],[KM ACTUAL]]-Tabla14[[#This Row],[KM ULT. MANT.]]</f>
        <v>0</v>
      </c>
      <c r="AI17" s="111">
        <f t="shared" ca="1" si="6"/>
        <v>-45818</v>
      </c>
      <c r="AJ17" s="112">
        <f t="shared" ca="1" si="1"/>
        <v>0</v>
      </c>
    </row>
    <row r="18" spans="1:36" ht="15" customHeight="1" x14ac:dyDescent="0.25">
      <c r="A18" s="11">
        <v>378</v>
      </c>
      <c r="B18" s="12" t="s">
        <v>0</v>
      </c>
      <c r="C18" s="28" t="s">
        <v>99</v>
      </c>
      <c r="D18" s="15" t="s">
        <v>75</v>
      </c>
      <c r="E18" s="27" t="s">
        <v>105</v>
      </c>
      <c r="F18" s="11" t="s">
        <v>275</v>
      </c>
      <c r="G18" s="11" t="s">
        <v>154</v>
      </c>
      <c r="H18" s="40" t="s">
        <v>155</v>
      </c>
      <c r="I18" s="28" t="s">
        <v>153</v>
      </c>
      <c r="J18" s="28" t="s">
        <v>102</v>
      </c>
      <c r="K18" s="11">
        <v>2018</v>
      </c>
      <c r="L18" s="28" t="s">
        <v>125</v>
      </c>
      <c r="M18" s="15">
        <v>20000</v>
      </c>
      <c r="N18" s="12" t="s">
        <v>330</v>
      </c>
      <c r="O18" s="4">
        <v>480785</v>
      </c>
      <c r="P18" s="4">
        <f>ROUND(Tabla14[[#This Row],[KM ULT. MANT.]],-4)</f>
        <v>480000</v>
      </c>
      <c r="Q18" s="3">
        <v>45769</v>
      </c>
      <c r="R18" s="3" t="s">
        <v>11</v>
      </c>
      <c r="S18" s="15">
        <f t="shared" si="2"/>
        <v>286</v>
      </c>
      <c r="T18" s="15" t="str">
        <f t="shared" ca="1" si="0"/>
        <v xml:space="preserve"> </v>
      </c>
      <c r="U18" s="15" t="str">
        <f>_xlfn.IFS(AND(Tabla14[[#This Row],[MODELO]]=D18,Tabla14[[#This Row],[INTERV. MAT. (KM)]]=M18,Tabla14[[#This Row],[ACUM. PRÓX. MAT.]]&lt;=14999),"NORMALIDAD",Tabla14[[#This Row],[ACUM. PRÓX. MAT.]]&lt;19999,"MANT.PRÓX.",Tabla14[[#This Row],[ACUM. PRÓX. MAT.]]&gt;=20000,"MANT.VENCIDO")</f>
        <v>NORMALIDAD</v>
      </c>
      <c r="V18" s="4">
        <v>481071</v>
      </c>
      <c r="W18" s="136">
        <v>45771</v>
      </c>
      <c r="X18" s="4">
        <f ca="1">IFERROR(VLOOKUP('PARÁMETROS MANT.'!A25,'PARÁMETROS MANT.'!$A$2:$GH$35,AB18,FALSE),0)-Tabla14[[#This Row],[INTERV. MAT. (KM)]]</f>
        <v>480000</v>
      </c>
      <c r="Y18" s="16">
        <f t="shared" si="3"/>
        <v>143</v>
      </c>
      <c r="Z18" s="4">
        <f ca="1">IFERROR(VLOOKUP('PARÁMETROS MANT.'!A25,'PARÁMETROS MANT.'!$A$2:$GH$35,AB18,FALSE),0)</f>
        <v>500000</v>
      </c>
      <c r="AA18" s="15" t="str">
        <f ca="1">IFERROR(VLOOKUP(Tabla14[[#This Row],[MODELO]],'PARÁMETROS MANT.'!$A$2:$GY$35,AB18,FALSE),0)</f>
        <v>SM1</v>
      </c>
      <c r="AB18" s="31">
        <f ca="1">IFERROR(MATCH(Tabla14[[#This Row],[KM ACTUAL]],INDIRECT(Tabla14[[#This Row],[BUSQUEDA DE MODELO EN PARAMETROS MANT.]],TRUE),1)+3,0)</f>
        <v>28</v>
      </c>
      <c r="AC18" s="32">
        <f>IFERROR(MATCH(Tabla14[[#This Row],[MODELO]],'PARÁMETROS MANT.'!$A$2:$A$35,0)+2,0)</f>
        <v>25</v>
      </c>
      <c r="AD18" s="32" t="str">
        <f>VLOOKUP(Tabla14[[#This Row],[MODELO]],'PARÁMETROS MANT.'!$A$1:$B$35,2,FALSE)</f>
        <v>'PARÁMETROS MANT.'!C25:DF25</v>
      </c>
      <c r="AE18" s="32" t="str">
        <f t="shared" ca="1" si="4"/>
        <v>AB</v>
      </c>
      <c r="AF18" s="32" t="str">
        <f t="shared" ca="1" si="5"/>
        <v>'PARÁMETROS MANT.'!AB25</v>
      </c>
      <c r="AG18" s="34">
        <f>Tabla14[[#This Row],[F. KM ACT.]]-Tabla14[[#This Row],[F. ULT. MANT.]]</f>
        <v>2</v>
      </c>
      <c r="AH18" s="34">
        <f>Tabla14[[#This Row],[KM ACTUAL]]-Tabla14[[#This Row],[KM ULT. MANT.]]</f>
        <v>286</v>
      </c>
      <c r="AI18" s="111">
        <f t="shared" ca="1" si="6"/>
        <v>132.37062937062728</v>
      </c>
      <c r="AJ18" s="112">
        <f t="shared" ca="1" si="1"/>
        <v>45950.370629370627</v>
      </c>
    </row>
    <row r="19" spans="1:36" ht="15" customHeight="1" x14ac:dyDescent="0.25">
      <c r="A19" s="11">
        <v>379</v>
      </c>
      <c r="B19" s="12" t="s">
        <v>0</v>
      </c>
      <c r="C19" s="28" t="s">
        <v>99</v>
      </c>
      <c r="D19" s="15" t="s">
        <v>75</v>
      </c>
      <c r="E19" s="27" t="s">
        <v>105</v>
      </c>
      <c r="F19" s="11" t="s">
        <v>276</v>
      </c>
      <c r="G19" s="11" t="s">
        <v>156</v>
      </c>
      <c r="H19" s="40" t="s">
        <v>157</v>
      </c>
      <c r="I19" s="28" t="s">
        <v>153</v>
      </c>
      <c r="J19" s="28" t="s">
        <v>102</v>
      </c>
      <c r="K19" s="11">
        <v>2018</v>
      </c>
      <c r="L19" s="28" t="s">
        <v>125</v>
      </c>
      <c r="M19" s="15">
        <v>20000</v>
      </c>
      <c r="N19" s="12" t="s">
        <v>330</v>
      </c>
      <c r="O19" s="4">
        <v>473070</v>
      </c>
      <c r="P19" s="4">
        <f>ROUND(Tabla14[[#This Row],[KM ULT. MANT.]],-4)</f>
        <v>470000</v>
      </c>
      <c r="Q19" s="3">
        <v>45730</v>
      </c>
      <c r="R19" s="3" t="s">
        <v>8</v>
      </c>
      <c r="S19" s="15">
        <f t="shared" si="2"/>
        <v>4798</v>
      </c>
      <c r="T19" s="15">
        <f t="shared" ca="1" si="0"/>
        <v>-35202</v>
      </c>
      <c r="U19" s="15" t="str">
        <f>_xlfn.IFS(AND(Tabla14[[#This Row],[MODELO]]=D19,Tabla14[[#This Row],[INTERV. MAT. (KM)]]=M19,Tabla14[[#This Row],[ACUM. PRÓX. MAT.]]&lt;=14999),"NORMALIDAD",Tabla14[[#This Row],[ACUM. PRÓX. MAT.]]&lt;19999,"MANT.PRÓX.",Tabla14[[#This Row],[ACUM. PRÓX. MAT.]]&gt;=20000,"MANT.VENCIDO")</f>
        <v>NORMALIDAD</v>
      </c>
      <c r="V19" s="4">
        <v>477868</v>
      </c>
      <c r="W19" s="103">
        <v>45771</v>
      </c>
      <c r="X19" s="4">
        <f ca="1">IFERROR(VLOOKUP('PARÁMETROS MANT.'!A25,'PARÁMETROS MANT.'!$A$2:$GH$35,AB19,FALSE),0)-Tabla14[[#This Row],[INTERV. MAT. (KM)]]</f>
        <v>460000</v>
      </c>
      <c r="Y19" s="16">
        <f t="shared" si="3"/>
        <v>117.02439024390245</v>
      </c>
      <c r="Z19" s="4">
        <f ca="1">IFERROR(VLOOKUP('PARÁMETROS MANT.'!A25,'PARÁMETROS MANT.'!$A$2:$GH$35,AB19,FALSE),0)</f>
        <v>480000</v>
      </c>
      <c r="AA19" s="15" t="str">
        <f ca="1">IFERROR(VLOOKUP(Tabla14[[#This Row],[MODELO]],'PARÁMETROS MANT.'!$A$2:$GY$35,AB19,FALSE),0)</f>
        <v>SM4</v>
      </c>
      <c r="AB19" s="31">
        <f ca="1">IFERROR(MATCH(Tabla14[[#This Row],[KM ACTUAL]],INDIRECT(Tabla14[[#This Row],[BUSQUEDA DE MODELO EN PARAMETROS MANT.]],TRUE),1)+3,0)</f>
        <v>27</v>
      </c>
      <c r="AC19" s="32">
        <f>IFERROR(MATCH(Tabla14[[#This Row],[MODELO]],'PARÁMETROS MANT.'!$A$2:$A$35,0)+2,0)</f>
        <v>25</v>
      </c>
      <c r="AD19" s="32" t="str">
        <f>VLOOKUP(Tabla14[[#This Row],[MODELO]],'PARÁMETROS MANT.'!$A$1:$B$35,2,FALSE)</f>
        <v>'PARÁMETROS MANT.'!C25:DF25</v>
      </c>
      <c r="AE19" s="32" t="str">
        <f t="shared" ca="1" si="4"/>
        <v>AA</v>
      </c>
      <c r="AF19" s="32" t="str">
        <f t="shared" ca="1" si="5"/>
        <v>'PARÁMETROS MANT.'!AA25</v>
      </c>
      <c r="AG19" s="34">
        <f>Tabla14[[#This Row],[F. KM ACT.]]-Tabla14[[#This Row],[F. ULT. MANT.]]</f>
        <v>41</v>
      </c>
      <c r="AH19" s="34">
        <f>Tabla14[[#This Row],[KM ACTUAL]]-Tabla14[[#This Row],[KM ULT. MANT.]]</f>
        <v>4798</v>
      </c>
      <c r="AI19" s="111">
        <f t="shared" ca="1" si="6"/>
        <v>18.218424343474908</v>
      </c>
      <c r="AJ19" s="112">
        <f t="shared" ca="1" si="1"/>
        <v>45836.218424343475</v>
      </c>
    </row>
    <row r="20" spans="1:36" ht="15" customHeight="1" x14ac:dyDescent="0.25">
      <c r="A20" s="11">
        <v>380</v>
      </c>
      <c r="B20" s="12" t="s">
        <v>0</v>
      </c>
      <c r="C20" s="28" t="s">
        <v>99</v>
      </c>
      <c r="D20" s="15" t="s">
        <v>75</v>
      </c>
      <c r="E20" s="27" t="s">
        <v>105</v>
      </c>
      <c r="F20" s="11" t="s">
        <v>277</v>
      </c>
      <c r="G20" s="11" t="s">
        <v>158</v>
      </c>
      <c r="H20" s="40" t="s">
        <v>159</v>
      </c>
      <c r="I20" s="28" t="s">
        <v>153</v>
      </c>
      <c r="J20" s="28" t="s">
        <v>102</v>
      </c>
      <c r="K20" s="11">
        <v>2018</v>
      </c>
      <c r="L20" s="28" t="s">
        <v>125</v>
      </c>
      <c r="M20" s="15">
        <v>20000</v>
      </c>
      <c r="N20" s="12" t="s">
        <v>330</v>
      </c>
      <c r="O20" s="4">
        <v>715170</v>
      </c>
      <c r="P20" s="4">
        <f>ROUND(Tabla14[[#This Row],[KM ULT. MANT.]],-4)</f>
        <v>720000</v>
      </c>
      <c r="Q20" s="3">
        <v>45699</v>
      </c>
      <c r="R20" s="3" t="s">
        <v>11</v>
      </c>
      <c r="S20" s="15">
        <f t="shared" si="2"/>
        <v>508</v>
      </c>
      <c r="T20" s="15">
        <f t="shared" ca="1" si="0"/>
        <v>-39492</v>
      </c>
      <c r="U20" s="15" t="str">
        <f>_xlfn.IFS(AND(Tabla14[[#This Row],[MODELO]]=D20,Tabla14[[#This Row],[INTERV. MAT. (KM)]]=M20,Tabla14[[#This Row],[ACUM. PRÓX. MAT.]]&lt;=14999),"NORMALIDAD",Tabla14[[#This Row],[ACUM. PRÓX. MAT.]]&lt;19999,"MANT.PRÓX.",Tabla14[[#This Row],[ACUM. PRÓX. MAT.]]&gt;=20000,"MANT.VENCIDO")</f>
        <v>NORMALIDAD</v>
      </c>
      <c r="V20" s="4">
        <v>715678</v>
      </c>
      <c r="W20" s="136">
        <v>45771</v>
      </c>
      <c r="X20" s="4">
        <f ca="1">IFERROR(VLOOKUP('PARÁMETROS MANT.'!A25,'PARÁMETROS MANT.'!$A$2:$GH$35,AB20,FALSE),0)-Tabla14[[#This Row],[INTERV. MAT. (KM)]]</f>
        <v>700000</v>
      </c>
      <c r="Y20" s="16">
        <f>IFERROR(AH20/AG20,0)</f>
        <v>7.0555555555555554</v>
      </c>
      <c r="Z20" s="4">
        <f ca="1">IFERROR(VLOOKUP('PARÁMETROS MANT.'!A25,'PARÁMETROS MANT.'!$A$2:$GH$35,AB20,FALSE),0)</f>
        <v>720000</v>
      </c>
      <c r="AA20" s="15" t="str">
        <f ca="1">IFERROR(VLOOKUP(Tabla14[[#This Row],[MODELO]],'PARÁMETROS MANT.'!$A$2:$GY$35,AB20,FALSE),0)</f>
        <v>SM4</v>
      </c>
      <c r="AB20" s="31">
        <f ca="1">IFERROR(MATCH(Tabla14[[#This Row],[KM ACTUAL]],INDIRECT(Tabla14[[#This Row],[BUSQUEDA DE MODELO EN PARAMETROS MANT.]],TRUE),1)+3,0)</f>
        <v>39</v>
      </c>
      <c r="AC20" s="32">
        <f>IFERROR(MATCH(Tabla14[[#This Row],[MODELO]],'PARÁMETROS MANT.'!$A$2:$A$35,0)+2,0)</f>
        <v>25</v>
      </c>
      <c r="AD20" s="32" t="str">
        <f>VLOOKUP(Tabla14[[#This Row],[MODELO]],'PARÁMETROS MANT.'!$A$1:$B$35,2,FALSE)</f>
        <v>'PARÁMETROS MANT.'!C25:DF25</v>
      </c>
      <c r="AE20" s="32" t="str">
        <f t="shared" ca="1" si="4"/>
        <v>AM</v>
      </c>
      <c r="AF20" s="32" t="str">
        <f t="shared" ca="1" si="5"/>
        <v>'PARÁMETROS MANT.'!AM25</v>
      </c>
      <c r="AG20" s="34">
        <f>Tabla14[[#This Row],[F. KM ACT.]]-Tabla14[[#This Row],[F. ULT. MANT.]]</f>
        <v>72</v>
      </c>
      <c r="AH20" s="34">
        <f>Tabla14[[#This Row],[KM ACTUAL]]-Tabla14[[#This Row],[KM ULT. MANT.]]</f>
        <v>508</v>
      </c>
      <c r="AI20" s="111">
        <f t="shared" ca="1" si="6"/>
        <v>612.56692913385632</v>
      </c>
      <c r="AJ20" s="112">
        <f t="shared" ca="1" si="1"/>
        <v>46430.566929133856</v>
      </c>
    </row>
    <row r="21" spans="1:36" ht="15" customHeight="1" x14ac:dyDescent="0.25">
      <c r="A21" s="11">
        <v>381</v>
      </c>
      <c r="B21" s="12" t="s">
        <v>0</v>
      </c>
      <c r="C21" s="28" t="s">
        <v>99</v>
      </c>
      <c r="D21" s="15" t="s">
        <v>75</v>
      </c>
      <c r="E21" s="27" t="s">
        <v>105</v>
      </c>
      <c r="F21" s="11" t="s">
        <v>278</v>
      </c>
      <c r="G21" s="11" t="s">
        <v>160</v>
      </c>
      <c r="H21" s="40" t="s">
        <v>161</v>
      </c>
      <c r="I21" s="28" t="s">
        <v>153</v>
      </c>
      <c r="J21" s="28" t="s">
        <v>102</v>
      </c>
      <c r="K21" s="11">
        <v>2018</v>
      </c>
      <c r="L21" s="28" t="s">
        <v>125</v>
      </c>
      <c r="M21" s="15">
        <v>20000</v>
      </c>
      <c r="N21" s="12" t="s">
        <v>330</v>
      </c>
      <c r="O21" s="4">
        <v>701422</v>
      </c>
      <c r="P21" s="4">
        <f>ROUND(Tabla14[[#This Row],[KM ULT. MANT.]],-4)</f>
        <v>700000</v>
      </c>
      <c r="Q21" s="3">
        <v>45769</v>
      </c>
      <c r="R21" s="3" t="s">
        <v>8</v>
      </c>
      <c r="S21" s="15">
        <f t="shared" si="2"/>
        <v>493</v>
      </c>
      <c r="T21" s="15">
        <f t="shared" ca="1" si="0"/>
        <v>-39507</v>
      </c>
      <c r="U21" s="15" t="str">
        <f>_xlfn.IFS(AND(Tabla14[[#This Row],[MODELO]]=D21,Tabla14[[#This Row],[INTERV. MAT. (KM)]]=M21,Tabla14[[#This Row],[ACUM. PRÓX. MAT.]]&lt;=14999),"NORMALIDAD",Tabla14[[#This Row],[ACUM. PRÓX. MAT.]]&lt;19999,"MANT.PRÓX.",Tabla14[[#This Row],[ACUM. PRÓX. MAT.]]&gt;=20000,"MANT.VENCIDO")</f>
        <v>NORMALIDAD</v>
      </c>
      <c r="V21" s="4">
        <v>701915</v>
      </c>
      <c r="W21" s="3">
        <v>45771</v>
      </c>
      <c r="X21" s="4">
        <f ca="1">IFERROR(VLOOKUP('PARÁMETROS MANT.'!A25,'PARÁMETROS MANT.'!$A$2:$GH$35,AB21,FALSE),0)-Tabla14[[#This Row],[INTERV. MAT. (KM)]]</f>
        <v>700000</v>
      </c>
      <c r="Y21" s="16">
        <f t="shared" si="3"/>
        <v>246.5</v>
      </c>
      <c r="Z21" s="4">
        <f ca="1">IFERROR(VLOOKUP('PARÁMETROS MANT.'!A25,'PARÁMETROS MANT.'!$A$2:$GH$35,AB21,FALSE),0)</f>
        <v>720000</v>
      </c>
      <c r="AA21" s="15" t="str">
        <f ca="1">IFERROR(VLOOKUP(Tabla14[[#This Row],[MODELO]],'PARÁMETROS MANT.'!$A$2:$GY$35,AB21,FALSE),0)</f>
        <v>SM4</v>
      </c>
      <c r="AB21" s="31">
        <f ca="1">IFERROR(MATCH(Tabla14[[#This Row],[KM ACTUAL]],INDIRECT(Tabla14[[#This Row],[BUSQUEDA DE MODELO EN PARAMETROS MANT.]],TRUE),1)+3,0)</f>
        <v>39</v>
      </c>
      <c r="AC21" s="32">
        <f>IFERROR(MATCH(Tabla14[[#This Row],[MODELO]],'PARÁMETROS MANT.'!$A$2:$A$35,0)+2,0)</f>
        <v>25</v>
      </c>
      <c r="AD21" s="41" t="str">
        <f>VLOOKUP(Tabla14[[#This Row],[MODELO]],'PARÁMETROS MANT.'!$A$1:$B$35,2,FALSE)</f>
        <v>'PARÁMETROS MANT.'!C25:DF25</v>
      </c>
      <c r="AE21" s="41" t="str">
        <f ca="1">IFERROR(SUBSTITUTE(ADDRESS(1,AB21,4),"1",""),0)</f>
        <v>AM</v>
      </c>
      <c r="AF21" s="41" t="str">
        <f ca="1">CONCATENATE("'PARÁMETROS MANT.'!"&amp;AE21,AC21)</f>
        <v>'PARÁMETROS MANT.'!AM25</v>
      </c>
      <c r="AG21" s="34">
        <f>Tabla14[[#This Row],[F. KM ACT.]]-Tabla14[[#This Row],[F. ULT. MANT.]]</f>
        <v>2</v>
      </c>
      <c r="AH21" s="34">
        <f>Tabla14[[#This Row],[KM ACTUAL]]-Tabla14[[#This Row],[KM ULT. MANT.]]</f>
        <v>493</v>
      </c>
      <c r="AI21" s="111">
        <f t="shared" ca="1" si="6"/>
        <v>73.36713995943137</v>
      </c>
      <c r="AJ21" s="112">
        <f t="shared" ca="1" si="1"/>
        <v>45891.367139959431</v>
      </c>
    </row>
    <row r="22" spans="1:36" ht="15" customHeight="1" x14ac:dyDescent="0.25">
      <c r="A22" s="11">
        <v>382</v>
      </c>
      <c r="B22" s="12" t="s">
        <v>0</v>
      </c>
      <c r="C22" s="28" t="s">
        <v>99</v>
      </c>
      <c r="D22" s="15" t="s">
        <v>75</v>
      </c>
      <c r="E22" s="27" t="s">
        <v>105</v>
      </c>
      <c r="F22" s="11" t="s">
        <v>279</v>
      </c>
      <c r="G22" s="11" t="s">
        <v>162</v>
      </c>
      <c r="H22" s="42" t="s">
        <v>163</v>
      </c>
      <c r="I22" s="28" t="s">
        <v>153</v>
      </c>
      <c r="J22" s="28" t="s">
        <v>102</v>
      </c>
      <c r="K22" s="11">
        <v>2018</v>
      </c>
      <c r="L22" s="28" t="s">
        <v>125</v>
      </c>
      <c r="M22" s="15">
        <v>20000</v>
      </c>
      <c r="N22" s="12" t="s">
        <v>171</v>
      </c>
      <c r="O22" s="4">
        <v>704027</v>
      </c>
      <c r="P22" s="4">
        <f>ROUND(Tabla14[[#This Row],[KM ULT. MANT.]],-4)</f>
        <v>700000</v>
      </c>
      <c r="Q22" s="3">
        <v>45687</v>
      </c>
      <c r="R22" s="3" t="s">
        <v>8</v>
      </c>
      <c r="S22" s="15">
        <f t="shared" si="2"/>
        <v>574</v>
      </c>
      <c r="T22" s="15">
        <f t="shared" ca="1" si="0"/>
        <v>-39426</v>
      </c>
      <c r="U22" s="15" t="str">
        <f>_xlfn.IFS(AND(Tabla14[[#This Row],[MODELO]]=D22,Tabla14[[#This Row],[INTERV. MAT. (KM)]]=M22,Tabla14[[#This Row],[ACUM. PRÓX. MAT.]]&lt;=14999),"NORMALIDAD",Tabla14[[#This Row],[ACUM. PRÓX. MAT.]]&lt;19999,"MANT.PRÓX.",Tabla14[[#This Row],[ACUM. PRÓX. MAT.]]&gt;=20000,"MANT.VENCIDO")</f>
        <v>NORMALIDAD</v>
      </c>
      <c r="V22" s="4">
        <v>704601</v>
      </c>
      <c r="W22" s="3">
        <v>45771</v>
      </c>
      <c r="X22" s="4">
        <f ca="1">IFERROR(VLOOKUP('PARÁMETROS MANT.'!A25,'PARÁMETROS MANT.'!$A$2:$GH$35,AB22,FALSE),0)-Tabla14[[#This Row],[INTERV. MAT. (KM)]]</f>
        <v>700000</v>
      </c>
      <c r="Y22" s="16">
        <f t="shared" si="3"/>
        <v>6.833333333333333</v>
      </c>
      <c r="Z22" s="4">
        <f ca="1">IFERROR(VLOOKUP('PARÁMETROS MANT.'!A25,'PARÁMETROS MANT.'!$A$2:$GH$35,AB22,FALSE),0)</f>
        <v>720000</v>
      </c>
      <c r="AA22" s="15" t="str">
        <f ca="1">IFERROR(VLOOKUP(Tabla14[[#This Row],[MODELO]],'PARÁMETROS MANT.'!$A$2:$GY$35,AB22,FALSE),0)</f>
        <v>SM4</v>
      </c>
      <c r="AB22" s="31">
        <f ca="1">IFERROR(MATCH(Tabla14[[#This Row],[KM ACTUAL]],INDIRECT(Tabla14[[#This Row],[BUSQUEDA DE MODELO EN PARAMETROS MANT.]],TRUE),1)+3,0)</f>
        <v>39</v>
      </c>
      <c r="AC22" s="32">
        <f>IFERROR(MATCH(Tabla14[[#This Row],[MODELO]],'PARÁMETROS MANT.'!$A$2:$A$35,0)+2,0)</f>
        <v>25</v>
      </c>
      <c r="AD22" s="41" t="str">
        <f>VLOOKUP(Tabla14[[#This Row],[MODELO]],'PARÁMETROS MANT.'!$A$1:$B$35,2,FALSE)</f>
        <v>'PARÁMETROS MANT.'!C25:DF25</v>
      </c>
      <c r="AE22" s="41" t="str">
        <f ca="1">IFERROR(SUBSTITUTE(ADDRESS(1,AB22,4),"1",""),0)</f>
        <v>AM</v>
      </c>
      <c r="AF22" s="41" t="str">
        <f ca="1">CONCATENATE("'PARÁMETROS MANT.'!"&amp;AE22,AC22)</f>
        <v>'PARÁMETROS MANT.'!AM25</v>
      </c>
      <c r="AG22" s="34">
        <f>Tabla14[[#This Row],[F. KM ACT.]]-Tabla14[[#This Row],[F. ULT. MANT.]]</f>
        <v>84</v>
      </c>
      <c r="AH22" s="34">
        <f>Tabla14[[#This Row],[KM ACTUAL]]-Tabla14[[#This Row],[KM ULT. MANT.]]</f>
        <v>574</v>
      </c>
      <c r="AI22" s="111">
        <f t="shared" ca="1" si="6"/>
        <v>2253.512195121948</v>
      </c>
      <c r="AJ22" s="112">
        <f t="shared" ca="1" si="1"/>
        <v>48071.512195121948</v>
      </c>
    </row>
    <row r="23" spans="1:36" ht="15" customHeight="1" x14ac:dyDescent="0.25">
      <c r="A23" s="11">
        <v>383</v>
      </c>
      <c r="B23" s="12" t="s">
        <v>0</v>
      </c>
      <c r="C23" s="28" t="s">
        <v>99</v>
      </c>
      <c r="D23" s="15" t="s">
        <v>75</v>
      </c>
      <c r="E23" s="27" t="s">
        <v>105</v>
      </c>
      <c r="F23" s="11" t="s">
        <v>280</v>
      </c>
      <c r="G23" s="11" t="s">
        <v>164</v>
      </c>
      <c r="H23" s="42" t="s">
        <v>165</v>
      </c>
      <c r="I23" s="28" t="s">
        <v>153</v>
      </c>
      <c r="J23" s="28" t="s">
        <v>102</v>
      </c>
      <c r="K23" s="11">
        <v>2018</v>
      </c>
      <c r="L23" s="28" t="s">
        <v>125</v>
      </c>
      <c r="M23" s="15">
        <v>20000</v>
      </c>
      <c r="N23" s="12" t="s">
        <v>171</v>
      </c>
      <c r="O23" s="4">
        <v>839978</v>
      </c>
      <c r="P23" s="4">
        <f>ROUND(Tabla14[[#This Row],[KM ULT. MANT.]],-4)</f>
        <v>840000</v>
      </c>
      <c r="Q23" s="3">
        <v>45750</v>
      </c>
      <c r="R23" s="3" t="s">
        <v>11</v>
      </c>
      <c r="S23" s="15">
        <f t="shared" si="2"/>
        <v>13274</v>
      </c>
      <c r="T23" s="15" t="str">
        <f t="shared" ca="1" si="0"/>
        <v xml:space="preserve"> </v>
      </c>
      <c r="U23" s="15" t="str">
        <f>_xlfn.IFS(AND(Tabla14[[#This Row],[MODELO]]=D23,Tabla14[[#This Row],[INTERV. MAT. (KM)]]=M23,Tabla14[[#This Row],[ACUM. PRÓX. MAT.]]&lt;=14999),"NORMALIDAD",Tabla14[[#This Row],[ACUM. PRÓX. MAT.]]&lt;19999,"MANT.PRÓX.",Tabla14[[#This Row],[ACUM. PRÓX. MAT.]]&gt;=20000,"MANT.VENCIDO")</f>
        <v>NORMALIDAD</v>
      </c>
      <c r="V23" s="4">
        <v>853252</v>
      </c>
      <c r="W23" s="3">
        <v>45771</v>
      </c>
      <c r="X23" s="4">
        <f ca="1">IFERROR(VLOOKUP('PARÁMETROS MANT.'!A25,'PARÁMETROS MANT.'!$A$2:$GH$35,AB23,FALSE),0)-Tabla14[[#This Row],[INTERV. MAT. (KM)]]</f>
        <v>840000</v>
      </c>
      <c r="Y23" s="16">
        <f t="shared" si="3"/>
        <v>632.09523809523807</v>
      </c>
      <c r="Z23" s="4">
        <f ca="1">IFERROR(VLOOKUP('PARÁMETROS MANT.'!A25,'PARÁMETROS MANT.'!$A$2:$GH$35,AB23,FALSE),0)</f>
        <v>860000</v>
      </c>
      <c r="AA23" s="15" t="str">
        <f ca="1">IFERROR(VLOOKUP(Tabla14[[#This Row],[MODELO]],'PARÁMETROS MANT.'!$A$2:$GY$35,AB23,FALSE),0)</f>
        <v>SM1</v>
      </c>
      <c r="AB23" s="31">
        <f ca="1">IFERROR(MATCH(Tabla14[[#This Row],[KM ACTUAL]],INDIRECT(Tabla14[[#This Row],[BUSQUEDA DE MODELO EN PARAMETROS MANT.]],TRUE),1)+3,0)</f>
        <v>46</v>
      </c>
      <c r="AC23" s="32">
        <f>IFERROR(MATCH(Tabla14[[#This Row],[MODELO]],'PARÁMETROS MANT.'!$A$2:$A$35,0)+2,0)</f>
        <v>25</v>
      </c>
      <c r="AD23" s="41" t="str">
        <f>VLOOKUP(Tabla14[[#This Row],[MODELO]],'PARÁMETROS MANT.'!$A$1:$B$35,2,FALSE)</f>
        <v>'PARÁMETROS MANT.'!C25:DF25</v>
      </c>
      <c r="AE23" s="41" t="str">
        <f ca="1">IFERROR(SUBSTITUTE(ADDRESS(1,AB23,4),"1",""),0)</f>
        <v>AT</v>
      </c>
      <c r="AF23" s="41" t="str">
        <f ca="1">CONCATENATE("'PARÁMETROS MANT.'!"&amp;AE23,AC23)</f>
        <v>'PARÁMETROS MANT.'!AT25</v>
      </c>
      <c r="AG23" s="34">
        <f>Tabla14[[#This Row],[F. KM ACT.]]-Tabla14[[#This Row],[F. ULT. MANT.]]</f>
        <v>21</v>
      </c>
      <c r="AH23" s="34">
        <f>Tabla14[[#This Row],[KM ACTUAL]]-Tabla14[[#This Row],[KM ULT. MANT.]]</f>
        <v>13274</v>
      </c>
      <c r="AI23" s="111">
        <f t="shared" ca="1" si="6"/>
        <v>10.67560644869809</v>
      </c>
      <c r="AJ23" s="112">
        <f t="shared" ca="1" si="1"/>
        <v>45828.675606448698</v>
      </c>
    </row>
    <row r="24" spans="1:36" ht="15" customHeight="1" x14ac:dyDescent="0.25">
      <c r="A24" s="11">
        <v>384</v>
      </c>
      <c r="B24" s="12" t="s">
        <v>0</v>
      </c>
      <c r="C24" s="28" t="s">
        <v>99</v>
      </c>
      <c r="D24" s="15" t="s">
        <v>75</v>
      </c>
      <c r="E24" s="27" t="s">
        <v>105</v>
      </c>
      <c r="F24" s="11" t="s">
        <v>281</v>
      </c>
      <c r="G24" s="11" t="s">
        <v>166</v>
      </c>
      <c r="H24" s="42" t="s">
        <v>167</v>
      </c>
      <c r="I24" s="28" t="s">
        <v>153</v>
      </c>
      <c r="J24" s="28" t="s">
        <v>102</v>
      </c>
      <c r="K24" s="11">
        <v>2018</v>
      </c>
      <c r="L24" s="28" t="s">
        <v>125</v>
      </c>
      <c r="M24" s="15">
        <v>20000</v>
      </c>
      <c r="N24" s="12" t="s">
        <v>171</v>
      </c>
      <c r="O24" s="4">
        <v>626224</v>
      </c>
      <c r="P24" s="4">
        <f>ROUND(Tabla14[[#This Row],[KM ULT. MANT.]],-4)</f>
        <v>630000</v>
      </c>
      <c r="Q24" s="3">
        <v>45761</v>
      </c>
      <c r="R24" s="3" t="s">
        <v>8</v>
      </c>
      <c r="S24" s="15">
        <f t="shared" si="2"/>
        <v>5097</v>
      </c>
      <c r="T24" s="15">
        <f t="shared" ca="1" si="0"/>
        <v>-34903</v>
      </c>
      <c r="U24" s="15" t="str">
        <f>_xlfn.IFS(AND(Tabla14[[#This Row],[MODELO]]=D24,Tabla14[[#This Row],[INTERV. MAT. (KM)]]=M24,Tabla14[[#This Row],[ACUM. PRÓX. MAT.]]&lt;=14999),"NORMALIDAD",Tabla14[[#This Row],[ACUM. PRÓX. MAT.]]&lt;19999,"MANT.PRÓX.",Tabla14[[#This Row],[ACUM. PRÓX. MAT.]]&gt;=20000,"MANT.VENCIDO")</f>
        <v>NORMALIDAD</v>
      </c>
      <c r="V24" s="4">
        <v>631321</v>
      </c>
      <c r="W24" s="103">
        <v>45771</v>
      </c>
      <c r="X24" s="4">
        <f ca="1">IFERROR(VLOOKUP('PARÁMETROS MANT.'!A25,'PARÁMETROS MANT.'!$A$2:$GH$35,AB24,FALSE),0)-Tabla14[[#This Row],[INTERV. MAT. (KM)]]</f>
        <v>620000</v>
      </c>
      <c r="Y24" s="16">
        <f t="shared" si="3"/>
        <v>509.7</v>
      </c>
      <c r="Z24" s="4">
        <f ca="1">IFERROR(VLOOKUP('PARÁMETROS MANT.'!A25,'PARÁMETROS MANT.'!$A$2:$GH$35,AB24,FALSE),0)</f>
        <v>640000</v>
      </c>
      <c r="AA24" s="15" t="str">
        <f ca="1">IFERROR(VLOOKUP(Tabla14[[#This Row],[MODELO]],'PARÁMETROS MANT.'!$A$2:$GY$35,AB24,FALSE),0)</f>
        <v>SM2</v>
      </c>
      <c r="AB24" s="31">
        <f ca="1">IFERROR(MATCH(Tabla14[[#This Row],[KM ACTUAL]],INDIRECT(Tabla14[[#This Row],[BUSQUEDA DE MODELO EN PARAMETROS MANT.]],TRUE),1)+3,0)</f>
        <v>35</v>
      </c>
      <c r="AC24" s="32">
        <f>IFERROR(MATCH(Tabla14[[#This Row],[MODELO]],'PARÁMETROS MANT.'!$A$2:$A$35,0)+2,0)</f>
        <v>25</v>
      </c>
      <c r="AD24" s="41" t="str">
        <f>VLOOKUP(Tabla14[[#This Row],[MODELO]],'PARÁMETROS MANT.'!$A$1:$B$35,2,FALSE)</f>
        <v>'PARÁMETROS MANT.'!C25:DF25</v>
      </c>
      <c r="AE24" s="41" t="str">
        <f ca="1">IFERROR(SUBSTITUTE(ADDRESS(1,AB24,4),"1",""),0)</f>
        <v>AI</v>
      </c>
      <c r="AF24" s="41" t="str">
        <f ca="1">CONCATENATE("'PARÁMETROS MANT.'!"&amp;AE24,AC24)</f>
        <v>'PARÁMETROS MANT.'!AI25</v>
      </c>
      <c r="AG24" s="34">
        <f>Tabla14[[#This Row],[F. KM ACT.]]-Tabla14[[#This Row],[F. ULT. MANT.]]</f>
        <v>10</v>
      </c>
      <c r="AH24" s="34">
        <f>Tabla14[[#This Row],[KM ACTUAL]]-Tabla14[[#This Row],[KM ULT. MANT.]]</f>
        <v>5097</v>
      </c>
      <c r="AI24" s="111">
        <f t="shared" ca="1" si="6"/>
        <v>17.027663331369695</v>
      </c>
      <c r="AJ24" s="112">
        <f t="shared" ca="1" si="1"/>
        <v>45835.02766333137</v>
      </c>
    </row>
    <row r="25" spans="1:36" ht="15" customHeight="1" x14ac:dyDescent="0.25">
      <c r="A25" s="11">
        <v>385</v>
      </c>
      <c r="B25" s="12" t="s">
        <v>0</v>
      </c>
      <c r="C25" s="28" t="s">
        <v>99</v>
      </c>
      <c r="D25" s="15" t="s">
        <v>75</v>
      </c>
      <c r="E25" s="27" t="s">
        <v>105</v>
      </c>
      <c r="F25" s="11" t="s">
        <v>282</v>
      </c>
      <c r="G25" s="11" t="s">
        <v>168</v>
      </c>
      <c r="H25" s="42" t="s">
        <v>169</v>
      </c>
      <c r="I25" s="28" t="s">
        <v>153</v>
      </c>
      <c r="J25" s="28" t="s">
        <v>102</v>
      </c>
      <c r="K25" s="11">
        <v>2018</v>
      </c>
      <c r="L25" s="28" t="s">
        <v>125</v>
      </c>
      <c r="M25" s="15">
        <v>20000</v>
      </c>
      <c r="N25" s="12" t="s">
        <v>171</v>
      </c>
      <c r="O25" s="4">
        <v>786593</v>
      </c>
      <c r="P25" s="4">
        <f>ROUND(Tabla14[[#This Row],[KM ULT. MANT.]],-4)</f>
        <v>790000</v>
      </c>
      <c r="Q25" s="3">
        <v>45759</v>
      </c>
      <c r="R25" s="3" t="s">
        <v>9</v>
      </c>
      <c r="S25" s="15">
        <f t="shared" si="2"/>
        <v>4818</v>
      </c>
      <c r="T25" s="15">
        <f t="shared" ca="1" si="0"/>
        <v>-35182</v>
      </c>
      <c r="U25" s="15" t="str">
        <f>_xlfn.IFS(AND(Tabla14[[#This Row],[MODELO]]=D25,Tabla14[[#This Row],[INTERV. MAT. (KM)]]=M25,Tabla14[[#This Row],[ACUM. PRÓX. MAT.]]&lt;=14999),"NORMALIDAD",Tabla14[[#This Row],[ACUM. PRÓX. MAT.]]&lt;19999,"MANT.PRÓX.",Tabla14[[#This Row],[ACUM. PRÓX. MAT.]]&gt;=20000,"MANT.VENCIDO")</f>
        <v>NORMALIDAD</v>
      </c>
      <c r="V25" s="4">
        <v>791411</v>
      </c>
      <c r="W25" s="3">
        <v>45771</v>
      </c>
      <c r="X25" s="4">
        <f ca="1">IFERROR(VLOOKUP('PARÁMETROS MANT.'!A25,'PARÁMETROS MANT.'!$A$2:$GH$35,AB25,FALSE),0)-Tabla14[[#This Row],[INTERV. MAT. (KM)]]</f>
        <v>780000</v>
      </c>
      <c r="Y25" s="16">
        <f t="shared" si="3"/>
        <v>401.5</v>
      </c>
      <c r="Z25" s="4">
        <f ca="1">IFERROR(VLOOKUP('PARÁMETROS MANT.'!A25,'PARÁMETROS MANT.'!$A$2:$GH$35,AB25,FALSE),0)</f>
        <v>800000</v>
      </c>
      <c r="AA25" s="15" t="str">
        <f ca="1">IFERROR(VLOOKUP(Tabla14[[#This Row],[MODELO]],'PARÁMETROS MANT.'!$A$2:$GY$35,AB25,FALSE),0)</f>
        <v>SM2</v>
      </c>
      <c r="AB25" s="31">
        <f ca="1">IFERROR(MATCH(Tabla14[[#This Row],[KM ACTUAL]],INDIRECT(Tabla14[[#This Row],[BUSQUEDA DE MODELO EN PARAMETROS MANT.]],TRUE),1)+3,0)</f>
        <v>43</v>
      </c>
      <c r="AC25" s="32">
        <f>IFERROR(MATCH(Tabla14[[#This Row],[MODELO]],'PARÁMETROS MANT.'!$A$2:$A$35,0)+2,0)</f>
        <v>25</v>
      </c>
      <c r="AD25" s="41" t="str">
        <f>VLOOKUP(Tabla14[[#This Row],[MODELO]],'PARÁMETROS MANT.'!$A$1:$B$35,2,FALSE)</f>
        <v>'PARÁMETROS MANT.'!C25:DF25</v>
      </c>
      <c r="AE25" s="32" t="str">
        <f t="shared" ca="1" si="4"/>
        <v>AQ</v>
      </c>
      <c r="AF25" s="32" t="str">
        <f t="shared" ca="1" si="5"/>
        <v>'PARÁMETROS MANT.'!AQ25</v>
      </c>
      <c r="AG25" s="34">
        <f>Tabla14[[#This Row],[F. KM ACT.]]-Tabla14[[#This Row],[F. ULT. MANT.]]</f>
        <v>12</v>
      </c>
      <c r="AH25" s="34">
        <f>Tabla14[[#This Row],[KM ACTUAL]]-Tabla14[[#This Row],[KM ULT. MANT.]]</f>
        <v>4818</v>
      </c>
      <c r="AI25" s="111">
        <f t="shared" ca="1" si="6"/>
        <v>21.39227895392105</v>
      </c>
      <c r="AJ25" s="112">
        <f t="shared" ca="1" si="1"/>
        <v>45839.392278953921</v>
      </c>
    </row>
    <row r="26" spans="1:36" ht="15" customHeight="1" x14ac:dyDescent="0.25">
      <c r="A26" s="11">
        <v>397</v>
      </c>
      <c r="B26" s="12" t="s">
        <v>0</v>
      </c>
      <c r="C26" s="12" t="s">
        <v>99</v>
      </c>
      <c r="D26" s="15" t="s">
        <v>75</v>
      </c>
      <c r="E26" s="11" t="s">
        <v>105</v>
      </c>
      <c r="F26" s="11" t="s">
        <v>248</v>
      </c>
      <c r="G26" s="11" t="s">
        <v>178</v>
      </c>
      <c r="H26" s="11" t="s">
        <v>184</v>
      </c>
      <c r="I26" s="12" t="s">
        <v>117</v>
      </c>
      <c r="J26" s="12" t="s">
        <v>102</v>
      </c>
      <c r="K26" s="15">
        <v>2019</v>
      </c>
      <c r="L26" s="12" t="s">
        <v>102</v>
      </c>
      <c r="M26" s="15">
        <v>20000</v>
      </c>
      <c r="N26" s="28" t="s">
        <v>330</v>
      </c>
      <c r="O26" s="4">
        <v>202327</v>
      </c>
      <c r="P26" s="4">
        <f>ROUND(Tabla14[[#This Row],[KM ULT. MANT.]],-4)</f>
        <v>200000</v>
      </c>
      <c r="Q26" s="3">
        <v>45743</v>
      </c>
      <c r="R26" s="4" t="s">
        <v>9</v>
      </c>
      <c r="S26" s="15">
        <f>IFERROR(IF(P26&lt;&gt;0,V26-P26," "),0)</f>
        <v>5805</v>
      </c>
      <c r="T26" s="15" t="str">
        <f t="shared" ca="1" si="0"/>
        <v xml:space="preserve"> </v>
      </c>
      <c r="U26" s="15" t="str">
        <f>_xlfn.IFS(AND(Tabla14[[#This Row],[MODELO]]=D26,Tabla14[[#This Row],[INTERV. MAT. (KM)]]=M26,Tabla14[[#This Row],[ACUM. PRÓX. MAT.]]&lt;=14999),"NORMALIDAD",Tabla14[[#This Row],[ACUM. PRÓX. MAT.]]&lt;19999,"MANT.PRÓX.",Tabla14[[#This Row],[ACUM. PRÓX. MAT.]]&gt;=20000,"MANT.VENCIDO")</f>
        <v>NORMALIDAD</v>
      </c>
      <c r="V26" s="4">
        <v>205805</v>
      </c>
      <c r="W26" s="103">
        <v>45771</v>
      </c>
      <c r="X26" s="4">
        <f ca="1">IFERROR(VLOOKUP('PARÁMETROS MANT.'!A25,'PARÁMETROS MANT.'!$A$2:$GH$35,AB26,FALSE),0)-Tabla14[[#This Row],[INTERV. MAT. (KM)]]</f>
        <v>200000</v>
      </c>
      <c r="Y26" s="16">
        <f t="shared" si="3"/>
        <v>124.21428571428571</v>
      </c>
      <c r="Z26" s="16">
        <f ca="1">IFERROR(VLOOKUP('PARÁMETROS MANT.'!A25,'PARÁMETROS MANT.'!$A$2:$GH$35,AB26,FALSE),0)</f>
        <v>220000</v>
      </c>
      <c r="AA26" s="15" t="str">
        <f ca="1">IFERROR(VLOOKUP(Tabla14[[#This Row],[MODELO]],'PARÁMETROS MANT.'!$A$2:$GY$35,AB26,FALSE),0)</f>
        <v>SM1</v>
      </c>
      <c r="AB26" s="31">
        <f ca="1">IFERROR(MATCH(Tabla14[[#This Row],[KM ACTUAL]],INDIRECT(Tabla14[[#This Row],[BUSQUEDA DE MODELO EN PARAMETROS MANT.]],TRUE),1)+3,0)</f>
        <v>14</v>
      </c>
      <c r="AC26" s="31">
        <f>IFERROR(MATCH(Tabla14[[#This Row],[MODELO]],'PARÁMETROS MANT.'!$A$2:$A$35,0)+2,0)</f>
        <v>25</v>
      </c>
      <c r="AD26" s="31" t="str">
        <f>VLOOKUP(Tabla14[[#This Row],[MODELO]],'PARÁMETROS MANT.'!$A$1:$B$35,2,FALSE)</f>
        <v>'PARÁMETROS MANT.'!C25:DF25</v>
      </c>
      <c r="AE26" s="31" t="str">
        <f t="shared" ca="1" si="4"/>
        <v>N</v>
      </c>
      <c r="AF26" s="31" t="str">
        <f t="shared" ca="1" si="5"/>
        <v>'PARÁMETROS MANT.'!N25</v>
      </c>
      <c r="AG26" s="34">
        <f>Tabla14[[#This Row],[F. KM ACT.]]-Tabla14[[#This Row],[F. ULT. MANT.]]</f>
        <v>28</v>
      </c>
      <c r="AH26" s="34">
        <f>Tabla14[[#This Row],[KM ACTUAL]]-Tabla14[[#This Row],[KM ULT. MANT.]]</f>
        <v>3478</v>
      </c>
      <c r="AI26" s="113">
        <f t="shared" ca="1" si="6"/>
        <v>114.27832087406568</v>
      </c>
      <c r="AJ26" s="112">
        <f t="shared" ca="1" si="1"/>
        <v>45932.278320874066</v>
      </c>
    </row>
    <row r="27" spans="1:36" ht="15" customHeight="1" x14ac:dyDescent="0.25">
      <c r="A27" s="11">
        <v>398</v>
      </c>
      <c r="B27" s="12" t="s">
        <v>0</v>
      </c>
      <c r="C27" s="12" t="s">
        <v>99</v>
      </c>
      <c r="D27" s="15" t="s">
        <v>75</v>
      </c>
      <c r="E27" s="11" t="s">
        <v>105</v>
      </c>
      <c r="F27" s="11" t="s">
        <v>249</v>
      </c>
      <c r="G27" s="11" t="s">
        <v>179</v>
      </c>
      <c r="H27" s="11" t="s">
        <v>185</v>
      </c>
      <c r="I27" s="12" t="s">
        <v>117</v>
      </c>
      <c r="J27" s="12" t="s">
        <v>102</v>
      </c>
      <c r="K27" s="15">
        <v>2019</v>
      </c>
      <c r="L27" s="12" t="s">
        <v>102</v>
      </c>
      <c r="M27" s="15">
        <v>20000</v>
      </c>
      <c r="N27" s="28" t="s">
        <v>330</v>
      </c>
      <c r="O27" s="4">
        <v>186675</v>
      </c>
      <c r="P27" s="4">
        <f>ROUND(Tabla14[[#This Row],[KM ULT. MANT.]],-4)</f>
        <v>190000</v>
      </c>
      <c r="Q27" s="3">
        <v>45770</v>
      </c>
      <c r="R27" s="4" t="s">
        <v>10</v>
      </c>
      <c r="S27" s="15">
        <f>IFERROR(IF(P27&lt;&gt;0,V27-P27," "),0)</f>
        <v>-3159</v>
      </c>
      <c r="T27" s="15">
        <f t="shared" ca="1" si="0"/>
        <v>-43159</v>
      </c>
      <c r="U27" s="15" t="str">
        <f>_xlfn.IFS(AND(Tabla14[[#This Row],[MODELO]]=D27,Tabla14[[#This Row],[INTERV. MAT. (KM)]]=M27,Tabla14[[#This Row],[ACUM. PRÓX. MAT.]]&lt;=14999),"NORMALIDAD",Tabla14[[#This Row],[ACUM. PRÓX. MAT.]]&lt;19999,"MANT.PRÓX.",Tabla14[[#This Row],[ACUM. PRÓX. MAT.]]&gt;=20000,"MANT.VENCIDO")</f>
        <v>NORMALIDAD</v>
      </c>
      <c r="V27" s="4">
        <v>186841</v>
      </c>
      <c r="W27" s="3">
        <v>45771</v>
      </c>
      <c r="X27" s="4">
        <f ca="1">IFERROR(VLOOKUP('PARÁMETROS MANT.'!A25,'PARÁMETROS MANT.'!$A$2:$GH$35,AB27,FALSE),0)-Tabla14[[#This Row],[INTERV. MAT. (KM)]]</f>
        <v>180000</v>
      </c>
      <c r="Y27" s="16">
        <f t="shared" si="3"/>
        <v>166</v>
      </c>
      <c r="Z27" s="16">
        <f ca="1">IFERROR(VLOOKUP('PARÁMETROS MANT.'!A25,'PARÁMETROS MANT.'!$A$2:$GH$35,AB27,FALSE),0)</f>
        <v>200000</v>
      </c>
      <c r="AA27" s="15" t="str">
        <f ca="1">IFERROR(VLOOKUP(Tabla14[[#This Row],[MODELO]],'PARÁMETROS MANT.'!$A$2:$GY$35,AB27,FALSE),0)</f>
        <v>SM2</v>
      </c>
      <c r="AB27" s="31">
        <f ca="1">IFERROR(MATCH(Tabla14[[#This Row],[KM ACTUAL]],INDIRECT(Tabla14[[#This Row],[BUSQUEDA DE MODELO EN PARAMETROS MANT.]],TRUE),1)+3,0)</f>
        <v>13</v>
      </c>
      <c r="AC27" s="31">
        <f>IFERROR(MATCH(Tabla14[[#This Row],[MODELO]],'PARÁMETROS MANT.'!$A$2:$A$35,0)+2,0)</f>
        <v>25</v>
      </c>
      <c r="AD27" s="31" t="str">
        <f>VLOOKUP(Tabla14[[#This Row],[MODELO]],'PARÁMETROS MANT.'!$A$1:$B$35,2,FALSE)</f>
        <v>'PARÁMETROS MANT.'!C25:DF25</v>
      </c>
      <c r="AE27" s="31" t="str">
        <f t="shared" ca="1" si="4"/>
        <v>M</v>
      </c>
      <c r="AF27" s="31" t="str">
        <f t="shared" ca="1" si="5"/>
        <v>'PARÁMETROS MANT.'!M25</v>
      </c>
      <c r="AG27" s="34">
        <f>Tabla14[[#This Row],[F. KM ACT.]]-Tabla14[[#This Row],[F. ULT. MANT.]]</f>
        <v>1</v>
      </c>
      <c r="AH27" s="34">
        <f>Tabla14[[#This Row],[KM ACTUAL]]-Tabla14[[#This Row],[KM ULT. MANT.]]</f>
        <v>166</v>
      </c>
      <c r="AI27" s="113">
        <f t="shared" ca="1" si="6"/>
        <v>79.271084337349748</v>
      </c>
      <c r="AJ27" s="112">
        <f t="shared" ca="1" si="1"/>
        <v>45897.27108433735</v>
      </c>
    </row>
    <row r="28" spans="1:36" ht="15" customHeight="1" x14ac:dyDescent="0.25">
      <c r="A28" s="11">
        <v>399</v>
      </c>
      <c r="B28" s="12" t="s">
        <v>0</v>
      </c>
      <c r="C28" s="12" t="s">
        <v>99</v>
      </c>
      <c r="D28" s="15" t="s">
        <v>75</v>
      </c>
      <c r="E28" s="11" t="s">
        <v>105</v>
      </c>
      <c r="F28" s="11" t="s">
        <v>250</v>
      </c>
      <c r="G28" s="11" t="s">
        <v>180</v>
      </c>
      <c r="H28" s="11" t="s">
        <v>186</v>
      </c>
      <c r="I28" s="12" t="s">
        <v>117</v>
      </c>
      <c r="J28" s="12" t="s">
        <v>102</v>
      </c>
      <c r="K28" s="15">
        <v>2019</v>
      </c>
      <c r="L28" s="12" t="s">
        <v>102</v>
      </c>
      <c r="M28" s="15">
        <v>20000</v>
      </c>
      <c r="N28" s="28" t="s">
        <v>330</v>
      </c>
      <c r="O28" s="4">
        <v>178914</v>
      </c>
      <c r="P28" s="4">
        <f>ROUND(Tabla14[[#This Row],[KM ULT. MANT.]],-4)</f>
        <v>180000</v>
      </c>
      <c r="Q28" s="3">
        <v>45700</v>
      </c>
      <c r="R28" s="4" t="s">
        <v>10</v>
      </c>
      <c r="S28" s="15">
        <f>IFERROR(IF(P28&lt;&gt;0,V28-P28," "),0)</f>
        <v>7580</v>
      </c>
      <c r="T28" s="15">
        <f t="shared" ca="1" si="0"/>
        <v>-32420</v>
      </c>
      <c r="U28" s="15" t="str">
        <f>_xlfn.IFS(AND(Tabla14[[#This Row],[MODELO]]=D28,Tabla14[[#This Row],[INTERV. MAT. (KM)]]=M28,Tabla14[[#This Row],[ACUM. PRÓX. MAT.]]&lt;=14999),"NORMALIDAD",Tabla14[[#This Row],[ACUM. PRÓX. MAT.]]&lt;19999,"MANT.PRÓX.",Tabla14[[#This Row],[ACUM. PRÓX. MAT.]]&gt;=20000,"MANT.VENCIDO")</f>
        <v>NORMALIDAD</v>
      </c>
      <c r="V28" s="4">
        <v>187580</v>
      </c>
      <c r="W28" s="103">
        <v>45771</v>
      </c>
      <c r="X28" s="4">
        <f ca="1">IFERROR(VLOOKUP('PARÁMETROS MANT.'!A25,'PARÁMETROS MANT.'!$A$2:$GH$35,AB28,FALSE),0)-Tabla14[[#This Row],[INTERV. MAT. (KM)]]</f>
        <v>180000</v>
      </c>
      <c r="Y28" s="16">
        <f t="shared" si="3"/>
        <v>122.05633802816901</v>
      </c>
      <c r="Z28" s="16">
        <f ca="1">IFERROR(VLOOKUP('PARÁMETROS MANT.'!A25,'PARÁMETROS MANT.'!$A$2:$GH$35,AB28,FALSE),0)</f>
        <v>200000</v>
      </c>
      <c r="AA28" s="15" t="str">
        <f ca="1">IFERROR(VLOOKUP(Tabla14[[#This Row],[MODELO]],'PARÁMETROS MANT.'!$A$2:$GY$35,AB28,FALSE),0)</f>
        <v>SM2</v>
      </c>
      <c r="AB28" s="31">
        <f ca="1">IFERROR(MATCH(Tabla14[[#This Row],[KM ACTUAL]],INDIRECT(Tabla14[[#This Row],[BUSQUEDA DE MODELO EN PARAMETROS MANT.]],TRUE),1)+3,0)</f>
        <v>13</v>
      </c>
      <c r="AC28" s="31">
        <f>IFERROR(MATCH(Tabla14[[#This Row],[MODELO]],'PARÁMETROS MANT.'!$A$2:$A$35,0)+2,0)</f>
        <v>25</v>
      </c>
      <c r="AD28" s="31" t="str">
        <f>VLOOKUP(Tabla14[[#This Row],[MODELO]],'PARÁMETROS MANT.'!$A$1:$B$35,2,FALSE)</f>
        <v>'PARÁMETROS MANT.'!C25:DF25</v>
      </c>
      <c r="AE28" s="31" t="str">
        <f t="shared" ca="1" si="4"/>
        <v>M</v>
      </c>
      <c r="AF28" s="31" t="str">
        <f t="shared" ca="1" si="5"/>
        <v>'PARÁMETROS MANT.'!M25</v>
      </c>
      <c r="AG28" s="34">
        <f>Tabla14[[#This Row],[F. KM ACT.]]-Tabla14[[#This Row],[F. ULT. MANT.]]</f>
        <v>71</v>
      </c>
      <c r="AH28" s="34">
        <f>Tabla14[[#This Row],[KM ACTUAL]]-Tabla14[[#This Row],[KM ULT. MANT.]]</f>
        <v>8666</v>
      </c>
      <c r="AI28" s="113">
        <f t="shared" ca="1" si="6"/>
        <v>101.75628894530382</v>
      </c>
      <c r="AJ28" s="112">
        <f t="shared" ca="1" si="1"/>
        <v>45919.756288945304</v>
      </c>
    </row>
    <row r="29" spans="1:36" ht="15" customHeight="1" x14ac:dyDescent="0.25">
      <c r="A29" s="11">
        <v>400</v>
      </c>
      <c r="B29" s="12" t="s">
        <v>0</v>
      </c>
      <c r="C29" s="12" t="s">
        <v>99</v>
      </c>
      <c r="D29" s="15" t="s">
        <v>75</v>
      </c>
      <c r="E29" s="11" t="s">
        <v>105</v>
      </c>
      <c r="F29" s="11" t="s">
        <v>251</v>
      </c>
      <c r="G29" s="11" t="s">
        <v>181</v>
      </c>
      <c r="H29" s="11" t="s">
        <v>187</v>
      </c>
      <c r="I29" s="12" t="s">
        <v>117</v>
      </c>
      <c r="J29" s="12" t="s">
        <v>102</v>
      </c>
      <c r="K29" s="15">
        <v>2019</v>
      </c>
      <c r="L29" s="12" t="s">
        <v>102</v>
      </c>
      <c r="M29" s="15">
        <v>20000</v>
      </c>
      <c r="N29" s="28" t="s">
        <v>330</v>
      </c>
      <c r="O29" s="4">
        <v>179212</v>
      </c>
      <c r="P29" s="4">
        <f>ROUND(Tabla14[[#This Row],[KM ULT. MANT.]],-4)</f>
        <v>180000</v>
      </c>
      <c r="Q29" s="3">
        <v>45700</v>
      </c>
      <c r="R29" s="4" t="s">
        <v>10</v>
      </c>
      <c r="S29" s="15">
        <f>IFERROR(IF(P29&lt;&gt;0,V29-P29," "),0)</f>
        <v>7745</v>
      </c>
      <c r="T29" s="15">
        <f t="shared" ca="1" si="0"/>
        <v>-32255</v>
      </c>
      <c r="U29" s="15" t="str">
        <f>_xlfn.IFS(AND(Tabla14[[#This Row],[MODELO]]=D29,Tabla14[[#This Row],[INTERV. MAT. (KM)]]=M29,Tabla14[[#This Row],[ACUM. PRÓX. MAT.]]&lt;=14999),"NORMALIDAD",Tabla14[[#This Row],[ACUM. PRÓX. MAT.]]&lt;19999,"MANT.PRÓX.",Tabla14[[#This Row],[ACUM. PRÓX. MAT.]]&gt;=20000,"MANT.VENCIDO")</f>
        <v>NORMALIDAD</v>
      </c>
      <c r="V29" s="4">
        <v>187745</v>
      </c>
      <c r="W29" s="3">
        <v>45771</v>
      </c>
      <c r="X29" s="4">
        <f ca="1">IFERROR(VLOOKUP('PARÁMETROS MANT.'!A25,'PARÁMETROS MANT.'!$A$2:$GH$35,AB29,FALSE),0)-Tabla14[[#This Row],[INTERV. MAT. (KM)]]</f>
        <v>180000</v>
      </c>
      <c r="Y29" s="16">
        <f t="shared" si="3"/>
        <v>120.1830985915493</v>
      </c>
      <c r="Z29" s="16">
        <f ca="1">IFERROR(VLOOKUP('PARÁMETROS MANT.'!A25,'PARÁMETROS MANT.'!$A$2:$GH$35,AB29,FALSE),0)</f>
        <v>200000</v>
      </c>
      <c r="AA29" s="15" t="str">
        <f ca="1">IFERROR(VLOOKUP(Tabla14[[#This Row],[MODELO]],'PARÁMETROS MANT.'!$A$2:$GY$35,AB29,FALSE),0)</f>
        <v>SM2</v>
      </c>
      <c r="AB29" s="31">
        <f ca="1">IFERROR(MATCH(Tabla14[[#This Row],[KM ACTUAL]],INDIRECT(Tabla14[[#This Row],[BUSQUEDA DE MODELO EN PARAMETROS MANT.]],TRUE),1)+3,0)</f>
        <v>13</v>
      </c>
      <c r="AC29" s="31">
        <f>IFERROR(MATCH(Tabla14[[#This Row],[MODELO]],'PARÁMETROS MANT.'!$A$2:$A$35,0)+2,0)</f>
        <v>25</v>
      </c>
      <c r="AD29" s="31" t="str">
        <f>VLOOKUP(Tabla14[[#This Row],[MODELO]],'PARÁMETROS MANT.'!$A$1:$B$35,2,FALSE)</f>
        <v>'PARÁMETROS MANT.'!C25:DF25</v>
      </c>
      <c r="AE29" s="31" t="str">
        <f t="shared" ca="1" si="4"/>
        <v>M</v>
      </c>
      <c r="AF29" s="31" t="str">
        <f t="shared" ca="1" si="5"/>
        <v>'PARÁMETROS MANT.'!M25</v>
      </c>
      <c r="AG29" s="34">
        <f>Tabla14[[#This Row],[F. KM ACT.]]-Tabla14[[#This Row],[F. ULT. MANT.]]</f>
        <v>71</v>
      </c>
      <c r="AH29" s="34">
        <f>Tabla14[[#This Row],[KM ACTUAL]]-Tabla14[[#This Row],[KM ULT. MANT.]]</f>
        <v>8533</v>
      </c>
      <c r="AI29" s="113">
        <f t="shared" ca="1" si="6"/>
        <v>101.96941286769288</v>
      </c>
      <c r="AJ29" s="112">
        <f t="shared" ca="1" si="1"/>
        <v>45919.969412867693</v>
      </c>
    </row>
    <row r="30" spans="1:36" ht="15" customHeight="1" x14ac:dyDescent="0.25">
      <c r="A30" s="55">
        <v>411</v>
      </c>
      <c r="B30" s="18" t="s">
        <v>0</v>
      </c>
      <c r="C30" s="18" t="s">
        <v>194</v>
      </c>
      <c r="D30" s="18" t="s">
        <v>228</v>
      </c>
      <c r="E30" s="18" t="s">
        <v>105</v>
      </c>
      <c r="F30" s="18" t="s">
        <v>262</v>
      </c>
      <c r="G30" s="70" t="s">
        <v>229</v>
      </c>
      <c r="H30" s="70">
        <v>8387150</v>
      </c>
      <c r="I30" s="12" t="s">
        <v>117</v>
      </c>
      <c r="J30" s="12" t="s">
        <v>102</v>
      </c>
      <c r="K30" s="18">
        <v>2022</v>
      </c>
      <c r="L30" s="12" t="s">
        <v>102</v>
      </c>
      <c r="M30" s="18">
        <v>30000</v>
      </c>
      <c r="N30" s="18" t="s">
        <v>171</v>
      </c>
      <c r="O30" s="39">
        <v>509061</v>
      </c>
      <c r="P30" s="4">
        <f>ROUND(Tabla14[[#This Row],[KM ULT. MANT.]],-4)</f>
        <v>510000</v>
      </c>
      <c r="Q30" s="3">
        <v>45768</v>
      </c>
      <c r="R30" s="39" t="s">
        <v>221</v>
      </c>
      <c r="S30" s="15">
        <f t="shared" si="2"/>
        <v>1589</v>
      </c>
      <c r="T30" s="15" t="s">
        <v>191</v>
      </c>
      <c r="U30" s="15" t="str">
        <f>_xlfn.IFS(AND(Tabla14[[#This Row],[MODELO]]=D30,Tabla14[[#This Row],[INTERV. MAT. (KM)]]=M30,Tabla14[[#This Row],[ACUM. PRÓX. MAT.]]&lt;=24999),"NORMALIDAD",Tabla14[[#This Row],[ACUM. PRÓX. MAT.]]&lt;29999,"MANT.PRÓX.",Tabla14[[#This Row],[ACUM. PRÓX. MAT.]]&gt;=30000,"MANT.VENCIDO")</f>
        <v>NORMALIDAD</v>
      </c>
      <c r="V30" s="39">
        <v>510650</v>
      </c>
      <c r="W30" s="103">
        <v>45771</v>
      </c>
      <c r="X30" s="4">
        <f ca="1">IFERROR(VLOOKUP('PARÁMETROS MANT.'!A15,'PARÁMETROS MANT.'!$A$2:$GH$35,AB30,FALSE),0)-Tabla14[[#This Row],[INTERV. MAT. (KM)]]</f>
        <v>510000</v>
      </c>
      <c r="Y30" s="16">
        <f t="shared" si="3"/>
        <v>529.66666666666663</v>
      </c>
      <c r="Z30" s="4">
        <f ca="1">IFERROR(VLOOKUP('PARÁMETROS MANT.'!A15,'PARÁMETROS MANT.'!$A$2:$GH$35,AB30,FALSE),0)</f>
        <v>540000</v>
      </c>
      <c r="AA30" s="15" t="str">
        <f ca="1">IFERROR(VLOOKUP(Tabla14[[#This Row],[MODELO]],'PARÁMETROS MANT.'!$A$2:$GY$35,AB30,FALSE),0)</f>
        <v>M</v>
      </c>
      <c r="AB30" s="31">
        <f ca="1">IFERROR(MATCH(Tabla14[[#This Row],[KM ACTUAL]],INDIRECT(Tabla14[[#This Row],[BUSQUEDA DE MODELO EN PARAMETROS MANT.]],TRUE),1)+3,0)</f>
        <v>21</v>
      </c>
      <c r="AC30" s="32">
        <f>IFERROR(MATCH(Tabla14[[#This Row],[MODELO]],'PARÁMETROS MANT.'!$A$2:$A$35,0)+2,0)</f>
        <v>15</v>
      </c>
      <c r="AD30" s="41" t="str">
        <f>VLOOKUP(Tabla14[[#This Row],[MODELO]],'PARÁMETROS MANT.'!$A$1:$B$35,2,FALSE)</f>
        <v>'PARÁMETROS MANT.'!C15:GY15</v>
      </c>
      <c r="AE30" s="73" t="str">
        <f ca="1">IFERROR(SUBSTITUTE(ADDRESS(1,AB30,4),"1",""),0)</f>
        <v>U</v>
      </c>
      <c r="AF30" s="72" t="str">
        <f t="shared" ref="AF30:AF35" ca="1" si="7">CONCATENATE("'PARÁMETROS MANT.'!"&amp;AE30,AC30)</f>
        <v>'PARÁMETROS MANT.'!U15</v>
      </c>
      <c r="AG30" s="34">
        <f>Tabla14[[#This Row],[F. KM ACT.]]-Tabla14[[#This Row],[F. ULT. MANT.]]</f>
        <v>3</v>
      </c>
      <c r="AH30" s="34">
        <f>Tabla14[[#This Row],[KM ACTUAL]]-Tabla14[[#This Row],[KM ULT. MANT.]]</f>
        <v>1589</v>
      </c>
      <c r="AI30" s="111">
        <f t="shared" ca="1" si="6"/>
        <v>55.412208936439129</v>
      </c>
      <c r="AJ30" s="112">
        <f t="shared" ca="1" si="1"/>
        <v>45873.412208936439</v>
      </c>
    </row>
    <row r="31" spans="1:36" ht="15" customHeight="1" x14ac:dyDescent="0.25">
      <c r="A31" s="55">
        <v>412</v>
      </c>
      <c r="B31" s="18" t="s">
        <v>0</v>
      </c>
      <c r="C31" s="15" t="s">
        <v>194</v>
      </c>
      <c r="D31" s="18" t="s">
        <v>228</v>
      </c>
      <c r="E31" s="18" t="s">
        <v>105</v>
      </c>
      <c r="F31" s="18" t="s">
        <v>263</v>
      </c>
      <c r="G31" s="70" t="s">
        <v>230</v>
      </c>
      <c r="H31" s="70">
        <v>8387149</v>
      </c>
      <c r="I31" s="12" t="s">
        <v>117</v>
      </c>
      <c r="J31" s="12" t="s">
        <v>102</v>
      </c>
      <c r="K31" s="71">
        <v>2022</v>
      </c>
      <c r="L31" s="12" t="s">
        <v>102</v>
      </c>
      <c r="M31" s="74">
        <v>30000</v>
      </c>
      <c r="N31" s="18" t="s">
        <v>171</v>
      </c>
      <c r="O31" s="75">
        <v>546327</v>
      </c>
      <c r="P31" s="4">
        <f>ROUND(Tabla14[[#This Row],[KM ULT. MANT.]],-4)</f>
        <v>550000</v>
      </c>
      <c r="Q31" s="49">
        <v>45742</v>
      </c>
      <c r="R31" s="3" t="s">
        <v>382</v>
      </c>
      <c r="S31" s="15">
        <f t="shared" si="2"/>
        <v>17543</v>
      </c>
      <c r="T31" s="15" t="s">
        <v>191</v>
      </c>
      <c r="U31" s="15" t="str">
        <f>_xlfn.IFS(AND(Tabla14[[#This Row],[MODELO]]=D31,Tabla14[[#This Row],[INTERV. MAT. (KM)]]=M31,Tabla14[[#This Row],[ACUM. PRÓX. MAT.]]&lt;=24999),"NORMALIDAD",Tabla14[[#This Row],[ACUM. PRÓX. MAT.]]&lt;29999,"MANT.PRÓX.",Tabla14[[#This Row],[ACUM. PRÓX. MAT.]]&gt;=30000,"MANT.VENCIDO")</f>
        <v>NORMALIDAD</v>
      </c>
      <c r="V31" s="39">
        <v>563870</v>
      </c>
      <c r="W31" s="103">
        <v>45771</v>
      </c>
      <c r="X31" s="4">
        <f ca="1">IFERROR(VLOOKUP('PARÁMETROS MANT.'!A9,'PARÁMETROS MANT.'!$A$2:$GH$35,AB31,FALSE),0)-Tabla14[[#This Row],[INTERV. MAT. (KM)]]</f>
        <v>370000</v>
      </c>
      <c r="Y31" s="16">
        <f>IFERROR(AH31/AG31,0)</f>
        <v>604.93103448275861</v>
      </c>
      <c r="Z31" s="4">
        <f ca="1">IFERROR(VLOOKUP('PARÁMETROS MANT.'!A15,'PARÁMETROS MANT.'!$A$2:$GH$35,AB31,FALSE),0)</f>
        <v>570000</v>
      </c>
      <c r="AA31" s="15" t="str">
        <f ca="1">IFERROR(VLOOKUP(Tabla14[[#This Row],[MODELO]],'PARÁMETROS MANT.'!$A$2:$GY$35,AB31,FALSE),0)</f>
        <v>S</v>
      </c>
      <c r="AB31" s="31">
        <f ca="1">IFERROR(MATCH(Tabla14[[#This Row],[KM ACTUAL]],INDIRECT(Tabla14[[#This Row],[BUSQUEDA DE MODELO EN PARAMETROS MANT.]],TRUE),1)+3,0)</f>
        <v>22</v>
      </c>
      <c r="AC31" s="32">
        <f>IFERROR(MATCH(Tabla14[[#This Row],[MODELO]],'PARÁMETROS MANT.'!$A$2:$A$35,0)+2,0)</f>
        <v>15</v>
      </c>
      <c r="AD31" s="41" t="str">
        <f>VLOOKUP(Tabla14[[#This Row],[MODELO]],'PARÁMETROS MANT.'!$A$1:$B$35,2,FALSE)</f>
        <v>'PARÁMETROS MANT.'!C15:GY15</v>
      </c>
      <c r="AE31" s="73" t="str">
        <f ca="1">IFERROR(SUBSTITUTE(ADDRESS(1,AB31,4),"1",""),0)</f>
        <v>V</v>
      </c>
      <c r="AF31" s="72" t="str">
        <f t="shared" ca="1" si="7"/>
        <v>'PARÁMETROS MANT.'!V15</v>
      </c>
      <c r="AG31" s="34">
        <f>Tabla14[[#This Row],[F. KM ACT.]]-Tabla14[[#This Row],[F. ULT. MANT.]]</f>
        <v>29</v>
      </c>
      <c r="AH31" s="34">
        <f>Tabla14[[#This Row],[KM ACTUAL]]-Tabla14[[#This Row],[KM ULT. MANT.]]</f>
        <v>17543</v>
      </c>
      <c r="AI31" s="111">
        <f ca="1">AJ31-$AJ$1</f>
        <v>10.133386535941099</v>
      </c>
      <c r="AJ31" s="112">
        <f t="shared" ca="1" si="1"/>
        <v>45828.133386535941</v>
      </c>
    </row>
    <row r="32" spans="1:36" ht="15" customHeight="1" x14ac:dyDescent="0.25">
      <c r="A32" s="18">
        <v>413</v>
      </c>
      <c r="B32" s="18" t="s">
        <v>0</v>
      </c>
      <c r="C32" s="18" t="s">
        <v>194</v>
      </c>
      <c r="D32" s="18" t="s">
        <v>420</v>
      </c>
      <c r="E32" s="18" t="s">
        <v>105</v>
      </c>
      <c r="F32" s="18" t="s">
        <v>422</v>
      </c>
      <c r="G32" s="70" t="s">
        <v>424</v>
      </c>
      <c r="H32" s="70">
        <v>8431066</v>
      </c>
      <c r="I32" s="12" t="s">
        <v>117</v>
      </c>
      <c r="J32" s="12" t="s">
        <v>102</v>
      </c>
      <c r="K32" s="71">
        <v>2023</v>
      </c>
      <c r="L32" s="12" t="s">
        <v>102</v>
      </c>
      <c r="M32" s="74">
        <v>30000</v>
      </c>
      <c r="N32" s="18" t="s">
        <v>171</v>
      </c>
      <c r="O32" s="75">
        <v>267905</v>
      </c>
      <c r="P32" s="4">
        <f>ROUND(Tabla14[[#This Row],[KM ULT. MANT.]],-4)</f>
        <v>270000</v>
      </c>
      <c r="Q32" s="3">
        <v>45742</v>
      </c>
      <c r="R32" s="3" t="s">
        <v>221</v>
      </c>
      <c r="S32" s="15">
        <f t="shared" si="2"/>
        <v>0</v>
      </c>
      <c r="T32" s="15" t="s">
        <v>191</v>
      </c>
      <c r="U32" s="15" t="str">
        <f>_xlfn.IFS(AND(Tabla14[[#This Row],[MODELO]]=D32,Tabla14[[#This Row],[INTERV. MAT. (KM)]]=M32,Tabla14[[#This Row],[ACUM. PRÓX. MAT.]]&lt;=24999),"NORMALIDAD",Tabla14[[#This Row],[ACUM. PRÓX. MAT.]]&lt;29999,"MANT.PRÓX.",Tabla14[[#This Row],[ACUM. PRÓX. MAT.]]&gt;=30000,"MANT.VENCIDO")</f>
        <v>NORMALIDAD</v>
      </c>
      <c r="V32" s="39">
        <v>267905</v>
      </c>
      <c r="W32" s="103">
        <v>45771</v>
      </c>
      <c r="X32" s="4">
        <f ca="1">IFERROR(VLOOKUP('PARÁMETROS MANT.'!A17,'PARÁMETROS MANT.'!$A$2:$GH$35,AB32,FALSE),0)-Tabla14[[#This Row],[INTERV. MAT. (KM)]]</f>
        <v>240000</v>
      </c>
      <c r="Y32" s="16">
        <f>IFERROR(AH32/AG32,0)</f>
        <v>0</v>
      </c>
      <c r="Z32" s="4">
        <f ca="1">IFERROR(VLOOKUP('PARÁMETROS MANT.'!A17,'PARÁMETROS MANT.'!$A$2:$GH$35,AB32,FALSE),0)</f>
        <v>270000</v>
      </c>
      <c r="AA32" s="15" t="str">
        <f ca="1">IFERROR(VLOOKUP(Tabla14[[#This Row],[MODELO]],'PARÁMETROS MANT.'!$A$2:$GY$35,AB32,FALSE),0)</f>
        <v>S</v>
      </c>
      <c r="AB32" s="31">
        <f ca="1">IFERROR(MATCH(Tabla14[[#This Row],[KM ACTUAL]],INDIRECT(Tabla14[[#This Row],[BUSQUEDA DE MODELO EN PARAMETROS MANT.]],TRUE),1)+3,0)</f>
        <v>12</v>
      </c>
      <c r="AC32" s="32">
        <f>IFERROR(MATCH(Tabla14[[#This Row],[MODELO]],'PARÁMETROS MANT.'!$A$2:$A$35,0)+2,0)</f>
        <v>17</v>
      </c>
      <c r="AD32" s="41" t="str">
        <f>VLOOKUP(Tabla14[[#This Row],[MODELO]],'PARÁMETROS MANT.'!$A$1:$B$35,2,FALSE)</f>
        <v>'PARÁMETROS MANT.'!C17:CY17</v>
      </c>
      <c r="AE32" s="73" t="str">
        <f ca="1">IFERROR(SUBSTITUTE(ADDRESS(1,AB32,4),"1",""),0)</f>
        <v>L</v>
      </c>
      <c r="AF32" s="72" t="str">
        <f t="shared" ca="1" si="7"/>
        <v>'PARÁMETROS MANT.'!L17</v>
      </c>
      <c r="AG32" s="34">
        <f>Tabla14[[#This Row],[F. KM ACT.]]-Tabla14[[#This Row],[F. ULT. MANT.]]</f>
        <v>29</v>
      </c>
      <c r="AH32" s="34">
        <f>Tabla14[[#This Row],[KM ACTUAL]]-Tabla14[[#This Row],[KM ULT. MANT.]]</f>
        <v>0</v>
      </c>
      <c r="AI32" s="111">
        <f ca="1">AJ32-$AJ$1</f>
        <v>-45818</v>
      </c>
      <c r="AJ32" s="112">
        <f t="shared" ca="1" si="1"/>
        <v>0</v>
      </c>
    </row>
    <row r="33" spans="1:36" ht="15" customHeight="1" x14ac:dyDescent="0.25">
      <c r="A33" s="18">
        <v>414</v>
      </c>
      <c r="B33" s="18" t="s">
        <v>0</v>
      </c>
      <c r="C33" s="18" t="s">
        <v>194</v>
      </c>
      <c r="D33" s="18" t="s">
        <v>420</v>
      </c>
      <c r="E33" s="18" t="s">
        <v>105</v>
      </c>
      <c r="F33" s="18" t="s">
        <v>421</v>
      </c>
      <c r="G33" s="18" t="s">
        <v>425</v>
      </c>
      <c r="H33" s="18">
        <v>8425753</v>
      </c>
      <c r="I33" s="12" t="s">
        <v>117</v>
      </c>
      <c r="J33" s="12" t="s">
        <v>102</v>
      </c>
      <c r="K33" s="71">
        <v>2023</v>
      </c>
      <c r="L33" s="12" t="s">
        <v>102</v>
      </c>
      <c r="M33" s="74">
        <v>30000</v>
      </c>
      <c r="N33" s="18" t="s">
        <v>171</v>
      </c>
      <c r="O33" s="75">
        <v>272326</v>
      </c>
      <c r="P33" s="4">
        <f>ROUND(Tabla14[[#This Row],[KM ULT. MANT.]],-4)</f>
        <v>270000</v>
      </c>
      <c r="Q33" s="3">
        <v>45751</v>
      </c>
      <c r="R33" s="3" t="s">
        <v>221</v>
      </c>
      <c r="S33" s="15">
        <f t="shared" si="2"/>
        <v>12059</v>
      </c>
      <c r="T33" s="15" t="s">
        <v>191</v>
      </c>
      <c r="U33" s="15" t="str">
        <f>_xlfn.IFS(AND(Tabla14[[#This Row],[MODELO]]=D33,Tabla14[[#This Row],[INTERV. MAT. (KM)]]=M33,Tabla14[[#This Row],[ACUM. PRÓX. MAT.]]&lt;=24999),"NORMALIDAD",Tabla14[[#This Row],[ACUM. PRÓX. MAT.]]&lt;29999,"MANT.PRÓX.",Tabla14[[#This Row],[ACUM. PRÓX. MAT.]]&gt;=30000,"MANT.VENCIDO")</f>
        <v>NORMALIDAD</v>
      </c>
      <c r="V33" s="39">
        <v>284385</v>
      </c>
      <c r="W33" s="103">
        <v>45771</v>
      </c>
      <c r="X33" s="4">
        <f ca="1">IFERROR(VLOOKUP('PARÁMETROS MANT.'!A17,'PARÁMETROS MANT.'!$A$2:$GH$35,AB33,FALSE),0)-Tabla14[[#This Row],[INTERV. MAT. (KM)]]</f>
        <v>270000</v>
      </c>
      <c r="Y33" s="16">
        <f>IFERROR(AH33/AG33,0)</f>
        <v>602.95000000000005</v>
      </c>
      <c r="Z33" s="4">
        <f ca="1">IFERROR(VLOOKUP('PARÁMETROS MANT.'!A17,'PARÁMETROS MANT.'!$A$2:$GH$35,AB33,FALSE),0)</f>
        <v>300000</v>
      </c>
      <c r="AA33" s="15" t="str">
        <f ca="1">IFERROR(VLOOKUP(Tabla14[[#This Row],[MODELO]],'PARÁMETROS MANT.'!$A$2:$DF$35,AB33,FALSE),0)</f>
        <v>M</v>
      </c>
      <c r="AB33" s="31">
        <f ca="1">IFERROR(MATCH(Tabla14[[#This Row],[KM ACTUAL]],INDIRECT(Tabla14[[#This Row],[BUSQUEDA DE MODELO EN PARAMETROS MANT.]],TRUE),1)+3,0)</f>
        <v>13</v>
      </c>
      <c r="AC33" s="32">
        <f>IFERROR(MATCH(Tabla14[[#This Row],[MODELO]],'PARÁMETROS MANT.'!$A$2:$A$35,0)+2,0)</f>
        <v>17</v>
      </c>
      <c r="AD33" s="41" t="str">
        <f>VLOOKUP(Tabla14[[#This Row],[MODELO]],'PARÁMETROS MANT.'!$A$1:$B$35,2,FALSE)</f>
        <v>'PARÁMETROS MANT.'!C17:CY17</v>
      </c>
      <c r="AE33" s="73" t="str">
        <f ca="1">IFERROR(SUBSTITUTE(ADDRESS(1,AB33,4),"1",""),0)</f>
        <v>M</v>
      </c>
      <c r="AF33" s="72" t="str">
        <f t="shared" ca="1" si="7"/>
        <v>'PARÁMETROS MANT.'!M17</v>
      </c>
      <c r="AG33" s="34">
        <f>Tabla14[[#This Row],[F. KM ACT.]]-Tabla14[[#This Row],[F. ULT. MANT.]]</f>
        <v>20</v>
      </c>
      <c r="AH33" s="34">
        <f>Tabla14[[#This Row],[KM ACTUAL]]-Tabla14[[#This Row],[KM ULT. MANT.]]</f>
        <v>12059</v>
      </c>
      <c r="AI33" s="111">
        <f ca="1">AJ33-$AJ$1</f>
        <v>25.897669790196232</v>
      </c>
      <c r="AJ33" s="112">
        <f t="shared" ca="1" si="1"/>
        <v>45843.897669790196</v>
      </c>
    </row>
    <row r="34" spans="1:36" ht="15" customHeight="1" x14ac:dyDescent="0.25">
      <c r="A34" s="18">
        <v>418</v>
      </c>
      <c r="B34" s="18" t="s">
        <v>0</v>
      </c>
      <c r="C34" s="18" t="s">
        <v>99</v>
      </c>
      <c r="D34" s="18" t="s">
        <v>446</v>
      </c>
      <c r="E34" s="18" t="s">
        <v>105</v>
      </c>
      <c r="F34" s="4" t="s">
        <v>439</v>
      </c>
      <c r="G34" s="18" t="s">
        <v>440</v>
      </c>
      <c r="H34" s="70" t="s">
        <v>441</v>
      </c>
      <c r="I34" s="12" t="s">
        <v>445</v>
      </c>
      <c r="J34" s="12" t="s">
        <v>102</v>
      </c>
      <c r="K34" s="71">
        <v>2024</v>
      </c>
      <c r="L34" s="12" t="s">
        <v>102</v>
      </c>
      <c r="M34" s="74">
        <v>40000</v>
      </c>
      <c r="N34" s="18" t="s">
        <v>171</v>
      </c>
      <c r="O34" s="75">
        <v>161008</v>
      </c>
      <c r="P34" s="4">
        <f>ROUND(Tabla14[[#This Row],[KM ULT. MANT.]],-4)</f>
        <v>160000</v>
      </c>
      <c r="Q34" s="3">
        <v>45751</v>
      </c>
      <c r="R34" s="3" t="s">
        <v>9</v>
      </c>
      <c r="S34" s="15">
        <f t="shared" si="2"/>
        <v>2398</v>
      </c>
      <c r="T34" s="15" t="s">
        <v>191</v>
      </c>
      <c r="U34" s="15" t="str">
        <f>_xlfn.IFS(AND(Tabla14[[#This Row],[MODELO]]=D34,Tabla14[[#This Row],[INTERV. MAT. (KM)]]=M34,Tabla14[[#This Row],[ACUM. PRÓX. MAT.]]&lt;=35000),"NORMALIDAD",Tabla14[[#This Row],[ACUM. PRÓX. MAT.]]&lt;39999,"MANT.PRÓX.",Tabla14[[#This Row],[ACUM. PRÓX. MAT.]]&gt;=40000,"MANT.VENCIDO")</f>
        <v>NORMALIDAD</v>
      </c>
      <c r="V34" s="39">
        <v>163406</v>
      </c>
      <c r="W34" s="103">
        <v>45771</v>
      </c>
      <c r="X34" s="4">
        <f ca="1">IFERROR(VLOOKUP('PARÁMETROS MANT.'!A13,'PARÁMETROS MANT.'!$A$2:$GH$35,AB34,FALSE),0)-Tabla14[[#This Row],[INTERV. MAT. (KM)]]</f>
        <v>80000</v>
      </c>
      <c r="Y34" s="16">
        <f>IFERROR(AH34/AG34,0)</f>
        <v>119.9</v>
      </c>
      <c r="Z34" s="4">
        <f ca="1">IFERROR(VLOOKUP('PARÁMETROS MANT.'!A29,'PARÁMETROS MANT.'!$A$2:$DF$35,AB34,FALSE),0)</f>
        <v>200000</v>
      </c>
      <c r="AA34" s="15" t="str">
        <f ca="1">IFERROR(VLOOKUP(Tabla14[[#This Row],[MODELO]],'PARÁMETROS MANT.'!$A$2:$DF$35,AB34,FALSE),0)</f>
        <v>SM1</v>
      </c>
      <c r="AB34" s="30">
        <f ca="1">IFERROR(MATCH(Tabla14[[#This Row],[KM ACTUAL]],INDIRECT(Tabla14[[#This Row],[BUSQUEDA DE MODELO EN PARAMETROS MANT.]],TRUE),1)+3,0)</f>
        <v>7</v>
      </c>
      <c r="AC34" s="4">
        <f>IFERROR(MATCH(Tabla14[[#This Row],[MODELO]],'PARÁMETROS MANT.'!$A$2:$A$35,0)+2,0)</f>
        <v>29</v>
      </c>
      <c r="AD34" s="31" t="str">
        <f>VLOOKUP(Tabla14[[#This Row],[MODELO]],'PARÁMETROS MANT.'!$A$1:$B$35,2,FALSE)</f>
        <v>'PARÁMETROS MANT.'!C29:DF29</v>
      </c>
      <c r="AE34" s="73" t="str">
        <f ca="1">IFERROR(SUBSTITUTE(ADDRESS(1,AB34,2),"1",""),0)</f>
        <v>G$</v>
      </c>
      <c r="AF34" s="72" t="str">
        <f t="shared" ca="1" si="7"/>
        <v>'PARÁMETROS MANT.'!G$29</v>
      </c>
      <c r="AG34" s="34">
        <f>Tabla14[[#This Row],[F. KM ACT.]]-Tabla14[[#This Row],[F. ULT. MANT.]]</f>
        <v>20</v>
      </c>
      <c r="AH34" s="34">
        <f>Tabla14[[#This Row],[KM ACTUAL]]-Tabla14[[#This Row],[KM ULT. MANT.]]</f>
        <v>2398</v>
      </c>
      <c r="AI34" s="111">
        <f ca="1">AJ34-$AJ$1</f>
        <v>305.20433694745589</v>
      </c>
      <c r="AJ34" s="112">
        <f t="shared" ca="1" si="1"/>
        <v>46123.204336947456</v>
      </c>
    </row>
    <row r="35" spans="1:36" ht="15" customHeight="1" x14ac:dyDescent="0.25">
      <c r="A35" s="18">
        <v>419</v>
      </c>
      <c r="B35" s="18" t="s">
        <v>0</v>
      </c>
      <c r="C35" s="18" t="s">
        <v>99</v>
      </c>
      <c r="D35" s="18" t="s">
        <v>446</v>
      </c>
      <c r="E35" s="18" t="s">
        <v>105</v>
      </c>
      <c r="F35" s="4" t="s">
        <v>442</v>
      </c>
      <c r="G35" s="18" t="s">
        <v>443</v>
      </c>
      <c r="H35" s="70" t="s">
        <v>444</v>
      </c>
      <c r="I35" s="12" t="s">
        <v>445</v>
      </c>
      <c r="J35" s="12" t="s">
        <v>102</v>
      </c>
      <c r="K35" s="71">
        <v>2024</v>
      </c>
      <c r="L35" s="12" t="s">
        <v>102</v>
      </c>
      <c r="M35" s="74">
        <v>40000</v>
      </c>
      <c r="N35" s="18" t="s">
        <v>171</v>
      </c>
      <c r="O35" s="75">
        <v>163462</v>
      </c>
      <c r="P35" s="4">
        <f>ROUND(Tabla14[[#This Row],[KM ULT. MANT.]],-4)</f>
        <v>160000</v>
      </c>
      <c r="Q35" s="49">
        <v>45770</v>
      </c>
      <c r="R35" s="3" t="s">
        <v>9</v>
      </c>
      <c r="S35" s="15">
        <f t="shared" si="2"/>
        <v>0</v>
      </c>
      <c r="T35" s="15" t="s">
        <v>191</v>
      </c>
      <c r="U35" s="15" t="str">
        <f>_xlfn.IFS(AND(Tabla14[[#This Row],[MODELO]]=D35,Tabla14[[#This Row],[INTERV. MAT. (KM)]]=M35,Tabla14[[#This Row],[ACUM. PRÓX. MAT.]]&lt;=35000),"NORMALIDAD",Tabla14[[#This Row],[ACUM. PRÓX. MAT.]]&lt;39999,"MANT.PRÓX.",Tabla14[[#This Row],[ACUM. PRÓX. MAT.]]&gt;=40000,"MANT.VENCIDO")</f>
        <v>NORMALIDAD</v>
      </c>
      <c r="V35" s="39">
        <v>163462</v>
      </c>
      <c r="W35" s="103">
        <v>45771</v>
      </c>
      <c r="X35" s="4">
        <f ca="1">IFERROR(VLOOKUP('PARÁMETROS MANT.'!A13,'PARÁMETROS MANT.'!$A$2:$GH$35,AB35,FALSE),0)-Tabla14[[#This Row],[INTERV. MAT. (KM)]]</f>
        <v>80000</v>
      </c>
      <c r="Y35" s="16">
        <f t="shared" si="3"/>
        <v>0</v>
      </c>
      <c r="Z35" s="4">
        <f ca="1">IFERROR(VLOOKUP('PARÁMETROS MANT.'!A29,'PARÁMETROS MANT.'!$A$2:$DF$35,AB35,FALSE),0)</f>
        <v>200000</v>
      </c>
      <c r="AA35" s="15" t="str">
        <f ca="1">IFERROR(VLOOKUP(Tabla14[[#This Row],[MODELO]],'PARÁMETROS MANT.'!$A$2:$DF$35,AB35,FALSE),0)</f>
        <v>SM1</v>
      </c>
      <c r="AB35" s="31">
        <f ca="1">IFERROR(MATCH(Tabla14[[#This Row],[KM ACTUAL]],INDIRECT(Tabla14[[#This Row],[BUSQUEDA DE MODELO EN PARAMETROS MANT.]],TRUE),1)+3,0)</f>
        <v>7</v>
      </c>
      <c r="AC35" s="31">
        <f>IFERROR(MATCH(Tabla14[[#This Row],[MODELO]],'PARÁMETROS MANT.'!$A$2:$A$35,0)+2,0)</f>
        <v>29</v>
      </c>
      <c r="AD35" s="31" t="str">
        <f>VLOOKUP(Tabla14[[#This Row],[MODELO]],'PARÁMETROS MANT.'!$A$1:$B$35,2,FALSE)</f>
        <v>'PARÁMETROS MANT.'!C29:DF29</v>
      </c>
      <c r="AE35" s="31" t="str">
        <f ca="1">IFERROR(SUBSTITUTE(ADDRESS(1,AB35,4),"1",""),0)</f>
        <v>G</v>
      </c>
      <c r="AF35" s="72" t="str">
        <f t="shared" ca="1" si="7"/>
        <v>'PARÁMETROS MANT.'!G29</v>
      </c>
      <c r="AG35" s="34">
        <f>Tabla14[[#This Row],[F. KM ACT.]]-Tabla14[[#This Row],[F. ULT. MANT.]]</f>
        <v>1</v>
      </c>
      <c r="AH35" s="34">
        <f>Tabla14[[#This Row],[KM ACTUAL]]-Tabla14[[#This Row],[KM ULT. MANT.]]</f>
        <v>0</v>
      </c>
      <c r="AI35" s="111">
        <f t="shared" ca="1" si="6"/>
        <v>-45818</v>
      </c>
      <c r="AJ35" s="112">
        <f t="shared" ca="1" si="1"/>
        <v>0</v>
      </c>
    </row>
    <row r="37" spans="1:36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6"/>
      <c r="Q37" s="7"/>
      <c r="R37" s="5"/>
    </row>
    <row r="38" spans="1:36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7"/>
      <c r="R38" s="5"/>
    </row>
    <row r="39" spans="1:36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9"/>
      <c r="P39" s="9"/>
      <c r="Q39" s="5"/>
      <c r="R39" s="5"/>
    </row>
    <row r="40" spans="1:36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36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36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6"/>
      <c r="Q42" s="7"/>
      <c r="R42" s="5"/>
    </row>
    <row r="43" spans="1:36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36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36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36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36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36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2:18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2:18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2:18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2:18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2:18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2:18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2:18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2:18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2:18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2:18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2:1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2:1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2:1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2:1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2:1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2:1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2:18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2:18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2:18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2:18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2:18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2:18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2:18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2:18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2:18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2:18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2:18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2:18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2:18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2:18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2:18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2:18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2:18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2:18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2:18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2:18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2:18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2:18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2:18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2:18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2:18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2:18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2:18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2:18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2:18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2:18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2:18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2:18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2:18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2:18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2:18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2:18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2:18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2:18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2:18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2:18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2:18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2:18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2:18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2:18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2:18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2:18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2:18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2:18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2:18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2:18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2:18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2:18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2:18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2:18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2:18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2:18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2:18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2:18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2:18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2:18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2:18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2:18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2:18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2:18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2:18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2:18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2:18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2:18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2:18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2:18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2:18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2:18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2:18" x14ac:dyDescent="0.25">
      <c r="B137" s="5"/>
      <c r="C137" s="5"/>
      <c r="D137" s="5"/>
      <c r="E137" s="10"/>
      <c r="F137" s="10"/>
      <c r="G137" s="10"/>
      <c r="H137" s="10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2:18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2:18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2:18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2:18" x14ac:dyDescent="0.2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2:18" x14ac:dyDescent="0.2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2:18" x14ac:dyDescent="0.2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2:18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2:18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2:18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2:18" x14ac:dyDescent="0.2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2:18" x14ac:dyDescent="0.2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2:18" x14ac:dyDescent="0.2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2:18" x14ac:dyDescent="0.25">
      <c r="B150" s="5"/>
      <c r="C150" s="5"/>
      <c r="D150" s="5"/>
      <c r="E150" s="10"/>
      <c r="F150" s="1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2:18" x14ac:dyDescent="0.25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2:18" x14ac:dyDescent="0.2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2:18" x14ac:dyDescent="0.2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2:18" x14ac:dyDescent="0.2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2:18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2:18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2:18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2:18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2:18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</sheetData>
  <mergeCells count="1">
    <mergeCell ref="A1:AE1"/>
  </mergeCells>
  <phoneticPr fontId="12" type="noConversion"/>
  <conditionalFormatting sqref="U26:U30 T3:U25 U34:U35">
    <cfRule type="cellIs" dxfId="251" priority="597" operator="lessThan">
      <formula>0</formula>
    </cfRule>
  </conditionalFormatting>
  <conditionalFormatting sqref="U26:U30 T3:U25 U34:U35">
    <cfRule type="cellIs" dxfId="250" priority="594" operator="lessThan">
      <formula>0</formula>
    </cfRule>
    <cfRule type="cellIs" dxfId="249" priority="596" operator="between">
      <formula>1</formula>
      <formula>1000000</formula>
    </cfRule>
  </conditionalFormatting>
  <conditionalFormatting sqref="O5:P25">
    <cfRule type="containsText" dxfId="248" priority="595" operator="containsText" text="sin info">
      <formula>NOT(ISERROR(SEARCH("sin info",O5)))</formula>
    </cfRule>
  </conditionalFormatting>
  <conditionalFormatting sqref="V12:V14">
    <cfRule type="containsText" dxfId="247" priority="188" operator="containsText" text="sin info">
      <formula>NOT(ISERROR(SEARCH("sin info",V12)))</formula>
    </cfRule>
  </conditionalFormatting>
  <conditionalFormatting sqref="U3:U30 U34:U35">
    <cfRule type="containsText" dxfId="246" priority="122" operator="containsText" text="MANT. VENCIDO">
      <formula>NOT(ISERROR(SEARCH("MANT. VENCIDO",U3)))</formula>
    </cfRule>
    <cfRule type="containsText" dxfId="245" priority="123" operator="containsText" text="MANT.PRÓX.">
      <formula>NOT(ISERROR(SEARCH("MANT.PRÓX.",U3)))</formula>
    </cfRule>
    <cfRule type="containsText" dxfId="244" priority="124" stopIfTrue="1" operator="containsText" text="NORMALIDAD">
      <formula>NOT(ISERROR(SEARCH("NORMALIDAD",U3)))</formula>
    </cfRule>
  </conditionalFormatting>
  <conditionalFormatting sqref="T30 T35">
    <cfRule type="cellIs" dxfId="243" priority="92" operator="lessThan">
      <formula>0</formula>
    </cfRule>
  </conditionalFormatting>
  <conditionalFormatting sqref="P35 P30 O3:P4">
    <cfRule type="containsText" dxfId="242" priority="83" operator="containsText" text="sin info">
      <formula>NOT(ISERROR(SEARCH("sin info",O3)))</formula>
    </cfRule>
  </conditionalFormatting>
  <conditionalFormatting sqref="W32 W34 W3:W30">
    <cfRule type="timePeriod" dxfId="241" priority="62" timePeriod="lastWeek">
      <formula>AND(TODAY()-ROUNDDOWN(W3,0)&gt;=(WEEKDAY(TODAY())),TODAY()-ROUNDDOWN(W3,0)&lt;(WEEKDAY(TODAY())+7))</formula>
    </cfRule>
    <cfRule type="timePeriod" dxfId="240" priority="63" timePeriod="today">
      <formula>FLOOR(W3,1)=TODAY()</formula>
    </cfRule>
    <cfRule type="timePeriod" dxfId="239" priority="64" timePeriod="yesterday">
      <formula>FLOOR(W3,1)=TODAY()-1</formula>
    </cfRule>
  </conditionalFormatting>
  <conditionalFormatting sqref="U23">
    <cfRule type="containsText" dxfId="238" priority="59" operator="containsText" text="MANT.PRÓX.">
      <formula>NOT(ISERROR(SEARCH("MANT.PRÓX.",U23)))</formula>
    </cfRule>
    <cfRule type="containsText" dxfId="237" priority="60" operator="containsText" text="NORMALIDAD">
      <formula>NOT(ISERROR(SEARCH("NORMALIDAD",U23)))</formula>
    </cfRule>
  </conditionalFormatting>
  <conditionalFormatting sqref="U3:U30 U34:U35">
    <cfRule type="containsText" dxfId="236" priority="58" operator="containsText" text="MANT.VENCIDO">
      <formula>NOT(ISERROR(SEARCH("MANT.VENCIDO",U3)))</formula>
    </cfRule>
  </conditionalFormatting>
  <conditionalFormatting sqref="AI35 AI30 AI3:AI25">
    <cfRule type="iconSet" priority="56">
      <iconSet>
        <cfvo type="percent" val="0"/>
        <cfvo type="num" val="0"/>
        <cfvo type="num" val="10"/>
      </iconSet>
    </cfRule>
  </conditionalFormatting>
  <conditionalFormatting sqref="S3:S4">
    <cfRule type="cellIs" dxfId="235" priority="53" operator="between">
      <formula>10000</formula>
      <formula>20000</formula>
    </cfRule>
    <cfRule type="cellIs" dxfId="234" priority="54" operator="between">
      <formula>8000</formula>
      <formula>9999</formula>
    </cfRule>
    <cfRule type="cellIs" dxfId="233" priority="55" operator="between">
      <formula>0</formula>
      <formula>7999</formula>
    </cfRule>
  </conditionalFormatting>
  <conditionalFormatting sqref="S5:S16">
    <cfRule type="cellIs" dxfId="232" priority="50" operator="between">
      <formula>30000</formula>
      <formula>60000</formula>
    </cfRule>
    <cfRule type="cellIs" dxfId="231" priority="51" operator="between">
      <formula>25000</formula>
      <formula>29999</formula>
    </cfRule>
    <cfRule type="cellIs" dxfId="230" priority="52" operator="between">
      <formula>0</formula>
      <formula>24999</formula>
    </cfRule>
  </conditionalFormatting>
  <conditionalFormatting sqref="S17:S25">
    <cfRule type="cellIs" dxfId="229" priority="44" operator="between">
      <formula>20000</formula>
      <formula>40000</formula>
    </cfRule>
    <cfRule type="cellIs" dxfId="228" priority="45" operator="between">
      <formula>15000</formula>
      <formula>19999</formula>
    </cfRule>
    <cfRule type="cellIs" dxfId="227" priority="46" operator="between">
      <formula>0</formula>
      <formula>14999</formula>
    </cfRule>
  </conditionalFormatting>
  <conditionalFormatting sqref="U31:U33">
    <cfRule type="cellIs" dxfId="226" priority="43" operator="lessThan">
      <formula>0</formula>
    </cfRule>
  </conditionalFormatting>
  <conditionalFormatting sqref="U31:U33">
    <cfRule type="cellIs" dxfId="225" priority="41" operator="lessThan">
      <formula>0</formula>
    </cfRule>
    <cfRule type="cellIs" dxfId="224" priority="42" operator="between">
      <formula>1</formula>
      <formula>1000000</formula>
    </cfRule>
  </conditionalFormatting>
  <conditionalFormatting sqref="U31:U33">
    <cfRule type="containsText" dxfId="223" priority="38" operator="containsText" text="MANT. VENCIDO">
      <formula>NOT(ISERROR(SEARCH("MANT. VENCIDO",U31)))</formula>
    </cfRule>
    <cfRule type="containsText" dxfId="222" priority="39" operator="containsText" text="MANT.PRÓX.">
      <formula>NOT(ISERROR(SEARCH("MANT.PRÓX.",U31)))</formula>
    </cfRule>
    <cfRule type="containsText" dxfId="221" priority="40" stopIfTrue="1" operator="containsText" text="NORMALIDAD">
      <formula>NOT(ISERROR(SEARCH("NORMALIDAD",U31)))</formula>
    </cfRule>
  </conditionalFormatting>
  <conditionalFormatting sqref="T31:T34">
    <cfRule type="cellIs" dxfId="220" priority="37" operator="lessThan">
      <formula>0</formula>
    </cfRule>
  </conditionalFormatting>
  <conditionalFormatting sqref="P31:P34">
    <cfRule type="containsText" dxfId="219" priority="36" operator="containsText" text="sin info">
      <formula>NOT(ISERROR(SEARCH("sin info",P31)))</formula>
    </cfRule>
  </conditionalFormatting>
  <conditionalFormatting sqref="U31:U33">
    <cfRule type="containsText" dxfId="218" priority="32" operator="containsText" text="MANT.VENCIDO">
      <formula>NOT(ISERROR(SEARCH("MANT.VENCIDO",U31)))</formula>
    </cfRule>
  </conditionalFormatting>
  <conditionalFormatting sqref="AI31:AI34">
    <cfRule type="iconSet" priority="31">
      <iconSet>
        <cfvo type="percent" val="0"/>
        <cfvo type="num" val="0"/>
        <cfvo type="num" val="10"/>
      </iconSet>
    </cfRule>
  </conditionalFormatting>
  <conditionalFormatting sqref="S30:S33">
    <cfRule type="cellIs" dxfId="217" priority="25" operator="between">
      <formula>30000</formula>
      <formula>60000</formula>
    </cfRule>
    <cfRule type="cellIs" dxfId="216" priority="26" operator="between">
      <formula>25000</formula>
      <formula>29999</formula>
    </cfRule>
    <cfRule type="cellIs" dxfId="215" priority="27" operator="between">
      <formula>0</formula>
      <formula>24999</formula>
    </cfRule>
  </conditionalFormatting>
  <conditionalFormatting sqref="T26:T29">
    <cfRule type="cellIs" dxfId="214" priority="19" operator="lessThan">
      <formula>0</formula>
    </cfRule>
  </conditionalFormatting>
  <conditionalFormatting sqref="S26:S29">
    <cfRule type="cellIs" dxfId="213" priority="15" operator="between">
      <formula>20001</formula>
      <formula>40000</formula>
    </cfRule>
    <cfRule type="cellIs" dxfId="212" priority="16" operator="between">
      <formula>15000</formula>
      <formula>20000</formula>
    </cfRule>
    <cfRule type="cellIs" dxfId="211" priority="17" operator="between">
      <formula>0</formula>
      <formula>14999</formula>
    </cfRule>
  </conditionalFormatting>
  <conditionalFormatting sqref="AI26:AI29">
    <cfRule type="iconSet" priority="24">
      <iconSet>
        <cfvo type="percent" val="0"/>
        <cfvo type="num" val="0"/>
        <cfvo type="num" val="10"/>
      </iconSet>
    </cfRule>
  </conditionalFormatting>
  <conditionalFormatting sqref="W31 W33 W35">
    <cfRule type="timePeriod" dxfId="210" priority="11" timePeriod="lastWeek">
      <formula>AND(TODAY()-ROUNDDOWN(W31,0)&gt;=(WEEKDAY(TODAY())),TODAY()-ROUNDDOWN(W31,0)&lt;(WEEKDAY(TODAY())+7))</formula>
    </cfRule>
    <cfRule type="timePeriod" dxfId="209" priority="12" timePeriod="today">
      <formula>FLOOR(W31,1)=TODAY()</formula>
    </cfRule>
    <cfRule type="timePeriod" dxfId="208" priority="13" timePeriod="yesterday">
      <formula>FLOOR(W31,1)=TODAY()-1</formula>
    </cfRule>
  </conditionalFormatting>
  <conditionalFormatting sqref="S35">
    <cfRule type="cellIs" dxfId="207" priority="7" operator="greaterThan">
      <formula>40000</formula>
    </cfRule>
    <cfRule type="cellIs" dxfId="206" priority="8" operator="between">
      <formula>35001</formula>
      <formula>39999</formula>
    </cfRule>
    <cfRule type="cellIs" dxfId="205" priority="9" operator="lessThan">
      <formula>35000</formula>
    </cfRule>
  </conditionalFormatting>
  <conditionalFormatting sqref="S34">
    <cfRule type="cellIs" dxfId="204" priority="1" operator="greaterThan">
      <formula>40000</formula>
    </cfRule>
    <cfRule type="cellIs" dxfId="203" priority="2" operator="between">
      <formula>35001</formula>
      <formula>39999</formula>
    </cfRule>
    <cfRule type="cellIs" dxfId="202" priority="3" operator="lessThan">
      <formula>35000</formula>
    </cfRule>
  </conditionalFormatting>
  <dataValidations count="4">
    <dataValidation type="list" allowBlank="1" showInputMessage="1" showErrorMessage="1" sqref="N6 N12:N14 L26:L29 N17:N35 J3:J35 L5:L14" xr:uid="{00000000-0002-0000-0100-000000000000}">
      <formula1>Servicio</formula1>
    </dataValidation>
    <dataValidation allowBlank="1" showInputMessage="1" showErrorMessage="1" prompt="Información obligatoria a ingresar por el asesor." sqref="F5" xr:uid="{00000000-0002-0000-0100-000002000000}"/>
    <dataValidation type="list" allowBlank="1" showInputMessage="1" showErrorMessage="1" sqref="C5:C29" xr:uid="{00000000-0002-0000-0100-000001000000}">
      <formula1>Marca</formula1>
    </dataValidation>
    <dataValidation type="list" allowBlank="1" showInputMessage="1" showErrorMessage="1" sqref="B3:B35" xr:uid="{00000000-0002-0000-0100-000003000000}">
      <formula1>Vehículo</formula1>
    </dataValidation>
  </dataValidations>
  <pageMargins left="0.39370078740157483" right="0" top="0.15748031496062992" bottom="0" header="0.31496062992125984" footer="0.31496062992125984"/>
  <pageSetup orientation="landscape" r:id="rId1"/>
  <ignoredErrors>
    <ignoredError sqref="S12:T14 T5 AA3 AJ1 X31:X35 AD30:AH33 AE5:AH8 AD6:AD8 X26:Y29 AD15:AH25 P5:P8 AF34:AH35 AD34:AD35 P3 AC3:AH3 S3:T3 S4:T4 Y4:Z4 AB4:AE4 AF4:AH4 AD26:AD29 AE9:AH14 AD9:AD14 P9:P35" unlockedFormula="1"/>
    <ignoredError sqref="AA6:AA8 AA15:AA16 AA30 Y6:Y8 Y17:Y25 Y15:Y16 T30:T35 AA17:AA25 S26 S27:S29 AA33 AA9:AA11 Y9:Y11" calculatedColumn="1"/>
    <ignoredError sqref="AA5 AA12:AA14 Y5 Y12:Y14 X30 AD5 AB30:AC33 Z29 AE28:AH28 X5:X8 AB5:AB8 Z5:Z8 AE34:AE35 AA34:AC35 Z30:Z34 AC5:AC8 AB3 X3:Z3 Z35 AE29:AH29 AE26:AH26 AE27:AH27 Z26 AB26 Z27 AB27 Z28 AB28 AB29 X9:X25 AB9:AB25 Z9:Z25 AC9:AC29" unlockedFormula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407C-8A7F-4E03-A0AD-514B03DBFB6A}">
  <sheetPr codeName="Hoja4"/>
  <dimension ref="A1:AM148"/>
  <sheetViews>
    <sheetView showGridLines="0" view="pageBreakPreview" zoomScale="110" zoomScaleNormal="100" zoomScaleSheetLayoutView="110" zoomScalePageLayoutView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1.54296875" defaultRowHeight="12.5" x14ac:dyDescent="0.25"/>
  <cols>
    <col min="1" max="1" width="3.81640625" style="91" customWidth="1"/>
    <col min="2" max="2" width="7" style="91" customWidth="1"/>
    <col min="3" max="3" width="13.26953125" style="91" hidden="1" customWidth="1"/>
    <col min="4" max="4" width="11.1796875" style="91" hidden="1" customWidth="1"/>
    <col min="5" max="6" width="6.54296875" style="91" customWidth="1"/>
    <col min="7" max="7" width="8.7265625" style="91" customWidth="1"/>
    <col min="8" max="8" width="7.54296875" style="91" customWidth="1"/>
    <col min="9" max="9" width="13.453125" style="91" customWidth="1"/>
    <col min="10" max="10" width="8" style="91" customWidth="1"/>
    <col min="11" max="11" width="18.54296875" style="91" customWidth="1"/>
    <col min="12" max="14" width="12.54296875" style="91" hidden="1" customWidth="1"/>
    <col min="15" max="15" width="6.81640625" style="91" hidden="1" customWidth="1"/>
    <col min="16" max="16" width="8.453125" style="91" hidden="1" customWidth="1"/>
    <col min="17" max="17" width="7.81640625" style="91" hidden="1" customWidth="1"/>
    <col min="18" max="18" width="11.81640625" style="91" hidden="1" customWidth="1"/>
    <col min="19" max="19" width="10.1796875" style="91" hidden="1" customWidth="1"/>
    <col min="20" max="20" width="6.453125" style="91" hidden="1" customWidth="1"/>
    <col min="21" max="21" width="7.26953125" style="91" hidden="1" customWidth="1"/>
    <col min="22" max="22" width="9" style="91" hidden="1" customWidth="1"/>
    <col min="23" max="23" width="84.7265625" style="91" customWidth="1"/>
    <col min="24" max="24" width="13.1796875" style="91" bestFit="1" customWidth="1"/>
    <col min="25" max="16384" width="11.54296875" style="91"/>
  </cols>
  <sheetData>
    <row r="1" spans="1:39" ht="24" customHeight="1" x14ac:dyDescent="0.25">
      <c r="A1" s="148" t="s">
        <v>476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90">
        <f ca="1">TODAY()</f>
        <v>45818</v>
      </c>
      <c r="W1" s="101">
        <f ca="1">TODAY()</f>
        <v>45818</v>
      </c>
    </row>
    <row r="2" spans="1:39" ht="30" customHeight="1" x14ac:dyDescent="0.25">
      <c r="A2" s="76" t="s">
        <v>6</v>
      </c>
      <c r="B2" s="76" t="s">
        <v>5</v>
      </c>
      <c r="C2" s="76" t="s">
        <v>90</v>
      </c>
      <c r="D2" s="76" t="s">
        <v>4</v>
      </c>
      <c r="E2" s="76" t="s">
        <v>92</v>
      </c>
      <c r="F2" s="76" t="s">
        <v>342</v>
      </c>
      <c r="G2" s="76" t="s">
        <v>341</v>
      </c>
      <c r="H2" s="76" t="s">
        <v>343</v>
      </c>
      <c r="I2" s="76" t="s">
        <v>344</v>
      </c>
      <c r="J2" s="76" t="s">
        <v>431</v>
      </c>
      <c r="K2" s="76" t="s">
        <v>374</v>
      </c>
      <c r="L2" s="88" t="s">
        <v>361</v>
      </c>
      <c r="M2" s="88" t="s">
        <v>362</v>
      </c>
      <c r="N2" s="88" t="s">
        <v>363</v>
      </c>
      <c r="O2" s="76" t="s">
        <v>412</v>
      </c>
      <c r="P2" s="76" t="s">
        <v>383</v>
      </c>
      <c r="Q2" s="76" t="s">
        <v>384</v>
      </c>
      <c r="R2" s="76" t="s">
        <v>385</v>
      </c>
      <c r="S2" s="76" t="s">
        <v>386</v>
      </c>
      <c r="T2" s="76" t="s">
        <v>7</v>
      </c>
      <c r="U2" s="76" t="s">
        <v>81</v>
      </c>
      <c r="V2" s="76" t="s">
        <v>85</v>
      </c>
      <c r="W2" s="89" t="s">
        <v>347</v>
      </c>
    </row>
    <row r="3" spans="1:39" ht="15" customHeight="1" x14ac:dyDescent="0.25">
      <c r="A3" s="11">
        <v>312</v>
      </c>
      <c r="B3" s="12" t="s">
        <v>1</v>
      </c>
      <c r="C3" s="12" t="s">
        <v>99</v>
      </c>
      <c r="D3" s="15" t="s">
        <v>71</v>
      </c>
      <c r="E3" s="11" t="s">
        <v>235</v>
      </c>
      <c r="F3" s="4">
        <v>489690</v>
      </c>
      <c r="G3" s="3">
        <v>45360</v>
      </c>
      <c r="H3" s="3" t="s">
        <v>410</v>
      </c>
      <c r="I3" s="4" t="s">
        <v>380</v>
      </c>
      <c r="J3" s="15">
        <f>Tabla13[[#This Row],[KM ACTUAL]]-Tabla13[[#This Row],[KM ULTIMA INSTALACIÓN]]</f>
        <v>841</v>
      </c>
      <c r="K3" s="92" t="str">
        <f ca="1">CONCATENATE(,L3," Años ",M3," Meses ", N3," Días")</f>
        <v>1 Años 3 Meses 1 Días</v>
      </c>
      <c r="L3" s="15">
        <f ca="1">DATEDIF(Tabla13[[#This Row],[FECHA ULTIMA INSTALACIÓN]],$V$1,"y")</f>
        <v>1</v>
      </c>
      <c r="M3" s="15">
        <f ca="1">DATEDIF(Tabla13[[#This Row],[FECHA ULTIMA INSTALACIÓN]],$V$1,"ym")</f>
        <v>3</v>
      </c>
      <c r="N3" s="15">
        <f ca="1">DATEDIF(Tabla13[[#This Row],[FECHA ULTIMA INSTALACIÓN]],$V$1,"md")</f>
        <v>1</v>
      </c>
      <c r="O3" s="4">
        <v>466713</v>
      </c>
      <c r="P3" s="3">
        <v>45016</v>
      </c>
      <c r="Q3" s="3" t="s">
        <v>410</v>
      </c>
      <c r="R3" s="4" t="s">
        <v>380</v>
      </c>
      <c r="S3" s="15">
        <v>22764</v>
      </c>
      <c r="T3" s="15">
        <f>Tabla1[[#This Row],[KM ACTUAL]]</f>
        <v>490531</v>
      </c>
      <c r="U3" s="92">
        <f>Tabla1[[#This Row],[F. KM ACT.]]</f>
        <v>45771</v>
      </c>
      <c r="V3" s="17">
        <f ca="1">IFERROR(TODAY()+(INDIRECT(#REF!,1)-T3)/#REF!,0)</f>
        <v>0</v>
      </c>
      <c r="W3" s="105"/>
      <c r="X3" s="116">
        <v>424462</v>
      </c>
      <c r="Y3" s="117">
        <v>44540</v>
      </c>
      <c r="Z3" s="117" t="s">
        <v>410</v>
      </c>
      <c r="AA3" s="116" t="s">
        <v>380</v>
      </c>
      <c r="AB3" s="116">
        <v>42251</v>
      </c>
    </row>
    <row r="4" spans="1:39" ht="15" customHeight="1" x14ac:dyDescent="0.25">
      <c r="A4" s="11">
        <v>327</v>
      </c>
      <c r="B4" s="12" t="s">
        <v>0</v>
      </c>
      <c r="C4" s="12" t="s">
        <v>99</v>
      </c>
      <c r="D4" s="15" t="s">
        <v>75</v>
      </c>
      <c r="E4" s="11" t="s">
        <v>236</v>
      </c>
      <c r="F4" s="4">
        <v>437214</v>
      </c>
      <c r="G4" s="3">
        <v>45358</v>
      </c>
      <c r="H4" s="3" t="s">
        <v>346</v>
      </c>
      <c r="I4" s="4" t="s">
        <v>380</v>
      </c>
      <c r="J4" s="15">
        <f>Tabla13[[#This Row],[KM ACTUAL]]-Tabla13[[#This Row],[KM ULTIMA INSTALACIÓN]]</f>
        <v>20174</v>
      </c>
      <c r="K4" s="92" t="str">
        <f t="shared" ref="K4:K25" ca="1" si="0">CONCATENATE(,L4," Años ",M4," Meses ", N4," Días")</f>
        <v>1 Años 3 Meses 3 Días</v>
      </c>
      <c r="L4" s="15">
        <f ca="1">DATEDIF(Tabla13[[#This Row],[FECHA ULTIMA INSTALACIÓN]],$V$1,"y")</f>
        <v>1</v>
      </c>
      <c r="M4" s="15">
        <f ca="1">DATEDIF(Tabla13[[#This Row],[FECHA ULTIMA INSTALACIÓN]],$V$1,"ym")</f>
        <v>3</v>
      </c>
      <c r="N4" s="15">
        <f ca="1">DATEDIF(Tabla13[[#This Row],[FECHA ULTIMA INSTALACIÓN]],$V$1,"md")</f>
        <v>3</v>
      </c>
      <c r="O4" s="4">
        <v>382982</v>
      </c>
      <c r="P4" s="3">
        <v>44606</v>
      </c>
      <c r="Q4" s="3" t="s">
        <v>346</v>
      </c>
      <c r="R4" s="4" t="s">
        <v>349</v>
      </c>
      <c r="S4" s="15">
        <v>54232</v>
      </c>
      <c r="T4" s="15">
        <f>Tabla1[[#This Row],[KM ACTUAL]]</f>
        <v>457388</v>
      </c>
      <c r="U4" s="92">
        <f>Tabla1[[#This Row],[F. KM ACT.]]</f>
        <v>45771</v>
      </c>
      <c r="V4" s="17">
        <f ca="1">IFERROR(TODAY()+(INDIRECT(#REF!,1)-T4)/#REF!,0)</f>
        <v>0</v>
      </c>
      <c r="W4" s="105" t="s">
        <v>381</v>
      </c>
    </row>
    <row r="5" spans="1:39" ht="15" customHeight="1" x14ac:dyDescent="0.25">
      <c r="A5" s="11">
        <v>330</v>
      </c>
      <c r="B5" s="12" t="s">
        <v>0</v>
      </c>
      <c r="C5" s="12" t="s">
        <v>99</v>
      </c>
      <c r="D5" s="15" t="s">
        <v>75</v>
      </c>
      <c r="E5" s="11" t="s">
        <v>237</v>
      </c>
      <c r="F5" s="4">
        <v>386590</v>
      </c>
      <c r="G5" s="3">
        <v>45229</v>
      </c>
      <c r="H5" s="3" t="s">
        <v>346</v>
      </c>
      <c r="I5" s="4" t="s">
        <v>417</v>
      </c>
      <c r="J5" s="15">
        <f>Tabla13[[#This Row],[KM ACTUAL]]-Tabla13[[#This Row],[KM ULTIMA INSTALACIÓN]]</f>
        <v>2824</v>
      </c>
      <c r="K5" s="92" t="str">
        <f t="shared" ca="1" si="0"/>
        <v>1 Años 7 Meses 11 Días</v>
      </c>
      <c r="L5" s="15">
        <f ca="1">DATEDIF(Tabla13[[#This Row],[FECHA ULTIMA INSTALACIÓN]],$V$1,"y")</f>
        <v>1</v>
      </c>
      <c r="M5" s="15">
        <f ca="1">DATEDIF(Tabla13[[#This Row],[FECHA ULTIMA INSTALACIÓN]],$V$1,"ym")</f>
        <v>7</v>
      </c>
      <c r="N5" s="15">
        <f ca="1">DATEDIF(Tabla13[[#This Row],[FECHA ULTIMA INSTALACIÓN]],$V$1,"md")</f>
        <v>11</v>
      </c>
      <c r="O5" s="4">
        <v>357647</v>
      </c>
      <c r="P5" s="3">
        <v>44784</v>
      </c>
      <c r="Q5" s="3" t="s">
        <v>346</v>
      </c>
      <c r="R5" s="4" t="s">
        <v>349</v>
      </c>
      <c r="S5" s="15">
        <v>28943</v>
      </c>
      <c r="T5" s="15">
        <f>Tabla1[[#This Row],[KM ACTUAL]]</f>
        <v>389414</v>
      </c>
      <c r="U5" s="92">
        <f>Tabla1[[#This Row],[F. KM ACT.]]</f>
        <v>45771</v>
      </c>
      <c r="V5" s="17">
        <f ca="1">IFERROR(TODAY()+(INDIRECT(#REF!,1)-T5)/#REF!,0)</f>
        <v>0</v>
      </c>
      <c r="W5" s="105"/>
    </row>
    <row r="6" spans="1:39" ht="15" customHeight="1" x14ac:dyDescent="0.25">
      <c r="A6" s="11">
        <v>333</v>
      </c>
      <c r="B6" s="12" t="s">
        <v>0</v>
      </c>
      <c r="C6" s="12" t="s">
        <v>99</v>
      </c>
      <c r="D6" s="15" t="s">
        <v>75</v>
      </c>
      <c r="E6" s="11" t="s">
        <v>238</v>
      </c>
      <c r="F6" s="4">
        <v>359324</v>
      </c>
      <c r="G6" s="3">
        <v>44804</v>
      </c>
      <c r="H6" s="3" t="s">
        <v>346</v>
      </c>
      <c r="I6" s="4" t="s">
        <v>349</v>
      </c>
      <c r="J6" s="15">
        <f>Tabla13[[#This Row],[KM ACTUAL]]-Tabla13[[#This Row],[KM ULTIMA INSTALACIÓN]]</f>
        <v>46273</v>
      </c>
      <c r="K6" s="92" t="str">
        <f t="shared" ca="1" si="0"/>
        <v>2 Años 9 Meses 10 Días</v>
      </c>
      <c r="L6" s="15">
        <f ca="1">DATEDIF(Tabla13[[#This Row],[FECHA ULTIMA INSTALACIÓN]],$V$1,"y")</f>
        <v>2</v>
      </c>
      <c r="M6" s="15">
        <f ca="1">DATEDIF(Tabla13[[#This Row],[FECHA ULTIMA INSTALACIÓN]],$V$1,"ym")</f>
        <v>9</v>
      </c>
      <c r="N6" s="15">
        <f ca="1">DATEDIF(Tabla13[[#This Row],[FECHA ULTIMA INSTALACIÓN]],$V$1,"md")</f>
        <v>10</v>
      </c>
      <c r="O6" s="4">
        <v>300719</v>
      </c>
      <c r="P6" s="3">
        <v>43741</v>
      </c>
      <c r="Q6" s="3" t="s">
        <v>346</v>
      </c>
      <c r="R6" s="4" t="s">
        <v>345</v>
      </c>
      <c r="S6" s="15">
        <v>101209</v>
      </c>
      <c r="T6" s="15">
        <f>Tabla1[[#This Row],[KM ACTUAL]]</f>
        <v>405597</v>
      </c>
      <c r="U6" s="92">
        <f>Tabla1[[#This Row],[F. KM ACT.]]</f>
        <v>45771</v>
      </c>
      <c r="V6" s="17">
        <f ca="1">IFERROR(TODAY()+(INDIRECT(#REF!,1)-T6)/#REF!,0)</f>
        <v>0</v>
      </c>
      <c r="W6" s="105" t="s">
        <v>455</v>
      </c>
    </row>
    <row r="7" spans="1:39" ht="15" customHeight="1" x14ac:dyDescent="0.25">
      <c r="A7" s="18">
        <v>367</v>
      </c>
      <c r="B7" s="15" t="s">
        <v>188</v>
      </c>
      <c r="C7" s="15" t="s">
        <v>200</v>
      </c>
      <c r="D7" s="15" t="s">
        <v>200</v>
      </c>
      <c r="E7" s="18" t="s">
        <v>239</v>
      </c>
      <c r="F7" s="4">
        <v>218724</v>
      </c>
      <c r="G7" s="3">
        <v>44715</v>
      </c>
      <c r="H7" s="3" t="s">
        <v>375</v>
      </c>
      <c r="I7" s="4" t="s">
        <v>349</v>
      </c>
      <c r="J7" s="15">
        <f>Tabla13[[#This Row],[KM ACTUAL]]-Tabla13[[#This Row],[KM ULTIMA INSTALACIÓN]]</f>
        <v>57433</v>
      </c>
      <c r="K7" s="92" t="str">
        <f t="shared" ca="1" si="0"/>
        <v>3 Años 0 Meses 7 Días</v>
      </c>
      <c r="L7" s="15">
        <f ca="1">DATEDIF(Tabla13[[#This Row],[FECHA ULTIMA INSTALACIÓN]],$V$1,"y")</f>
        <v>3</v>
      </c>
      <c r="M7" s="15">
        <f ca="1">DATEDIF(Tabla13[[#This Row],[FECHA ULTIMA INSTALACIÓN]],$V$1,"ym")</f>
        <v>0</v>
      </c>
      <c r="N7" s="15">
        <f ca="1">DATEDIF(Tabla13[[#This Row],[FECHA ULTIMA INSTALACIÓN]],$V$1,"md")</f>
        <v>7</v>
      </c>
      <c r="O7" s="15"/>
      <c r="P7" s="15"/>
      <c r="Q7" s="15"/>
      <c r="R7" s="15"/>
      <c r="S7" s="15"/>
      <c r="T7" s="15">
        <f>Tabla1[[#This Row],[KM ACTUAL]]</f>
        <v>276157</v>
      </c>
      <c r="U7" s="92">
        <f>Tabla1[[#This Row],[F. KM ACT.]]</f>
        <v>45771</v>
      </c>
      <c r="V7" s="17">
        <f ca="1">IFERROR(TODAY()+(INDIRECT(#REF!,1)-T7)/#REF!,0)</f>
        <v>0</v>
      </c>
      <c r="W7" s="105"/>
    </row>
    <row r="8" spans="1:39" ht="15" customHeight="1" x14ac:dyDescent="0.25">
      <c r="A8" s="55">
        <v>376</v>
      </c>
      <c r="B8" s="15" t="s">
        <v>188</v>
      </c>
      <c r="C8" s="15" t="s">
        <v>189</v>
      </c>
      <c r="D8" s="15" t="s">
        <v>211</v>
      </c>
      <c r="E8" s="18" t="s">
        <v>240</v>
      </c>
      <c r="F8" s="4">
        <v>2094</v>
      </c>
      <c r="G8" s="49">
        <v>42948</v>
      </c>
      <c r="H8" s="3" t="s">
        <v>376</v>
      </c>
      <c r="I8" s="4" t="s">
        <v>377</v>
      </c>
      <c r="J8" s="15">
        <f>Tabla13[[#This Row],[KM ACTUAL]]-Tabla13[[#This Row],[KM ULTIMA INSTALACIÓN]]</f>
        <v>71533</v>
      </c>
      <c r="K8" s="92" t="str">
        <f t="shared" ca="1" si="0"/>
        <v>7 Años 10 Meses 9 Días</v>
      </c>
      <c r="L8" s="15">
        <f ca="1">DATEDIF(Tabla13[[#This Row],[FECHA ULTIMA INSTALACIÓN]],$V$1,"y")</f>
        <v>7</v>
      </c>
      <c r="M8" s="15">
        <f ca="1">DATEDIF(Tabla13[[#This Row],[FECHA ULTIMA INSTALACIÓN]],$V$1,"ym")</f>
        <v>10</v>
      </c>
      <c r="N8" s="15">
        <f ca="1">DATEDIF(Tabla13[[#This Row],[FECHA ULTIMA INSTALACIÓN]],$V$1,"md")</f>
        <v>9</v>
      </c>
      <c r="O8" s="15"/>
      <c r="P8" s="15"/>
      <c r="Q8" s="15"/>
      <c r="R8" s="15"/>
      <c r="S8" s="15"/>
      <c r="T8" s="15">
        <f>Tabla1[[#This Row],[KM ACTUAL]]</f>
        <v>73627</v>
      </c>
      <c r="U8" s="92">
        <f>Tabla1[[#This Row],[F. KM ACT.]]</f>
        <v>45771</v>
      </c>
      <c r="V8" s="17">
        <f ca="1">IFERROR(TODAY()+(INDIRECT(#REF!,1)-T8)/#REF!,0)</f>
        <v>0</v>
      </c>
      <c r="W8" s="105" t="s">
        <v>378</v>
      </c>
    </row>
    <row r="9" spans="1:39" ht="15" customHeight="1" x14ac:dyDescent="0.25">
      <c r="A9" s="18">
        <v>386</v>
      </c>
      <c r="B9" s="15" t="s">
        <v>188</v>
      </c>
      <c r="C9" s="15" t="s">
        <v>189</v>
      </c>
      <c r="D9" s="15" t="s">
        <v>211</v>
      </c>
      <c r="E9" s="18" t="s">
        <v>241</v>
      </c>
      <c r="F9" s="4">
        <v>100661</v>
      </c>
      <c r="G9" s="3">
        <v>45107</v>
      </c>
      <c r="H9" s="3" t="s">
        <v>387</v>
      </c>
      <c r="I9" s="4" t="s">
        <v>413</v>
      </c>
      <c r="J9" s="15">
        <f>Tabla13[[#This Row],[KM ACTUAL]]-Tabla13[[#This Row],[KM ULTIMA INSTALACIÓN]]</f>
        <v>35522</v>
      </c>
      <c r="K9" s="92" t="str">
        <f t="shared" ca="1" si="0"/>
        <v>1 Años 11 Meses 11 Días</v>
      </c>
      <c r="L9" s="15">
        <f ca="1">DATEDIF(Tabla13[[#This Row],[FECHA ULTIMA INSTALACIÓN]],$V$1,"y")</f>
        <v>1</v>
      </c>
      <c r="M9" s="15">
        <f ca="1">DATEDIF(Tabla13[[#This Row],[FECHA ULTIMA INSTALACIÓN]],$V$1,"ym")</f>
        <v>11</v>
      </c>
      <c r="N9" s="15">
        <f ca="1">DATEDIF(Tabla13[[#This Row],[FECHA ULTIMA INSTALACIÓN]],$V$1,"md")</f>
        <v>11</v>
      </c>
      <c r="O9" s="4">
        <v>54</v>
      </c>
      <c r="P9" s="3">
        <v>43180</v>
      </c>
      <c r="Q9" s="3" t="s">
        <v>376</v>
      </c>
      <c r="R9" s="4" t="s">
        <v>377</v>
      </c>
      <c r="S9" s="15">
        <v>100607</v>
      </c>
      <c r="T9" s="15">
        <f>Tabla1[[#This Row],[KM ACTUAL]]</f>
        <v>136183</v>
      </c>
      <c r="U9" s="92">
        <f>Tabla1[[#This Row],[F. KM ACT.]]</f>
        <v>45771</v>
      </c>
      <c r="V9" s="17">
        <f ca="1">IFERROR(TODAY()+(INDIRECT(#REF!,1)-T9)/#REF!,0)</f>
        <v>0</v>
      </c>
      <c r="W9" s="105"/>
    </row>
    <row r="10" spans="1:39" ht="15" customHeight="1" x14ac:dyDescent="0.25">
      <c r="A10" s="11">
        <v>387</v>
      </c>
      <c r="B10" s="12" t="s">
        <v>1</v>
      </c>
      <c r="C10" s="12" t="s">
        <v>99</v>
      </c>
      <c r="D10" s="15" t="s">
        <v>71</v>
      </c>
      <c r="E10" s="11" t="s">
        <v>242</v>
      </c>
      <c r="F10" s="4">
        <v>195707</v>
      </c>
      <c r="G10" s="4">
        <v>208380</v>
      </c>
      <c r="H10" s="3" t="s">
        <v>364</v>
      </c>
      <c r="I10" s="4" t="s">
        <v>345</v>
      </c>
      <c r="J10" s="15">
        <f>Tabla13[[#This Row],[KM ACTUAL]]-Tabla13[[#This Row],[KM ULTIMA INSTALACIÓN]]</f>
        <v>12708</v>
      </c>
      <c r="K10" s="92" t="e">
        <f t="shared" ca="1" si="0"/>
        <v>#NUM!</v>
      </c>
      <c r="L10" s="15" t="e">
        <f ca="1">DATEDIF(Tabla13[[#This Row],[FECHA ULTIMA INSTALACIÓN]],$V$1,"y")</f>
        <v>#NUM!</v>
      </c>
      <c r="M10" s="15" t="e">
        <f ca="1">DATEDIF(Tabla13[[#This Row],[FECHA ULTIMA INSTALACIÓN]],$V$1,"ym")</f>
        <v>#NUM!</v>
      </c>
      <c r="N10" s="15" t="e">
        <f ca="1">DATEDIF(Tabla13[[#This Row],[FECHA ULTIMA INSTALACIÓN]],$V$1,"md")</f>
        <v>#NUM!</v>
      </c>
      <c r="O10" s="4">
        <v>154167</v>
      </c>
      <c r="P10" s="3">
        <v>44380</v>
      </c>
      <c r="Q10" s="3" t="s">
        <v>364</v>
      </c>
      <c r="R10" s="4" t="s">
        <v>345</v>
      </c>
      <c r="S10" s="15">
        <v>41540</v>
      </c>
      <c r="T10" s="15">
        <f>Tabla1[[#This Row],[KM ACTUAL]]</f>
        <v>208415</v>
      </c>
      <c r="U10" s="92">
        <f>Tabla1[[#This Row],[F. KM ACT.]]</f>
        <v>45771</v>
      </c>
      <c r="V10" s="17">
        <f ca="1">IFERROR(TODAY()+(INDIRECT(#REF!,1)-T10)/#REF!,0)</f>
        <v>0</v>
      </c>
      <c r="W10" s="105"/>
    </row>
    <row r="11" spans="1:39" ht="15" customHeight="1" x14ac:dyDescent="0.25">
      <c r="A11" s="11">
        <v>388</v>
      </c>
      <c r="B11" s="12" t="s">
        <v>1</v>
      </c>
      <c r="C11" s="12" t="s">
        <v>99</v>
      </c>
      <c r="D11" s="15" t="s">
        <v>71</v>
      </c>
      <c r="E11" s="11" t="s">
        <v>243</v>
      </c>
      <c r="F11" s="4">
        <v>180445</v>
      </c>
      <c r="G11" s="3">
        <v>45736</v>
      </c>
      <c r="H11" s="3" t="s">
        <v>364</v>
      </c>
      <c r="I11" s="4" t="s">
        <v>345</v>
      </c>
      <c r="J11" s="15">
        <f>Tabla13[[#This Row],[KM ACTUAL]]-Tabla13[[#This Row],[KM ULTIMA INSTALACIÓN]]</f>
        <v>2040</v>
      </c>
      <c r="K11" s="92" t="str">
        <f t="shared" ca="1" si="0"/>
        <v>0 Años 2 Meses 21 Días</v>
      </c>
      <c r="L11" s="15">
        <f ca="1">DATEDIF(Tabla13[[#This Row],[FECHA ULTIMA INSTALACIÓN]],$V$1,"y")</f>
        <v>0</v>
      </c>
      <c r="M11" s="15">
        <f ca="1">DATEDIF(Tabla13[[#This Row],[FECHA ULTIMA INSTALACIÓN]],$V$1,"ym")</f>
        <v>2</v>
      </c>
      <c r="N11" s="15">
        <f ca="1">DATEDIF(Tabla13[[#This Row],[FECHA ULTIMA INSTALACIÓN]],$V$1,"md")</f>
        <v>21</v>
      </c>
      <c r="O11" s="4">
        <v>143187</v>
      </c>
      <c r="P11" s="3">
        <v>44631</v>
      </c>
      <c r="Q11" s="3" t="s">
        <v>379</v>
      </c>
      <c r="R11" s="4" t="s">
        <v>345</v>
      </c>
      <c r="S11" s="15">
        <v>15277</v>
      </c>
      <c r="T11" s="15">
        <f>Tabla1[[#This Row],[KM ACTUAL]]</f>
        <v>182485</v>
      </c>
      <c r="U11" s="92">
        <f>Tabla1[[#This Row],[F. KM ACT.]]</f>
        <v>45771</v>
      </c>
      <c r="V11" s="17">
        <f ca="1">IFERROR(TODAY()+(INDIRECT(#REF!,1)-T11)/#REF!,0)</f>
        <v>0</v>
      </c>
      <c r="W11" s="105"/>
      <c r="X11" s="116">
        <v>143187</v>
      </c>
      <c r="Y11" s="117">
        <v>44631</v>
      </c>
      <c r="Z11" s="117" t="s">
        <v>379</v>
      </c>
      <c r="AA11" s="116" t="s">
        <v>345</v>
      </c>
      <c r="AB11" s="116">
        <v>15277</v>
      </c>
      <c r="AC11" s="116">
        <v>153371</v>
      </c>
      <c r="AD11" s="116">
        <v>158464</v>
      </c>
      <c r="AE11" s="116">
        <v>45022</v>
      </c>
      <c r="AF11" s="116" t="s">
        <v>472</v>
      </c>
      <c r="AG11" s="116" t="s">
        <v>345</v>
      </c>
      <c r="AH11" s="116"/>
    </row>
    <row r="12" spans="1:39" ht="15" customHeight="1" x14ac:dyDescent="0.25">
      <c r="A12" s="11">
        <v>389</v>
      </c>
      <c r="B12" s="12" t="s">
        <v>1</v>
      </c>
      <c r="C12" s="12" t="s">
        <v>99</v>
      </c>
      <c r="D12" s="15" t="s">
        <v>71</v>
      </c>
      <c r="E12" s="11" t="s">
        <v>244</v>
      </c>
      <c r="F12" s="4">
        <v>172411</v>
      </c>
      <c r="G12" s="3">
        <v>45434</v>
      </c>
      <c r="H12" s="3" t="s">
        <v>364</v>
      </c>
      <c r="I12" s="4" t="s">
        <v>411</v>
      </c>
      <c r="J12" s="15">
        <f>Tabla13[[#This Row],[KM ACTUAL]]-Tabla13[[#This Row],[KM ULTIMA INSTALACIÓN]]</f>
        <v>13460</v>
      </c>
      <c r="K12" s="92" t="str">
        <f t="shared" ca="1" si="0"/>
        <v>1 Años 0 Meses 19 Días</v>
      </c>
      <c r="L12" s="15">
        <f ca="1">DATEDIF(Tabla13[[#This Row],[FECHA ULTIMA INSTALACIÓN]],$V$1,"y")</f>
        <v>1</v>
      </c>
      <c r="M12" s="15">
        <f ca="1">DATEDIF(Tabla13[[#This Row],[FECHA ULTIMA INSTALACIÓN]],$V$1,"ym")</f>
        <v>0</v>
      </c>
      <c r="N12" s="15">
        <f ca="1">DATEDIF(Tabla13[[#This Row],[FECHA ULTIMA INSTALACIÓN]],$V$1,"md")</f>
        <v>19</v>
      </c>
      <c r="O12" s="4">
        <v>143919</v>
      </c>
      <c r="P12" s="3">
        <v>44679</v>
      </c>
      <c r="Q12" s="3" t="s">
        <v>364</v>
      </c>
      <c r="R12" s="4" t="s">
        <v>345</v>
      </c>
      <c r="S12" s="15">
        <f>Tabla13[[#This Row],[KM ACTUAL]]-Tabla13[[#This Row],[KM ULTIMA INSTALACIÓN]]</f>
        <v>13460</v>
      </c>
      <c r="T12" s="15">
        <f>Tabla1[[#This Row],[KM ACTUAL]]</f>
        <v>185871</v>
      </c>
      <c r="U12" s="92">
        <f>Tabla1[[#This Row],[F. KM ACT.]]</f>
        <v>45771</v>
      </c>
      <c r="V12" s="17">
        <f ca="1">IFERROR(TODAY()+(INDIRECT(#REF!,1)-T12)/#REF!,0)</f>
        <v>0</v>
      </c>
      <c r="W12" s="105"/>
      <c r="X12" s="116">
        <v>150513</v>
      </c>
      <c r="Y12" s="117">
        <v>44854</v>
      </c>
      <c r="Z12" s="117" t="s">
        <v>387</v>
      </c>
      <c r="AA12" s="116" t="s">
        <v>388</v>
      </c>
      <c r="AB12" s="116">
        <v>22750</v>
      </c>
    </row>
    <row r="13" spans="1:39" ht="15" customHeight="1" x14ac:dyDescent="0.25">
      <c r="A13" s="11">
        <v>390</v>
      </c>
      <c r="B13" s="12" t="s">
        <v>1</v>
      </c>
      <c r="C13" s="12" t="s">
        <v>99</v>
      </c>
      <c r="D13" s="15" t="s">
        <v>71</v>
      </c>
      <c r="E13" s="11" t="s">
        <v>245</v>
      </c>
      <c r="F13" s="4">
        <v>137038</v>
      </c>
      <c r="G13" s="3">
        <v>45337</v>
      </c>
      <c r="H13" s="3" t="s">
        <v>364</v>
      </c>
      <c r="I13" s="4" t="s">
        <v>345</v>
      </c>
      <c r="J13" s="15">
        <f>Tabla13[[#This Row],[KM ACTUAL]]-Tabla13[[#This Row],[KM ULTIMA INSTALACIÓN]]</f>
        <v>18205</v>
      </c>
      <c r="K13" s="92" t="str">
        <f t="shared" ca="1" si="0"/>
        <v>1 Años 3 Meses 26 Días</v>
      </c>
      <c r="L13" s="15">
        <f ca="1">DATEDIF(Tabla13[[#This Row],[FECHA ULTIMA INSTALACIÓN]],$V$1,"y")</f>
        <v>1</v>
      </c>
      <c r="M13" s="15">
        <f ca="1">DATEDIF(Tabla13[[#This Row],[FECHA ULTIMA INSTALACIÓN]],$V$1,"ym")</f>
        <v>3</v>
      </c>
      <c r="N13" s="15">
        <f ca="1">DATEDIF(Tabla13[[#This Row],[FECHA ULTIMA INSTALACIÓN]],$V$1,"md")</f>
        <v>26</v>
      </c>
      <c r="O13" s="4">
        <v>100011</v>
      </c>
      <c r="P13" s="3">
        <v>44663</v>
      </c>
      <c r="Q13" s="3" t="s">
        <v>364</v>
      </c>
      <c r="R13" s="4" t="s">
        <v>345</v>
      </c>
      <c r="S13" s="15">
        <v>37027</v>
      </c>
      <c r="T13" s="15">
        <f>Tabla1[[#This Row],[KM ACTUAL]]</f>
        <v>155243</v>
      </c>
      <c r="U13" s="92">
        <f>Tabla1[[#This Row],[F. KM ACT.]]</f>
        <v>45771</v>
      </c>
      <c r="V13" s="17">
        <f ca="1">IFERROR(TODAY()+(INDIRECT(#REF!,1)-T13)/#REF!,0)</f>
        <v>0</v>
      </c>
      <c r="W13" s="105"/>
    </row>
    <row r="14" spans="1:39" ht="31.5" customHeight="1" x14ac:dyDescent="0.25">
      <c r="A14" s="11">
        <v>395</v>
      </c>
      <c r="B14" s="12" t="s">
        <v>0</v>
      </c>
      <c r="C14" s="12" t="s">
        <v>99</v>
      </c>
      <c r="D14" s="15" t="s">
        <v>75</v>
      </c>
      <c r="E14" s="11" t="s">
        <v>246</v>
      </c>
      <c r="F14" s="4">
        <v>137375</v>
      </c>
      <c r="G14" s="3">
        <v>45567</v>
      </c>
      <c r="H14" s="4" t="s">
        <v>357</v>
      </c>
      <c r="I14" s="4" t="s">
        <v>349</v>
      </c>
      <c r="J14" s="15">
        <f>Tabla13[[#This Row],[KM ACTUAL]]-Tabla13[[#This Row],[KM ULTIMA INSTALACIÓN]]</f>
        <v>15996</v>
      </c>
      <c r="K14" s="92" t="str">
        <f t="shared" ca="1" si="0"/>
        <v>0 Años 8 Meses 8 Días</v>
      </c>
      <c r="L14" s="15">
        <f ca="1">DATEDIF(Tabla13[[#This Row],[FECHA ULTIMA INSTALACIÓN]],$V$1,"y")</f>
        <v>0</v>
      </c>
      <c r="M14" s="15">
        <f ca="1">DATEDIF(Tabla13[[#This Row],[FECHA ULTIMA INSTALACIÓN]],$V$1,"ym")</f>
        <v>8</v>
      </c>
      <c r="N14" s="15">
        <f ca="1">DATEDIF(Tabla13[[#This Row],[FECHA ULTIMA INSTALACIÓN]],$V$1,"md")</f>
        <v>8</v>
      </c>
      <c r="O14" s="4">
        <v>120909</v>
      </c>
      <c r="P14" s="3">
        <v>45398</v>
      </c>
      <c r="Q14" s="4" t="s">
        <v>357</v>
      </c>
      <c r="R14" s="4" t="s">
        <v>349</v>
      </c>
      <c r="S14" s="15">
        <v>15922</v>
      </c>
      <c r="T14" s="15">
        <f>Tabla1[[#This Row],[KM ACTUAL]]</f>
        <v>153371</v>
      </c>
      <c r="U14" s="92">
        <f>Tabla1[[#This Row],[F. KM ACT.]]</f>
        <v>45771</v>
      </c>
      <c r="V14" s="17">
        <f ca="1">IFERROR(TODAY()+(INDIRECT(#REF!,1)-T14)/#REF!,0)</f>
        <v>0</v>
      </c>
      <c r="W14" s="130" t="s">
        <v>456</v>
      </c>
      <c r="X14" s="116">
        <v>68324</v>
      </c>
      <c r="Y14" s="117">
        <v>44685</v>
      </c>
      <c r="Z14" s="116" t="s">
        <v>357</v>
      </c>
      <c r="AA14" s="116" t="s">
        <v>349</v>
      </c>
      <c r="AB14" s="116">
        <v>35565</v>
      </c>
      <c r="AC14" s="116">
        <v>126083</v>
      </c>
      <c r="AD14" s="116">
        <v>68324</v>
      </c>
      <c r="AE14" s="117">
        <v>44685</v>
      </c>
      <c r="AF14" s="116" t="s">
        <v>357</v>
      </c>
      <c r="AG14" s="116" t="s">
        <v>349</v>
      </c>
      <c r="AH14" s="116">
        <v>35565</v>
      </c>
      <c r="AI14" s="116">
        <v>136831</v>
      </c>
    </row>
    <row r="15" spans="1:39" ht="78.75" customHeight="1" x14ac:dyDescent="0.25">
      <c r="A15" s="11">
        <v>396</v>
      </c>
      <c r="B15" s="12" t="s">
        <v>0</v>
      </c>
      <c r="C15" s="12" t="s">
        <v>99</v>
      </c>
      <c r="D15" s="15" t="s">
        <v>75</v>
      </c>
      <c r="E15" s="11" t="s">
        <v>247</v>
      </c>
      <c r="F15" s="4">
        <v>152799</v>
      </c>
      <c r="G15" s="3">
        <v>45253</v>
      </c>
      <c r="H15" s="4" t="s">
        <v>357</v>
      </c>
      <c r="I15" s="4" t="s">
        <v>345</v>
      </c>
      <c r="J15" s="15">
        <f>Tabla13[[#This Row],[KM ACTUAL]]-Tabla13[[#This Row],[KM ULTIMA INSTALACIÓN]]</f>
        <v>41791</v>
      </c>
      <c r="K15" s="92" t="str">
        <f t="shared" ca="1" si="0"/>
        <v>1 Años 6 Meses 18 Días</v>
      </c>
      <c r="L15" s="15">
        <f ca="1">DATEDIF(Tabla13[[#This Row],[FECHA ULTIMA INSTALACIÓN]],$V$1,"y")</f>
        <v>1</v>
      </c>
      <c r="M15" s="15">
        <f ca="1">DATEDIF(Tabla13[[#This Row],[FECHA ULTIMA INSTALACIÓN]],$V$1,"ym")</f>
        <v>6</v>
      </c>
      <c r="N15" s="15">
        <f ca="1">DATEDIF(Tabla13[[#This Row],[FECHA ULTIMA INSTALACIÓN]],$V$1,"md")</f>
        <v>18</v>
      </c>
      <c r="O15" s="4">
        <v>146936</v>
      </c>
      <c r="P15" s="3">
        <v>45210</v>
      </c>
      <c r="Q15" s="4" t="s">
        <v>346</v>
      </c>
      <c r="R15" s="4" t="s">
        <v>417</v>
      </c>
      <c r="S15" s="15">
        <v>7476</v>
      </c>
      <c r="T15" s="15">
        <f>Tabla1[[#This Row],[KM ACTUAL]]</f>
        <v>194590</v>
      </c>
      <c r="U15" s="92">
        <f>Tabla1[[#This Row],[F. KM ACT.]]</f>
        <v>45771</v>
      </c>
      <c r="V15" s="17">
        <f ca="1">IFERROR(TODAY()+(INDIRECT(#REF!,1)-T15)/#REF!,0)</f>
        <v>0</v>
      </c>
      <c r="W15" s="130" t="s">
        <v>460</v>
      </c>
      <c r="X15" s="116">
        <v>4511</v>
      </c>
      <c r="Y15" s="117">
        <v>43747</v>
      </c>
      <c r="Z15" s="116" t="s">
        <v>358</v>
      </c>
      <c r="AA15" s="116" t="s">
        <v>351</v>
      </c>
      <c r="AB15" s="116">
        <f>Tabla13[[#This Row],[KM ACTUAL]]-Tabla13[[#This Row],[KM ULTIMA INSTALACIÓN]]</f>
        <v>41791</v>
      </c>
      <c r="AC15" s="116">
        <f>Tabla1[[#This Row],[KM ACTUAL]]</f>
        <v>194590</v>
      </c>
      <c r="AD15" s="116">
        <v>83225</v>
      </c>
      <c r="AE15" s="117">
        <v>44854</v>
      </c>
      <c r="AF15" s="116" t="s">
        <v>357</v>
      </c>
      <c r="AG15" s="116" t="s">
        <v>349</v>
      </c>
      <c r="AH15" s="116">
        <v>64179</v>
      </c>
      <c r="AI15" s="116">
        <v>152799</v>
      </c>
      <c r="AJ15" s="117">
        <v>45253</v>
      </c>
      <c r="AK15" s="116" t="s">
        <v>357</v>
      </c>
      <c r="AL15" s="116" t="s">
        <v>345</v>
      </c>
      <c r="AM15" s="116">
        <v>11600</v>
      </c>
    </row>
    <row r="16" spans="1:39" ht="15" customHeight="1" x14ac:dyDescent="0.25">
      <c r="A16" s="11">
        <v>401</v>
      </c>
      <c r="B16" s="12" t="s">
        <v>0</v>
      </c>
      <c r="C16" s="15" t="s">
        <v>194</v>
      </c>
      <c r="D16" s="15" t="s">
        <v>197</v>
      </c>
      <c r="E16" s="18" t="s">
        <v>252</v>
      </c>
      <c r="F16" s="26">
        <v>139986</v>
      </c>
      <c r="G16" s="25">
        <v>45288</v>
      </c>
      <c r="H16" s="3" t="s">
        <v>353</v>
      </c>
      <c r="I16" s="4" t="s">
        <v>194</v>
      </c>
      <c r="J16" s="15">
        <f>Tabla13[[#This Row],[KM ACTUAL]]-Tabla13[[#This Row],[KM ULTIMA INSTALACIÓN]]</f>
        <v>40736</v>
      </c>
      <c r="K16" s="92" t="str">
        <f t="shared" ca="1" si="0"/>
        <v>1 Años 5 Meses 13 Días</v>
      </c>
      <c r="L16" s="15">
        <f ca="1">DATEDIF(Tabla13[[#This Row],[FECHA ULTIMA INSTALACIÓN]],$V$1,"y")</f>
        <v>1</v>
      </c>
      <c r="M16" s="15">
        <f ca="1">DATEDIF(Tabla13[[#This Row],[FECHA ULTIMA INSTALACIÓN]],$V$1,"ym")</f>
        <v>5</v>
      </c>
      <c r="N16" s="15">
        <f ca="1">DATEDIF(Tabla13[[#This Row],[FECHA ULTIMA INSTALACIÓN]],$V$1,"md")</f>
        <v>13</v>
      </c>
      <c r="O16" s="26">
        <v>4367</v>
      </c>
      <c r="P16" s="25">
        <v>44284</v>
      </c>
      <c r="Q16" s="3" t="s">
        <v>353</v>
      </c>
      <c r="R16" s="4" t="s">
        <v>194</v>
      </c>
      <c r="S16" s="15">
        <v>136168</v>
      </c>
      <c r="T16" s="15">
        <f>Tabla1[[#This Row],[KM ACTUAL]]</f>
        <v>180722</v>
      </c>
      <c r="U16" s="92">
        <f>Tabla1[[#This Row],[F. KM ACT.]]</f>
        <v>45771</v>
      </c>
      <c r="V16" s="17">
        <f ca="1">IFERROR(TODAY()+(INDIRECT(#REF!,1)-T16)/#REF!,0)</f>
        <v>0</v>
      </c>
      <c r="W16" s="119" t="s">
        <v>454</v>
      </c>
    </row>
    <row r="17" spans="1:28" ht="15" customHeight="1" x14ac:dyDescent="0.25">
      <c r="A17" s="11">
        <v>402</v>
      </c>
      <c r="B17" s="12" t="s">
        <v>0</v>
      </c>
      <c r="C17" s="15" t="s">
        <v>194</v>
      </c>
      <c r="D17" s="15" t="s">
        <v>197</v>
      </c>
      <c r="E17" s="18" t="s">
        <v>253</v>
      </c>
      <c r="F17" s="26">
        <v>145538</v>
      </c>
      <c r="G17" s="25">
        <v>45330</v>
      </c>
      <c r="H17" s="3" t="s">
        <v>357</v>
      </c>
      <c r="I17" s="4" t="s">
        <v>345</v>
      </c>
      <c r="J17" s="15">
        <f>Tabla13[[#This Row],[KM ACTUAL]]-Tabla13[[#This Row],[KM ULTIMA INSTALACIÓN]]</f>
        <v>44752</v>
      </c>
      <c r="K17" s="92" t="str">
        <f t="shared" ca="1" si="0"/>
        <v>1 Años 4 Meses 2 Días</v>
      </c>
      <c r="L17" s="15">
        <f ca="1">DATEDIF(Tabla13[[#This Row],[FECHA ULTIMA INSTALACIÓN]],$V$1,"y")</f>
        <v>1</v>
      </c>
      <c r="M17" s="15">
        <f ca="1">DATEDIF(Tabla13[[#This Row],[FECHA ULTIMA INSTALACIÓN]],$V$1,"ym")</f>
        <v>4</v>
      </c>
      <c r="N17" s="15">
        <f ca="1">DATEDIF(Tabla13[[#This Row],[FECHA ULTIMA INSTALACIÓN]],$V$1,"md")</f>
        <v>2</v>
      </c>
      <c r="O17" s="26">
        <v>4381</v>
      </c>
      <c r="P17" s="25">
        <v>44284</v>
      </c>
      <c r="Q17" s="3" t="s">
        <v>353</v>
      </c>
      <c r="R17" s="4" t="s">
        <v>194</v>
      </c>
      <c r="S17" s="15">
        <v>141157</v>
      </c>
      <c r="T17" s="15">
        <f>Tabla1[[#This Row],[KM ACTUAL]]</f>
        <v>190290</v>
      </c>
      <c r="U17" s="92">
        <f>Tabla1[[#This Row],[F. KM ACT.]]</f>
        <v>45771</v>
      </c>
      <c r="V17" s="17">
        <f ca="1">IFERROR(TODAY()+(INDIRECT(#REF!,1)-T17)/#REF!,0)</f>
        <v>0</v>
      </c>
      <c r="W17" s="105"/>
    </row>
    <row r="18" spans="1:28" ht="43" customHeight="1" x14ac:dyDescent="0.25">
      <c r="A18" s="11">
        <v>403</v>
      </c>
      <c r="B18" s="12" t="s">
        <v>0</v>
      </c>
      <c r="C18" s="12" t="s">
        <v>99</v>
      </c>
      <c r="D18" s="15" t="s">
        <v>75</v>
      </c>
      <c r="E18" s="18" t="s">
        <v>254</v>
      </c>
      <c r="F18" s="26">
        <v>150350</v>
      </c>
      <c r="G18" s="25">
        <v>45288</v>
      </c>
      <c r="H18" s="3" t="s">
        <v>350</v>
      </c>
      <c r="I18" s="4" t="s">
        <v>99</v>
      </c>
      <c r="J18" s="15">
        <f>Tabla13[[#This Row],[KM ACTUAL]]-Tabla13[[#This Row],[KM ULTIMA INSTALACIÓN]]</f>
        <v>48332</v>
      </c>
      <c r="K18" s="92" t="str">
        <f t="shared" ca="1" si="0"/>
        <v>1 Años 5 Meses 13 Días</v>
      </c>
      <c r="L18" s="15">
        <f ca="1">DATEDIF(Tabla13[[#This Row],[FECHA ULTIMA INSTALACIÓN]],$V$1,"y")</f>
        <v>1</v>
      </c>
      <c r="M18" s="15">
        <f ca="1">DATEDIF(Tabla13[[#This Row],[FECHA ULTIMA INSTALACIÓN]],$V$1,"ym")</f>
        <v>5</v>
      </c>
      <c r="N18" s="15">
        <f ca="1">DATEDIF(Tabla13[[#This Row],[FECHA ULTIMA INSTALACIÓN]],$V$1,"md")</f>
        <v>13</v>
      </c>
      <c r="O18" s="26">
        <v>4213</v>
      </c>
      <c r="P18" s="25">
        <v>44299</v>
      </c>
      <c r="Q18" s="3" t="s">
        <v>350</v>
      </c>
      <c r="R18" s="4" t="s">
        <v>99</v>
      </c>
      <c r="S18" s="15">
        <v>146137</v>
      </c>
      <c r="T18" s="15">
        <f>Tabla1[[#This Row],[KM ACTUAL]]</f>
        <v>198682</v>
      </c>
      <c r="U18" s="92">
        <f>Tabla1[[#This Row],[F. KM ACT.]]</f>
        <v>45771</v>
      </c>
      <c r="V18" s="17">
        <f ca="1">IFERROR(TODAY()+(INDIRECT(#REF!,1)-T18)/#REF!,0)</f>
        <v>0</v>
      </c>
      <c r="W18" s="130" t="s">
        <v>438</v>
      </c>
      <c r="X18" s="116">
        <v>150350</v>
      </c>
      <c r="Y18" s="117">
        <v>45288</v>
      </c>
      <c r="Z18" s="117" t="s">
        <v>350</v>
      </c>
      <c r="AA18" s="116" t="s">
        <v>99</v>
      </c>
      <c r="AB18" s="116">
        <v>8255</v>
      </c>
    </row>
    <row r="19" spans="1:28" ht="43.5" customHeight="1" x14ac:dyDescent="0.25">
      <c r="A19" s="11">
        <v>404</v>
      </c>
      <c r="B19" s="12" t="s">
        <v>0</v>
      </c>
      <c r="C19" s="12" t="s">
        <v>99</v>
      </c>
      <c r="D19" s="15" t="s">
        <v>75</v>
      </c>
      <c r="E19" s="18" t="s">
        <v>255</v>
      </c>
      <c r="F19" s="46">
        <v>135797</v>
      </c>
      <c r="G19" s="25">
        <v>45273</v>
      </c>
      <c r="H19" s="3" t="s">
        <v>357</v>
      </c>
      <c r="I19" s="4" t="s">
        <v>345</v>
      </c>
      <c r="J19" s="15">
        <f>Tabla13[[#This Row],[KM ACTUAL]]-Tabla13[[#This Row],[KM ULTIMA INSTALACIÓN]]</f>
        <v>55372</v>
      </c>
      <c r="K19" s="92" t="str">
        <f t="shared" ca="1" si="0"/>
        <v>1 Años 5 Meses 28 Días</v>
      </c>
      <c r="L19" s="15">
        <f ca="1">DATEDIF(Tabla13[[#This Row],[FECHA ULTIMA INSTALACIÓN]],$V$1,"y")</f>
        <v>1</v>
      </c>
      <c r="M19" s="15">
        <f ca="1">DATEDIF(Tabla13[[#This Row],[FECHA ULTIMA INSTALACIÓN]],$V$1,"ym")</f>
        <v>5</v>
      </c>
      <c r="N19" s="15">
        <f ca="1">DATEDIF(Tabla13[[#This Row],[FECHA ULTIMA INSTALACIÓN]],$V$1,"md")</f>
        <v>28</v>
      </c>
      <c r="O19" s="46">
        <v>117702</v>
      </c>
      <c r="P19" s="25">
        <v>45194</v>
      </c>
      <c r="Q19" s="3" t="s">
        <v>355</v>
      </c>
      <c r="R19" s="4" t="s">
        <v>345</v>
      </c>
      <c r="S19" s="15">
        <v>18647</v>
      </c>
      <c r="T19" s="15">
        <f>Tabla1[[#This Row],[KM ACTUAL]]</f>
        <v>191169</v>
      </c>
      <c r="U19" s="92">
        <f>Tabla1[[#This Row],[F. KM ACT.]]</f>
        <v>45771</v>
      </c>
      <c r="V19" s="17">
        <f ca="1">IFERROR(TODAY()+(INDIRECT(#REF!,1)-T19)/#REF!,0)</f>
        <v>0</v>
      </c>
      <c r="W19" s="130" t="s">
        <v>457</v>
      </c>
      <c r="X19" s="118">
        <v>42253</v>
      </c>
      <c r="Y19" s="117">
        <v>44595</v>
      </c>
      <c r="Z19" s="117" t="s">
        <v>355</v>
      </c>
      <c r="AA19" s="116" t="s">
        <v>345</v>
      </c>
      <c r="AB19" s="116">
        <v>76972</v>
      </c>
    </row>
    <row r="20" spans="1:28" ht="15" customHeight="1" x14ac:dyDescent="0.25">
      <c r="A20" s="11">
        <v>405</v>
      </c>
      <c r="B20" s="15" t="s">
        <v>0</v>
      </c>
      <c r="C20" s="12" t="s">
        <v>99</v>
      </c>
      <c r="D20" s="15" t="s">
        <v>75</v>
      </c>
      <c r="E20" s="18" t="s">
        <v>256</v>
      </c>
      <c r="F20" s="48">
        <v>161786</v>
      </c>
      <c r="G20" s="49">
        <v>45673</v>
      </c>
      <c r="H20" s="3" t="s">
        <v>357</v>
      </c>
      <c r="I20" s="4" t="s">
        <v>349</v>
      </c>
      <c r="J20" s="15">
        <f>Tabla13[[#This Row],[KM ACTUAL]]-Tabla13[[#This Row],[KM ULTIMA INSTALACIÓN]]</f>
        <v>7128</v>
      </c>
      <c r="K20" s="92" t="str">
        <f t="shared" ca="1" si="0"/>
        <v>0 Años 4 Meses 25 Días</v>
      </c>
      <c r="L20" s="15">
        <f ca="1">DATEDIF(Tabla13[[#This Row],[FECHA ULTIMA INSTALACIÓN]],$V$1,"y")</f>
        <v>0</v>
      </c>
      <c r="M20" s="15">
        <f ca="1">DATEDIF(Tabla13[[#This Row],[FECHA ULTIMA INSTALACIÓN]],$V$1,"ym")</f>
        <v>4</v>
      </c>
      <c r="N20" s="15">
        <f ca="1">DATEDIF(Tabla13[[#This Row],[FECHA ULTIMA INSTALACIÓN]],$V$1,"md")</f>
        <v>25</v>
      </c>
      <c r="O20" s="48">
        <v>4405</v>
      </c>
      <c r="P20" s="49">
        <v>44280</v>
      </c>
      <c r="Q20" s="3" t="s">
        <v>353</v>
      </c>
      <c r="R20" s="4" t="s">
        <v>99</v>
      </c>
      <c r="S20" s="15">
        <v>157483</v>
      </c>
      <c r="T20" s="15">
        <f>Tabla1[[#This Row],[KM ACTUAL]]</f>
        <v>168914</v>
      </c>
      <c r="U20" s="92">
        <f>Tabla1[[#This Row],[F. KM ACT.]]</f>
        <v>45771</v>
      </c>
      <c r="V20" s="17">
        <f ca="1">IFERROR(TODAY()+(INDIRECT(#REF!,1)-T20)/#REF!,0)</f>
        <v>0</v>
      </c>
      <c r="W20" s="119" t="s">
        <v>461</v>
      </c>
    </row>
    <row r="21" spans="1:28" ht="15" customHeight="1" x14ac:dyDescent="0.25">
      <c r="A21" s="55">
        <v>406</v>
      </c>
      <c r="B21" s="18" t="s">
        <v>0</v>
      </c>
      <c r="C21" s="12" t="s">
        <v>99</v>
      </c>
      <c r="D21" s="18" t="s">
        <v>75</v>
      </c>
      <c r="E21" s="18" t="s">
        <v>257</v>
      </c>
      <c r="F21" s="48">
        <v>4403</v>
      </c>
      <c r="G21" s="49">
        <v>44281</v>
      </c>
      <c r="H21" s="4" t="s">
        <v>350</v>
      </c>
      <c r="I21" s="4" t="s">
        <v>99</v>
      </c>
      <c r="J21" s="15">
        <f>Tabla13[[#This Row],[KM ACTUAL]]-Tabla13[[#This Row],[KM ULTIMA INSTALACIÓN]]</f>
        <v>206123</v>
      </c>
      <c r="K21" s="92" t="str">
        <f t="shared" ca="1" si="0"/>
        <v>4 Años 2 Meses 15 Días</v>
      </c>
      <c r="L21" s="15">
        <f ca="1">DATEDIF(Tabla13[[#This Row],[FECHA ULTIMA INSTALACIÓN]],$V$1,"y")</f>
        <v>4</v>
      </c>
      <c r="M21" s="15">
        <f ca="1">DATEDIF(Tabla13[[#This Row],[FECHA ULTIMA INSTALACIÓN]],$V$1,"ym")</f>
        <v>2</v>
      </c>
      <c r="N21" s="15">
        <f ca="1">DATEDIF(Tabla13[[#This Row],[FECHA ULTIMA INSTALACIÓN]],$V$1,"md")</f>
        <v>15</v>
      </c>
      <c r="O21" s="15"/>
      <c r="P21" s="15"/>
      <c r="Q21" s="15"/>
      <c r="R21" s="15"/>
      <c r="S21" s="15"/>
      <c r="T21" s="15">
        <f>Tabla1[[#This Row],[KM ACTUAL]]</f>
        <v>210526</v>
      </c>
      <c r="U21" s="92">
        <f>Tabla1[[#This Row],[F. KM ACT.]]</f>
        <v>45771</v>
      </c>
      <c r="V21" s="17">
        <f ca="1">IFERROR(TODAY()+(INDIRECT(#REF!,1)-T21)/#REF!,0)</f>
        <v>0</v>
      </c>
      <c r="W21" s="105" t="s">
        <v>356</v>
      </c>
    </row>
    <row r="22" spans="1:28" ht="15" customHeight="1" x14ac:dyDescent="0.25">
      <c r="A22" s="55">
        <v>407</v>
      </c>
      <c r="B22" s="55" t="s">
        <v>0</v>
      </c>
      <c r="C22" s="12" t="s">
        <v>99</v>
      </c>
      <c r="D22" s="18" t="s">
        <v>75</v>
      </c>
      <c r="E22" s="18" t="s">
        <v>258</v>
      </c>
      <c r="F22" s="48">
        <v>4383</v>
      </c>
      <c r="G22" s="49">
        <v>44281</v>
      </c>
      <c r="H22" s="4" t="s">
        <v>350</v>
      </c>
      <c r="I22" s="4" t="s">
        <v>99</v>
      </c>
      <c r="J22" s="15">
        <f>Tabla13[[#This Row],[KM ACTUAL]]-Tabla13[[#This Row],[KM ULTIMA INSTALACIÓN]]</f>
        <v>176476</v>
      </c>
      <c r="K22" s="92" t="str">
        <f t="shared" ca="1" si="0"/>
        <v>4 Años 2 Meses 15 Días</v>
      </c>
      <c r="L22" s="15">
        <f ca="1">DATEDIF(Tabla13[[#This Row],[FECHA ULTIMA INSTALACIÓN]],$V$1,"y")</f>
        <v>4</v>
      </c>
      <c r="M22" s="15">
        <f ca="1">DATEDIF(Tabla13[[#This Row],[FECHA ULTIMA INSTALACIÓN]],$V$1,"ym")</f>
        <v>2</v>
      </c>
      <c r="N22" s="15">
        <f ca="1">DATEDIF(Tabla13[[#This Row],[FECHA ULTIMA INSTALACIÓN]],$V$1,"md")</f>
        <v>15</v>
      </c>
      <c r="O22" s="15"/>
      <c r="P22" s="15"/>
      <c r="Q22" s="15"/>
      <c r="R22" s="15"/>
      <c r="S22" s="15"/>
      <c r="T22" s="15">
        <f>Tabla1[[#This Row],[KM ACTUAL]]</f>
        <v>180859</v>
      </c>
      <c r="U22" s="92">
        <f>Tabla1[[#This Row],[F. KM ACT.]]</f>
        <v>45771</v>
      </c>
      <c r="V22" s="17">
        <f ca="1">IFERROR(TODAY()+(INDIRECT(#REF!,1)-T22)/#REF!,0)</f>
        <v>0</v>
      </c>
      <c r="W22" s="105" t="s">
        <v>356</v>
      </c>
    </row>
    <row r="23" spans="1:28" ht="15" customHeight="1" x14ac:dyDescent="0.25">
      <c r="A23" s="55">
        <v>408</v>
      </c>
      <c r="B23" s="55" t="s">
        <v>0</v>
      </c>
      <c r="C23" s="12" t="s">
        <v>99</v>
      </c>
      <c r="D23" s="18" t="s">
        <v>75</v>
      </c>
      <c r="E23" s="18" t="s">
        <v>259</v>
      </c>
      <c r="F23" s="48">
        <v>4489</v>
      </c>
      <c r="G23" s="49">
        <v>44281</v>
      </c>
      <c r="H23" s="4" t="s">
        <v>350</v>
      </c>
      <c r="I23" s="4" t="s">
        <v>99</v>
      </c>
      <c r="J23" s="15">
        <f>Tabla13[[#This Row],[KM ACTUAL]]-Tabla13[[#This Row],[KM ULTIMA INSTALACIÓN]]</f>
        <v>155128</v>
      </c>
      <c r="K23" s="92" t="str">
        <f t="shared" ca="1" si="0"/>
        <v>4 Años 2 Meses 15 Días</v>
      </c>
      <c r="L23" s="15">
        <f ca="1">DATEDIF(Tabla13[[#This Row],[FECHA ULTIMA INSTALACIÓN]],$V$1,"y")</f>
        <v>4</v>
      </c>
      <c r="M23" s="15">
        <f ca="1">DATEDIF(Tabla13[[#This Row],[FECHA ULTIMA INSTALACIÓN]],$V$1,"ym")</f>
        <v>2</v>
      </c>
      <c r="N23" s="15">
        <f ca="1">DATEDIF(Tabla13[[#This Row],[FECHA ULTIMA INSTALACIÓN]],$V$1,"md")</f>
        <v>15</v>
      </c>
      <c r="O23" s="15"/>
      <c r="P23" s="15"/>
      <c r="Q23" s="15"/>
      <c r="R23" s="15"/>
      <c r="S23" s="15"/>
      <c r="T23" s="15">
        <f>Tabla1[[#This Row],[KM ACTUAL]]</f>
        <v>159617</v>
      </c>
      <c r="U23" s="92">
        <f>Tabla1[[#This Row],[F. KM ACT.]]</f>
        <v>45771</v>
      </c>
      <c r="V23" s="17">
        <f ca="1">IFERROR(TODAY()+(INDIRECT(#REF!,1)-T23)/#REF!,0)</f>
        <v>0</v>
      </c>
      <c r="W23" s="105" t="s">
        <v>356</v>
      </c>
    </row>
    <row r="24" spans="1:28" ht="15" customHeight="1" x14ac:dyDescent="0.25">
      <c r="A24" s="55">
        <v>409</v>
      </c>
      <c r="B24" s="18" t="s">
        <v>1</v>
      </c>
      <c r="C24" s="12" t="s">
        <v>99</v>
      </c>
      <c r="D24" s="18" t="s">
        <v>224</v>
      </c>
      <c r="E24" s="18" t="s">
        <v>260</v>
      </c>
      <c r="F24" s="48">
        <v>101</v>
      </c>
      <c r="G24" s="49">
        <v>44243</v>
      </c>
      <c r="H24" s="4" t="s">
        <v>359</v>
      </c>
      <c r="I24" s="4" t="s">
        <v>360</v>
      </c>
      <c r="J24" s="15">
        <f>Tabla13[[#This Row],[KM ACTUAL]]-Tabla13[[#This Row],[KM ULTIMA INSTALACIÓN]]</f>
        <v>95249</v>
      </c>
      <c r="K24" s="92" t="str">
        <f t="shared" ca="1" si="0"/>
        <v>4 Años 3 Meses 25 Días</v>
      </c>
      <c r="L24" s="15">
        <f ca="1">DATEDIF(Tabla13[[#This Row],[FECHA ULTIMA INSTALACIÓN]],$V$1,"y")</f>
        <v>4</v>
      </c>
      <c r="M24" s="15">
        <f ca="1">DATEDIF(Tabla13[[#This Row],[FECHA ULTIMA INSTALACIÓN]],$V$1,"ym")</f>
        <v>3</v>
      </c>
      <c r="N24" s="15">
        <f ca="1">DATEDIF(Tabla13[[#This Row],[FECHA ULTIMA INSTALACIÓN]],$V$1,"md")</f>
        <v>25</v>
      </c>
      <c r="O24" s="15"/>
      <c r="P24" s="15"/>
      <c r="Q24" s="15"/>
      <c r="R24" s="15"/>
      <c r="S24" s="15"/>
      <c r="T24" s="15">
        <f>Tabla1[[#This Row],[KM ACTUAL]]</f>
        <v>95350</v>
      </c>
      <c r="U24" s="92">
        <f>Tabla1[[#This Row],[F. KM ACT.]]</f>
        <v>45771</v>
      </c>
      <c r="V24" s="17">
        <f ca="1">IFERROR(TODAY()+(INDIRECT(#REF!,1)-T24)/#REF!,0)</f>
        <v>0</v>
      </c>
      <c r="W24" s="105" t="s">
        <v>356</v>
      </c>
    </row>
    <row r="25" spans="1:28" ht="15" customHeight="1" x14ac:dyDescent="0.25">
      <c r="A25" s="18">
        <v>410</v>
      </c>
      <c r="B25" s="18" t="s">
        <v>1</v>
      </c>
      <c r="C25" s="12" t="s">
        <v>99</v>
      </c>
      <c r="D25" s="18" t="s">
        <v>224</v>
      </c>
      <c r="E25" s="18" t="s">
        <v>261</v>
      </c>
      <c r="F25" s="48">
        <v>102</v>
      </c>
      <c r="G25" s="49">
        <v>44166</v>
      </c>
      <c r="H25" s="4" t="s">
        <v>359</v>
      </c>
      <c r="I25" s="4" t="s">
        <v>360</v>
      </c>
      <c r="J25" s="15">
        <f>Tabla13[[#This Row],[KM ACTUAL]]-Tabla13[[#This Row],[KM ULTIMA INSTALACIÓN]]</f>
        <v>124028</v>
      </c>
      <c r="K25" s="92" t="str">
        <f t="shared" ca="1" si="0"/>
        <v>4 Años 6 Meses 9 Días</v>
      </c>
      <c r="L25" s="15">
        <f ca="1">DATEDIF(Tabla13[[#This Row],[FECHA ULTIMA INSTALACIÓN]],$V$1,"y")</f>
        <v>4</v>
      </c>
      <c r="M25" s="15">
        <f ca="1">DATEDIF(Tabla13[[#This Row],[FECHA ULTIMA INSTALACIÓN]],$V$1,"ym")</f>
        <v>6</v>
      </c>
      <c r="N25" s="15">
        <f ca="1">DATEDIF(Tabla13[[#This Row],[FECHA ULTIMA INSTALACIÓN]],$V$1,"md")</f>
        <v>9</v>
      </c>
      <c r="O25" s="15"/>
      <c r="P25" s="15"/>
      <c r="Q25" s="15"/>
      <c r="R25" s="15"/>
      <c r="S25" s="15"/>
      <c r="T25" s="15">
        <f>Tabla1[[#This Row],[KM ACTUAL]]</f>
        <v>124130</v>
      </c>
      <c r="U25" s="92">
        <f>Tabla1[[#This Row],[F. KM ACT.]]</f>
        <v>45771</v>
      </c>
      <c r="V25" s="17">
        <f ca="1">IFERROR(TODAY()+(INDIRECT(#REF!,1)-T25)/#REF!,0)</f>
        <v>0</v>
      </c>
      <c r="W25" s="105" t="s">
        <v>356</v>
      </c>
    </row>
    <row r="26" spans="1:28" ht="15" customHeight="1" x14ac:dyDescent="0.25">
      <c r="A26" s="102"/>
      <c r="B26" s="102"/>
      <c r="C26" s="15"/>
      <c r="D26" s="102"/>
      <c r="E26" s="15"/>
      <c r="F26" s="32"/>
      <c r="G26" s="3"/>
      <c r="H26" s="3"/>
      <c r="I26" s="4"/>
      <c r="J26" s="15"/>
      <c r="K26" s="15">
        <f ca="1">SUBTOTAL(103,Tabla13[TIEMPO TRANSCURRIDO DESDE ULTIMA INSTALACIÓN])</f>
        <v>23</v>
      </c>
      <c r="L26" s="15"/>
      <c r="M26" s="15"/>
      <c r="N26" s="15"/>
      <c r="O26" s="15"/>
      <c r="P26" s="15"/>
      <c r="Q26" s="15"/>
      <c r="R26" s="15"/>
      <c r="S26" s="15"/>
      <c r="T26" s="15"/>
      <c r="U26" s="92"/>
      <c r="V26" s="17"/>
      <c r="W26" s="33"/>
    </row>
    <row r="27" spans="1:28" x14ac:dyDescent="0.25">
      <c r="U27" s="93"/>
    </row>
    <row r="28" spans="1:28" x14ac:dyDescent="0.25">
      <c r="B28" s="43"/>
      <c r="C28" s="43"/>
      <c r="D28" s="43"/>
      <c r="E28" s="43"/>
      <c r="F28" s="94"/>
      <c r="G28" s="43"/>
      <c r="H28" s="43"/>
      <c r="I28" s="91" t="s">
        <v>191</v>
      </c>
    </row>
    <row r="29" spans="1:28" x14ac:dyDescent="0.25">
      <c r="B29" s="43"/>
      <c r="C29" s="43"/>
      <c r="D29" s="43"/>
      <c r="E29" s="43"/>
      <c r="F29" s="43"/>
      <c r="G29" s="43"/>
      <c r="H29" s="43"/>
    </row>
    <row r="30" spans="1:28" x14ac:dyDescent="0.25">
      <c r="B30" s="43"/>
      <c r="C30" s="43"/>
      <c r="D30" s="43"/>
      <c r="E30" s="43"/>
      <c r="F30" s="43"/>
      <c r="G30" s="43"/>
      <c r="H30" s="43"/>
    </row>
    <row r="31" spans="1:28" x14ac:dyDescent="0.25">
      <c r="B31" s="43"/>
      <c r="C31" s="43"/>
      <c r="D31" s="43"/>
      <c r="E31" s="43"/>
      <c r="F31" s="95"/>
      <c r="G31" s="96"/>
      <c r="H31" s="43"/>
    </row>
    <row r="32" spans="1:28" x14ac:dyDescent="0.25">
      <c r="B32" s="43"/>
      <c r="C32" s="43"/>
      <c r="D32" s="43"/>
      <c r="E32" s="43"/>
      <c r="F32" s="43"/>
      <c r="G32" s="43"/>
      <c r="H32" s="43"/>
    </row>
    <row r="33" spans="2:8" x14ac:dyDescent="0.25">
      <c r="B33" s="43"/>
      <c r="C33" s="43"/>
      <c r="D33" s="43"/>
      <c r="E33" s="43"/>
      <c r="F33" s="43"/>
      <c r="G33" s="43"/>
      <c r="H33" s="43"/>
    </row>
    <row r="34" spans="2:8" x14ac:dyDescent="0.25">
      <c r="B34" s="43"/>
      <c r="C34" s="43"/>
      <c r="D34" s="43"/>
      <c r="E34" s="43"/>
      <c r="F34" s="43"/>
      <c r="G34" s="43"/>
      <c r="H34" s="43"/>
    </row>
    <row r="35" spans="2:8" x14ac:dyDescent="0.25">
      <c r="B35" s="43"/>
      <c r="C35" s="43"/>
      <c r="D35" s="43"/>
      <c r="E35" s="43"/>
      <c r="F35" s="43"/>
      <c r="G35" s="43"/>
      <c r="H35" s="43"/>
    </row>
    <row r="36" spans="2:8" x14ac:dyDescent="0.25">
      <c r="B36" s="43"/>
      <c r="C36" s="43"/>
      <c r="D36" s="43"/>
      <c r="E36" s="43"/>
      <c r="F36" s="43"/>
      <c r="G36" s="43"/>
      <c r="H36" s="43"/>
    </row>
    <row r="37" spans="2:8" x14ac:dyDescent="0.25">
      <c r="B37" s="43"/>
      <c r="C37" s="43"/>
      <c r="D37" s="43"/>
      <c r="E37" s="43"/>
      <c r="F37" s="43"/>
      <c r="G37" s="43"/>
      <c r="H37" s="43"/>
    </row>
    <row r="38" spans="2:8" x14ac:dyDescent="0.25">
      <c r="B38" s="43"/>
      <c r="C38" s="43"/>
      <c r="D38" s="43"/>
      <c r="E38" s="43"/>
      <c r="F38" s="43"/>
      <c r="G38" s="43"/>
      <c r="H38" s="43"/>
    </row>
    <row r="39" spans="2:8" x14ac:dyDescent="0.25">
      <c r="B39" s="43"/>
      <c r="C39" s="43"/>
      <c r="D39" s="43"/>
      <c r="E39" s="43"/>
      <c r="F39" s="43"/>
      <c r="G39" s="43"/>
      <c r="H39" s="43"/>
    </row>
    <row r="40" spans="2:8" x14ac:dyDescent="0.25">
      <c r="B40" s="43"/>
      <c r="C40" s="43"/>
      <c r="D40" s="43"/>
      <c r="E40" s="43"/>
      <c r="F40" s="43"/>
      <c r="G40" s="43"/>
      <c r="H40" s="43"/>
    </row>
    <row r="41" spans="2:8" x14ac:dyDescent="0.25">
      <c r="B41" s="43"/>
      <c r="C41" s="43"/>
      <c r="D41" s="43"/>
      <c r="E41" s="43"/>
      <c r="F41" s="43"/>
      <c r="G41" s="43"/>
      <c r="H41" s="43"/>
    </row>
    <row r="42" spans="2:8" x14ac:dyDescent="0.25">
      <c r="B42" s="43"/>
      <c r="C42" s="43"/>
      <c r="D42" s="43"/>
      <c r="E42" s="43"/>
      <c r="F42" s="43"/>
      <c r="G42" s="43"/>
      <c r="H42" s="43"/>
    </row>
    <row r="43" spans="2:8" x14ac:dyDescent="0.25">
      <c r="B43" s="43"/>
      <c r="C43" s="43"/>
      <c r="D43" s="43"/>
      <c r="E43" s="43"/>
      <c r="F43" s="43"/>
      <c r="G43" s="43"/>
      <c r="H43" s="43"/>
    </row>
    <row r="44" spans="2:8" x14ac:dyDescent="0.25">
      <c r="B44" s="43"/>
      <c r="C44" s="43"/>
      <c r="D44" s="43"/>
      <c r="E44" s="43"/>
      <c r="F44" s="43"/>
      <c r="G44" s="43"/>
      <c r="H44" s="43"/>
    </row>
    <row r="45" spans="2:8" x14ac:dyDescent="0.25">
      <c r="B45" s="43"/>
      <c r="C45" s="43"/>
      <c r="D45" s="43"/>
      <c r="E45" s="43"/>
      <c r="F45" s="43"/>
      <c r="G45" s="43"/>
      <c r="H45" s="43"/>
    </row>
    <row r="46" spans="2:8" x14ac:dyDescent="0.25">
      <c r="B46" s="43"/>
      <c r="C46" s="43"/>
      <c r="D46" s="43"/>
      <c r="E46" s="43"/>
      <c r="F46" s="43"/>
      <c r="G46" s="43"/>
      <c r="H46" s="43"/>
    </row>
    <row r="47" spans="2:8" x14ac:dyDescent="0.25">
      <c r="B47" s="43"/>
      <c r="C47" s="43"/>
      <c r="D47" s="43"/>
      <c r="E47" s="43"/>
      <c r="F47" s="43"/>
      <c r="G47" s="43"/>
      <c r="H47" s="43"/>
    </row>
    <row r="48" spans="2:8" x14ac:dyDescent="0.25">
      <c r="B48" s="43"/>
      <c r="C48" s="43"/>
      <c r="D48" s="43"/>
      <c r="E48" s="43"/>
      <c r="F48" s="43"/>
      <c r="G48" s="43"/>
      <c r="H48" s="43"/>
    </row>
    <row r="49" spans="2:8" x14ac:dyDescent="0.25">
      <c r="B49" s="43"/>
      <c r="C49" s="43"/>
      <c r="D49" s="43"/>
      <c r="E49" s="43"/>
      <c r="F49" s="43"/>
      <c r="G49" s="43"/>
      <c r="H49" s="43"/>
    </row>
    <row r="50" spans="2:8" x14ac:dyDescent="0.25">
      <c r="B50" s="43"/>
      <c r="C50" s="43"/>
      <c r="D50" s="43"/>
      <c r="E50" s="43"/>
      <c r="F50" s="43"/>
      <c r="G50" s="43"/>
      <c r="H50" s="43"/>
    </row>
    <row r="51" spans="2:8" x14ac:dyDescent="0.25">
      <c r="B51" s="43"/>
      <c r="C51" s="43"/>
      <c r="D51" s="43"/>
      <c r="E51" s="43"/>
      <c r="F51" s="43"/>
      <c r="G51" s="43"/>
      <c r="H51" s="43"/>
    </row>
    <row r="52" spans="2:8" x14ac:dyDescent="0.25">
      <c r="B52" s="43"/>
      <c r="C52" s="43"/>
      <c r="D52" s="43"/>
      <c r="E52" s="43"/>
      <c r="F52" s="43"/>
      <c r="G52" s="43"/>
      <c r="H52" s="43"/>
    </row>
    <row r="53" spans="2:8" x14ac:dyDescent="0.25">
      <c r="B53" s="43"/>
      <c r="C53" s="43"/>
      <c r="D53" s="43"/>
      <c r="E53" s="43"/>
      <c r="F53" s="43"/>
      <c r="G53" s="43"/>
      <c r="H53" s="43"/>
    </row>
    <row r="54" spans="2:8" x14ac:dyDescent="0.25">
      <c r="B54" s="43"/>
      <c r="C54" s="43"/>
      <c r="D54" s="43"/>
      <c r="E54" s="43"/>
      <c r="F54" s="43"/>
      <c r="G54" s="43"/>
      <c r="H54" s="43"/>
    </row>
    <row r="55" spans="2:8" x14ac:dyDescent="0.25">
      <c r="B55" s="43"/>
      <c r="C55" s="43"/>
      <c r="D55" s="43"/>
      <c r="E55" s="43"/>
      <c r="F55" s="43"/>
      <c r="G55" s="43"/>
      <c r="H55" s="43"/>
    </row>
    <row r="56" spans="2:8" x14ac:dyDescent="0.25">
      <c r="B56" s="43"/>
      <c r="C56" s="43"/>
      <c r="D56" s="43"/>
      <c r="E56" s="43"/>
      <c r="F56" s="43"/>
      <c r="G56" s="43"/>
      <c r="H56" s="43"/>
    </row>
    <row r="57" spans="2:8" x14ac:dyDescent="0.25">
      <c r="B57" s="43"/>
      <c r="C57" s="43"/>
      <c r="D57" s="43"/>
      <c r="E57" s="43"/>
      <c r="F57" s="43"/>
      <c r="G57" s="43"/>
      <c r="H57" s="43"/>
    </row>
    <row r="58" spans="2:8" x14ac:dyDescent="0.25">
      <c r="B58" s="43"/>
      <c r="C58" s="43"/>
      <c r="D58" s="43"/>
      <c r="E58" s="43"/>
      <c r="F58" s="43"/>
      <c r="G58" s="43"/>
      <c r="H58" s="43"/>
    </row>
    <row r="59" spans="2:8" x14ac:dyDescent="0.25">
      <c r="B59" s="43"/>
      <c r="C59" s="43"/>
      <c r="D59" s="43"/>
      <c r="E59" s="43"/>
      <c r="F59" s="43"/>
      <c r="G59" s="43"/>
      <c r="H59" s="43"/>
    </row>
    <row r="60" spans="2:8" x14ac:dyDescent="0.25">
      <c r="B60" s="43"/>
      <c r="C60" s="43"/>
      <c r="D60" s="43"/>
      <c r="E60" s="43"/>
      <c r="F60" s="43"/>
      <c r="G60" s="43"/>
      <c r="H60" s="43"/>
    </row>
    <row r="61" spans="2:8" x14ac:dyDescent="0.25">
      <c r="B61" s="43"/>
      <c r="C61" s="43"/>
      <c r="D61" s="43"/>
      <c r="E61" s="43"/>
      <c r="F61" s="43"/>
      <c r="G61" s="43"/>
      <c r="H61" s="43"/>
    </row>
    <row r="62" spans="2:8" x14ac:dyDescent="0.25">
      <c r="B62" s="43"/>
      <c r="C62" s="43"/>
      <c r="D62" s="43"/>
      <c r="E62" s="43"/>
      <c r="F62" s="43"/>
      <c r="G62" s="43"/>
      <c r="H62" s="43"/>
    </row>
    <row r="63" spans="2:8" x14ac:dyDescent="0.25">
      <c r="B63" s="43"/>
      <c r="C63" s="43"/>
      <c r="D63" s="43"/>
      <c r="E63" s="43"/>
      <c r="F63" s="43"/>
      <c r="G63" s="43"/>
      <c r="H63" s="43"/>
    </row>
    <row r="64" spans="2:8" x14ac:dyDescent="0.25">
      <c r="B64" s="43"/>
      <c r="C64" s="43"/>
      <c r="D64" s="43"/>
      <c r="E64" s="43"/>
      <c r="F64" s="43"/>
      <c r="G64" s="43"/>
      <c r="H64" s="43"/>
    </row>
    <row r="65" spans="2:8" x14ac:dyDescent="0.25">
      <c r="B65" s="43"/>
      <c r="C65" s="43"/>
      <c r="D65" s="43"/>
      <c r="E65" s="43"/>
      <c r="F65" s="43"/>
      <c r="G65" s="43"/>
      <c r="H65" s="43"/>
    </row>
    <row r="66" spans="2:8" x14ac:dyDescent="0.25">
      <c r="B66" s="43"/>
      <c r="C66" s="43"/>
      <c r="D66" s="43"/>
      <c r="E66" s="43"/>
      <c r="F66" s="43"/>
      <c r="G66" s="43"/>
      <c r="H66" s="43"/>
    </row>
    <row r="67" spans="2:8" x14ac:dyDescent="0.25">
      <c r="B67" s="43"/>
      <c r="C67" s="43"/>
      <c r="D67" s="43"/>
      <c r="E67" s="43"/>
      <c r="F67" s="43"/>
      <c r="G67" s="43"/>
      <c r="H67" s="43"/>
    </row>
    <row r="68" spans="2:8" x14ac:dyDescent="0.25">
      <c r="B68" s="43"/>
      <c r="C68" s="43"/>
      <c r="D68" s="43"/>
      <c r="E68" s="43"/>
      <c r="F68" s="43"/>
      <c r="G68" s="43"/>
      <c r="H68" s="43"/>
    </row>
    <row r="69" spans="2:8" x14ac:dyDescent="0.25">
      <c r="B69" s="43"/>
      <c r="C69" s="43"/>
      <c r="D69" s="43"/>
      <c r="E69" s="43"/>
      <c r="F69" s="43"/>
      <c r="G69" s="43"/>
      <c r="H69" s="43"/>
    </row>
    <row r="70" spans="2:8" x14ac:dyDescent="0.25">
      <c r="B70" s="43"/>
      <c r="C70" s="43"/>
      <c r="D70" s="43"/>
      <c r="E70" s="43"/>
      <c r="F70" s="43"/>
      <c r="G70" s="43"/>
      <c r="H70" s="43"/>
    </row>
    <row r="71" spans="2:8" x14ac:dyDescent="0.25">
      <c r="B71" s="43"/>
      <c r="C71" s="43"/>
      <c r="D71" s="43"/>
      <c r="E71" s="43"/>
      <c r="F71" s="43"/>
      <c r="G71" s="43"/>
      <c r="H71" s="43"/>
    </row>
    <row r="72" spans="2:8" x14ac:dyDescent="0.25">
      <c r="B72" s="43"/>
      <c r="C72" s="43"/>
      <c r="D72" s="43"/>
      <c r="E72" s="43"/>
      <c r="F72" s="43"/>
      <c r="G72" s="43"/>
      <c r="H72" s="43"/>
    </row>
    <row r="73" spans="2:8" x14ac:dyDescent="0.25">
      <c r="B73" s="43"/>
      <c r="C73" s="43"/>
      <c r="D73" s="43"/>
      <c r="E73" s="43"/>
      <c r="F73" s="43"/>
      <c r="G73" s="43"/>
      <c r="H73" s="43"/>
    </row>
    <row r="74" spans="2:8" x14ac:dyDescent="0.25">
      <c r="B74" s="43"/>
      <c r="C74" s="43"/>
      <c r="D74" s="43"/>
      <c r="E74" s="43"/>
      <c r="F74" s="43"/>
      <c r="G74" s="43"/>
      <c r="H74" s="43"/>
    </row>
    <row r="75" spans="2:8" x14ac:dyDescent="0.25">
      <c r="B75" s="43"/>
      <c r="C75" s="43"/>
      <c r="D75" s="43"/>
      <c r="E75" s="43"/>
      <c r="F75" s="43"/>
      <c r="G75" s="43"/>
      <c r="H75" s="43"/>
    </row>
    <row r="76" spans="2:8" x14ac:dyDescent="0.25">
      <c r="B76" s="43"/>
      <c r="C76" s="43"/>
      <c r="D76" s="43"/>
      <c r="E76" s="43"/>
      <c r="F76" s="43"/>
      <c r="G76" s="43"/>
      <c r="H76" s="43"/>
    </row>
    <row r="77" spans="2:8" x14ac:dyDescent="0.25">
      <c r="B77" s="43"/>
      <c r="C77" s="43"/>
      <c r="D77" s="43"/>
      <c r="E77" s="43"/>
      <c r="F77" s="43"/>
      <c r="G77" s="43"/>
      <c r="H77" s="43"/>
    </row>
    <row r="78" spans="2:8" x14ac:dyDescent="0.25">
      <c r="B78" s="43"/>
      <c r="C78" s="43"/>
      <c r="D78" s="43"/>
      <c r="E78" s="43"/>
      <c r="F78" s="43"/>
      <c r="G78" s="43"/>
      <c r="H78" s="43"/>
    </row>
    <row r="79" spans="2:8" x14ac:dyDescent="0.25">
      <c r="B79" s="43"/>
      <c r="C79" s="43"/>
      <c r="D79" s="43"/>
      <c r="E79" s="43"/>
      <c r="F79" s="43"/>
      <c r="G79" s="43"/>
      <c r="H79" s="43"/>
    </row>
    <row r="80" spans="2:8" x14ac:dyDescent="0.25">
      <c r="B80" s="43"/>
      <c r="C80" s="43"/>
      <c r="D80" s="43"/>
      <c r="E80" s="43"/>
      <c r="F80" s="43"/>
      <c r="G80" s="43"/>
      <c r="H80" s="43"/>
    </row>
    <row r="81" spans="2:8" x14ac:dyDescent="0.25">
      <c r="B81" s="43"/>
      <c r="C81" s="43"/>
      <c r="D81" s="43"/>
      <c r="E81" s="43"/>
      <c r="F81" s="43"/>
      <c r="G81" s="43"/>
      <c r="H81" s="43"/>
    </row>
    <row r="82" spans="2:8" x14ac:dyDescent="0.25">
      <c r="B82" s="43"/>
      <c r="C82" s="43"/>
      <c r="D82" s="43"/>
      <c r="E82" s="43"/>
      <c r="F82" s="43"/>
      <c r="G82" s="43"/>
      <c r="H82" s="43"/>
    </row>
    <row r="83" spans="2:8" x14ac:dyDescent="0.25">
      <c r="B83" s="43"/>
      <c r="C83" s="43"/>
      <c r="D83" s="43"/>
      <c r="E83" s="43"/>
      <c r="F83" s="43"/>
      <c r="G83" s="43"/>
      <c r="H83" s="43"/>
    </row>
    <row r="84" spans="2:8" x14ac:dyDescent="0.25">
      <c r="B84" s="43"/>
      <c r="C84" s="43"/>
      <c r="D84" s="43"/>
      <c r="E84" s="43"/>
      <c r="F84" s="43"/>
      <c r="G84" s="43"/>
      <c r="H84" s="43"/>
    </row>
    <row r="85" spans="2:8" x14ac:dyDescent="0.25">
      <c r="B85" s="43"/>
      <c r="C85" s="43"/>
      <c r="D85" s="43"/>
      <c r="E85" s="43"/>
      <c r="F85" s="43"/>
      <c r="G85" s="43"/>
      <c r="H85" s="43"/>
    </row>
    <row r="86" spans="2:8" x14ac:dyDescent="0.25">
      <c r="B86" s="43"/>
      <c r="C86" s="43"/>
      <c r="D86" s="43"/>
      <c r="E86" s="43"/>
      <c r="F86" s="43"/>
      <c r="G86" s="43"/>
      <c r="H86" s="43"/>
    </row>
    <row r="87" spans="2:8" x14ac:dyDescent="0.25">
      <c r="B87" s="43"/>
      <c r="C87" s="43"/>
      <c r="D87" s="43"/>
      <c r="E87" s="43"/>
      <c r="F87" s="43"/>
      <c r="G87" s="43"/>
      <c r="H87" s="43"/>
    </row>
    <row r="88" spans="2:8" x14ac:dyDescent="0.25">
      <c r="B88" s="43"/>
      <c r="C88" s="43"/>
      <c r="D88" s="43"/>
      <c r="E88" s="43"/>
      <c r="F88" s="43"/>
      <c r="G88" s="43"/>
      <c r="H88" s="43"/>
    </row>
    <row r="89" spans="2:8" x14ac:dyDescent="0.25">
      <c r="B89" s="43"/>
      <c r="C89" s="43"/>
      <c r="D89" s="43"/>
      <c r="E89" s="43"/>
      <c r="F89" s="43"/>
      <c r="G89" s="43"/>
      <c r="H89" s="43"/>
    </row>
    <row r="90" spans="2:8" x14ac:dyDescent="0.25">
      <c r="B90" s="43"/>
      <c r="C90" s="43"/>
      <c r="D90" s="43"/>
      <c r="E90" s="43"/>
      <c r="F90" s="43"/>
      <c r="G90" s="43"/>
      <c r="H90" s="43"/>
    </row>
    <row r="91" spans="2:8" x14ac:dyDescent="0.25">
      <c r="B91" s="43"/>
      <c r="C91" s="43"/>
      <c r="D91" s="43"/>
      <c r="E91" s="43"/>
      <c r="F91" s="43"/>
      <c r="G91" s="43"/>
      <c r="H91" s="43"/>
    </row>
    <row r="92" spans="2:8" x14ac:dyDescent="0.25">
      <c r="B92" s="43"/>
      <c r="C92" s="43"/>
      <c r="D92" s="43"/>
      <c r="E92" s="43"/>
      <c r="F92" s="43"/>
      <c r="G92" s="43"/>
      <c r="H92" s="43"/>
    </row>
    <row r="93" spans="2:8" x14ac:dyDescent="0.25">
      <c r="B93" s="43"/>
      <c r="C93" s="43"/>
      <c r="D93" s="43"/>
      <c r="E93" s="43"/>
      <c r="F93" s="43"/>
      <c r="G93" s="43"/>
      <c r="H93" s="43"/>
    </row>
    <row r="94" spans="2:8" x14ac:dyDescent="0.25">
      <c r="B94" s="43"/>
      <c r="C94" s="43"/>
      <c r="D94" s="43"/>
      <c r="E94" s="43"/>
      <c r="F94" s="43"/>
      <c r="G94" s="43"/>
      <c r="H94" s="43"/>
    </row>
    <row r="95" spans="2:8" x14ac:dyDescent="0.25">
      <c r="B95" s="43"/>
      <c r="C95" s="43"/>
      <c r="D95" s="43"/>
      <c r="E95" s="43"/>
      <c r="F95" s="43"/>
      <c r="G95" s="43"/>
      <c r="H95" s="43"/>
    </row>
    <row r="96" spans="2:8" x14ac:dyDescent="0.25">
      <c r="B96" s="43"/>
      <c r="C96" s="43"/>
      <c r="D96" s="43"/>
      <c r="E96" s="43"/>
      <c r="F96" s="43"/>
      <c r="G96" s="43"/>
      <c r="H96" s="43"/>
    </row>
    <row r="97" spans="2:8" x14ac:dyDescent="0.25">
      <c r="B97" s="43"/>
      <c r="C97" s="43"/>
      <c r="D97" s="43"/>
      <c r="E97" s="43"/>
      <c r="F97" s="43"/>
      <c r="G97" s="43"/>
      <c r="H97" s="43"/>
    </row>
    <row r="98" spans="2:8" x14ac:dyDescent="0.25">
      <c r="B98" s="43"/>
      <c r="C98" s="43"/>
      <c r="D98" s="43"/>
      <c r="E98" s="43"/>
      <c r="F98" s="43"/>
      <c r="G98" s="43"/>
      <c r="H98" s="43"/>
    </row>
    <row r="99" spans="2:8" x14ac:dyDescent="0.25">
      <c r="B99" s="43"/>
      <c r="C99" s="43"/>
      <c r="D99" s="43"/>
      <c r="E99" s="43"/>
      <c r="F99" s="43"/>
      <c r="G99" s="43"/>
      <c r="H99" s="43"/>
    </row>
    <row r="100" spans="2:8" x14ac:dyDescent="0.25">
      <c r="B100" s="43"/>
      <c r="C100" s="43"/>
      <c r="D100" s="43"/>
      <c r="E100" s="43"/>
      <c r="F100" s="43"/>
      <c r="G100" s="43"/>
      <c r="H100" s="43"/>
    </row>
    <row r="101" spans="2:8" x14ac:dyDescent="0.25">
      <c r="B101" s="43"/>
      <c r="C101" s="43"/>
      <c r="D101" s="43"/>
      <c r="E101" s="43"/>
      <c r="F101" s="43"/>
      <c r="G101" s="43"/>
      <c r="H101" s="43"/>
    </row>
    <row r="102" spans="2:8" x14ac:dyDescent="0.25">
      <c r="B102" s="43"/>
      <c r="C102" s="43"/>
      <c r="D102" s="43"/>
      <c r="E102" s="43"/>
      <c r="F102" s="43"/>
      <c r="G102" s="43"/>
      <c r="H102" s="43"/>
    </row>
    <row r="103" spans="2:8" x14ac:dyDescent="0.25">
      <c r="B103" s="43"/>
      <c r="C103" s="43"/>
      <c r="D103" s="43"/>
      <c r="E103" s="43"/>
      <c r="F103" s="43"/>
      <c r="G103" s="43"/>
      <c r="H103" s="43"/>
    </row>
    <row r="104" spans="2:8" x14ac:dyDescent="0.25">
      <c r="B104" s="43"/>
      <c r="C104" s="43"/>
      <c r="D104" s="43"/>
      <c r="E104" s="43"/>
      <c r="F104" s="43"/>
      <c r="G104" s="43"/>
      <c r="H104" s="43"/>
    </row>
    <row r="105" spans="2:8" x14ac:dyDescent="0.25">
      <c r="B105" s="43"/>
      <c r="C105" s="43"/>
      <c r="D105" s="43"/>
      <c r="E105" s="43"/>
      <c r="F105" s="43"/>
      <c r="G105" s="43"/>
      <c r="H105" s="43"/>
    </row>
    <row r="106" spans="2:8" x14ac:dyDescent="0.25">
      <c r="B106" s="43"/>
      <c r="C106" s="43"/>
      <c r="D106" s="43"/>
      <c r="E106" s="43"/>
      <c r="F106" s="43"/>
      <c r="G106" s="43"/>
      <c r="H106" s="43"/>
    </row>
    <row r="107" spans="2:8" x14ac:dyDescent="0.25">
      <c r="B107" s="43"/>
      <c r="C107" s="43"/>
      <c r="D107" s="43"/>
      <c r="E107" s="43"/>
      <c r="F107" s="43"/>
      <c r="G107" s="43"/>
      <c r="H107" s="43"/>
    </row>
    <row r="108" spans="2:8" x14ac:dyDescent="0.25">
      <c r="B108" s="43"/>
      <c r="C108" s="43"/>
      <c r="D108" s="43"/>
      <c r="E108" s="43"/>
      <c r="F108" s="43"/>
      <c r="G108" s="43"/>
      <c r="H108" s="43"/>
    </row>
    <row r="109" spans="2:8" x14ac:dyDescent="0.25">
      <c r="B109" s="43"/>
      <c r="C109" s="43"/>
      <c r="D109" s="43"/>
      <c r="E109" s="43"/>
      <c r="F109" s="43"/>
      <c r="G109" s="43"/>
      <c r="H109" s="43"/>
    </row>
    <row r="110" spans="2:8" x14ac:dyDescent="0.25">
      <c r="B110" s="43"/>
      <c r="C110" s="43"/>
      <c r="D110" s="43"/>
      <c r="E110" s="43"/>
      <c r="F110" s="43"/>
      <c r="G110" s="43"/>
      <c r="H110" s="43"/>
    </row>
    <row r="111" spans="2:8" x14ac:dyDescent="0.25">
      <c r="B111" s="43"/>
      <c r="C111" s="43"/>
      <c r="D111" s="43"/>
      <c r="E111" s="43"/>
      <c r="F111" s="43"/>
      <c r="G111" s="43"/>
      <c r="H111" s="43"/>
    </row>
    <row r="112" spans="2:8" x14ac:dyDescent="0.25">
      <c r="B112" s="43"/>
      <c r="C112" s="43"/>
      <c r="D112" s="43"/>
      <c r="E112" s="43"/>
      <c r="F112" s="43"/>
      <c r="G112" s="43"/>
      <c r="H112" s="43"/>
    </row>
    <row r="113" spans="2:8" x14ac:dyDescent="0.25">
      <c r="B113" s="43"/>
      <c r="C113" s="43"/>
      <c r="D113" s="43"/>
      <c r="E113" s="43"/>
      <c r="F113" s="43"/>
      <c r="G113" s="43"/>
      <c r="H113" s="43"/>
    </row>
    <row r="114" spans="2:8" x14ac:dyDescent="0.25">
      <c r="B114" s="43"/>
      <c r="C114" s="43"/>
      <c r="D114" s="43"/>
      <c r="E114" s="43"/>
      <c r="F114" s="43"/>
      <c r="G114" s="43"/>
      <c r="H114" s="43"/>
    </row>
    <row r="115" spans="2:8" x14ac:dyDescent="0.25">
      <c r="B115" s="43"/>
      <c r="C115" s="43"/>
      <c r="D115" s="43"/>
      <c r="E115" s="43"/>
      <c r="F115" s="43"/>
      <c r="G115" s="43"/>
      <c r="H115" s="43"/>
    </row>
    <row r="116" spans="2:8" x14ac:dyDescent="0.25">
      <c r="B116" s="43"/>
      <c r="C116" s="43"/>
      <c r="D116" s="43"/>
      <c r="E116" s="43"/>
      <c r="F116" s="43"/>
      <c r="G116" s="43"/>
      <c r="H116" s="43"/>
    </row>
    <row r="117" spans="2:8" x14ac:dyDescent="0.25">
      <c r="B117" s="43"/>
      <c r="C117" s="43"/>
      <c r="D117" s="43"/>
      <c r="E117" s="43"/>
      <c r="F117" s="43"/>
      <c r="G117" s="43"/>
      <c r="H117" s="43"/>
    </row>
    <row r="118" spans="2:8" x14ac:dyDescent="0.25">
      <c r="B118" s="43"/>
      <c r="C118" s="43"/>
      <c r="D118" s="43"/>
      <c r="E118" s="43"/>
      <c r="F118" s="43"/>
      <c r="G118" s="43"/>
      <c r="H118" s="43"/>
    </row>
    <row r="119" spans="2:8" x14ac:dyDescent="0.25">
      <c r="B119" s="43"/>
      <c r="C119" s="43"/>
      <c r="D119" s="43"/>
      <c r="E119" s="43"/>
      <c r="F119" s="43"/>
      <c r="G119" s="43"/>
      <c r="H119" s="43"/>
    </row>
    <row r="120" spans="2:8" x14ac:dyDescent="0.25">
      <c r="B120" s="43"/>
      <c r="C120" s="43"/>
      <c r="D120" s="43"/>
      <c r="E120" s="43"/>
      <c r="F120" s="43"/>
      <c r="G120" s="43"/>
      <c r="H120" s="43"/>
    </row>
    <row r="121" spans="2:8" x14ac:dyDescent="0.25">
      <c r="B121" s="43"/>
      <c r="C121" s="43"/>
      <c r="D121" s="43"/>
      <c r="E121" s="43"/>
      <c r="F121" s="43"/>
      <c r="G121" s="43"/>
      <c r="H121" s="43"/>
    </row>
    <row r="122" spans="2:8" x14ac:dyDescent="0.25">
      <c r="B122" s="43"/>
      <c r="C122" s="43"/>
      <c r="D122" s="43"/>
      <c r="E122" s="43"/>
      <c r="F122" s="43"/>
      <c r="G122" s="43"/>
      <c r="H122" s="43"/>
    </row>
    <row r="123" spans="2:8" x14ac:dyDescent="0.25">
      <c r="B123" s="43"/>
      <c r="C123" s="43"/>
      <c r="D123" s="43"/>
      <c r="E123" s="43"/>
      <c r="F123" s="43"/>
      <c r="G123" s="43"/>
      <c r="H123" s="43"/>
    </row>
    <row r="124" spans="2:8" x14ac:dyDescent="0.25">
      <c r="B124" s="43"/>
      <c r="C124" s="43"/>
      <c r="D124" s="43"/>
      <c r="E124" s="43"/>
      <c r="F124" s="43"/>
      <c r="G124" s="43"/>
      <c r="H124" s="43"/>
    </row>
    <row r="125" spans="2:8" x14ac:dyDescent="0.25">
      <c r="B125" s="43"/>
      <c r="C125" s="43"/>
      <c r="D125" s="43"/>
      <c r="E125" s="43"/>
      <c r="F125" s="43"/>
      <c r="G125" s="43"/>
      <c r="H125" s="43"/>
    </row>
    <row r="126" spans="2:8" x14ac:dyDescent="0.25">
      <c r="B126" s="43"/>
      <c r="C126" s="43"/>
      <c r="D126" s="43"/>
      <c r="E126" s="97"/>
      <c r="F126" s="43"/>
      <c r="G126" s="43"/>
      <c r="H126" s="43"/>
    </row>
    <row r="127" spans="2:8" x14ac:dyDescent="0.25">
      <c r="B127" s="43"/>
      <c r="C127" s="43"/>
      <c r="D127" s="43"/>
      <c r="E127" s="43"/>
      <c r="F127" s="43"/>
      <c r="G127" s="43"/>
      <c r="H127" s="43"/>
    </row>
    <row r="128" spans="2:8" x14ac:dyDescent="0.25">
      <c r="B128" s="43"/>
      <c r="C128" s="43"/>
      <c r="D128" s="43"/>
      <c r="E128" s="43"/>
      <c r="F128" s="43"/>
      <c r="G128" s="43"/>
      <c r="H128" s="43"/>
    </row>
    <row r="129" spans="2:8" x14ac:dyDescent="0.25">
      <c r="B129" s="43"/>
      <c r="C129" s="43"/>
      <c r="D129" s="43"/>
      <c r="E129" s="43"/>
      <c r="F129" s="43"/>
      <c r="G129" s="43"/>
      <c r="H129" s="43"/>
    </row>
    <row r="130" spans="2:8" x14ac:dyDescent="0.25">
      <c r="B130" s="43"/>
      <c r="C130" s="43"/>
      <c r="D130" s="43"/>
      <c r="E130" s="43"/>
      <c r="F130" s="43"/>
      <c r="G130" s="43"/>
      <c r="H130" s="43"/>
    </row>
    <row r="131" spans="2:8" x14ac:dyDescent="0.25">
      <c r="B131" s="43"/>
      <c r="C131" s="43"/>
      <c r="D131" s="43"/>
      <c r="E131" s="43"/>
      <c r="F131" s="43"/>
      <c r="G131" s="43"/>
      <c r="H131" s="43"/>
    </row>
    <row r="132" spans="2:8" x14ac:dyDescent="0.25">
      <c r="B132" s="43"/>
      <c r="C132" s="43"/>
      <c r="D132" s="43"/>
      <c r="E132" s="43"/>
      <c r="F132" s="43"/>
      <c r="G132" s="43"/>
      <c r="H132" s="43"/>
    </row>
    <row r="133" spans="2:8" x14ac:dyDescent="0.25">
      <c r="B133" s="43"/>
      <c r="C133" s="43"/>
      <c r="D133" s="43"/>
      <c r="E133" s="43"/>
      <c r="F133" s="43"/>
      <c r="G133" s="43"/>
      <c r="H133" s="43"/>
    </row>
    <row r="134" spans="2:8" x14ac:dyDescent="0.25">
      <c r="B134" s="43"/>
      <c r="C134" s="43"/>
      <c r="D134" s="43"/>
      <c r="E134" s="43"/>
      <c r="F134" s="43"/>
      <c r="G134" s="43"/>
      <c r="H134" s="43"/>
    </row>
    <row r="135" spans="2:8" x14ac:dyDescent="0.25">
      <c r="B135" s="43"/>
      <c r="C135" s="43"/>
      <c r="D135" s="43"/>
      <c r="E135" s="43"/>
      <c r="F135" s="43"/>
      <c r="G135" s="43"/>
      <c r="H135" s="43"/>
    </row>
    <row r="136" spans="2:8" x14ac:dyDescent="0.25">
      <c r="B136" s="43"/>
      <c r="C136" s="43"/>
      <c r="D136" s="43"/>
      <c r="E136" s="43"/>
      <c r="F136" s="43"/>
      <c r="G136" s="43"/>
      <c r="H136" s="43"/>
    </row>
    <row r="137" spans="2:8" x14ac:dyDescent="0.25">
      <c r="B137" s="43"/>
      <c r="C137" s="43"/>
      <c r="D137" s="43"/>
      <c r="E137" s="43"/>
      <c r="F137" s="43"/>
      <c r="G137" s="43"/>
      <c r="H137" s="43"/>
    </row>
    <row r="138" spans="2:8" x14ac:dyDescent="0.25">
      <c r="B138" s="43"/>
      <c r="C138" s="43"/>
      <c r="D138" s="43"/>
      <c r="E138" s="43"/>
      <c r="F138" s="43"/>
      <c r="G138" s="43"/>
      <c r="H138" s="43"/>
    </row>
    <row r="139" spans="2:8" x14ac:dyDescent="0.25">
      <c r="B139" s="43"/>
      <c r="C139" s="43"/>
      <c r="D139" s="43"/>
      <c r="E139" s="97"/>
      <c r="F139" s="43"/>
      <c r="G139" s="43"/>
      <c r="H139" s="43"/>
    </row>
    <row r="140" spans="2:8" x14ac:dyDescent="0.25">
      <c r="B140" s="43"/>
      <c r="C140" s="43"/>
      <c r="D140" s="43"/>
      <c r="E140" s="43"/>
      <c r="F140" s="43"/>
      <c r="G140" s="43"/>
      <c r="H140" s="43"/>
    </row>
    <row r="141" spans="2:8" x14ac:dyDescent="0.25">
      <c r="B141" s="43"/>
      <c r="C141" s="43"/>
      <c r="D141" s="43"/>
      <c r="E141" s="43"/>
      <c r="F141" s="43"/>
      <c r="G141" s="43"/>
      <c r="H141" s="43"/>
    </row>
    <row r="142" spans="2:8" x14ac:dyDescent="0.25">
      <c r="B142" s="43"/>
      <c r="C142" s="43"/>
      <c r="D142" s="43"/>
      <c r="E142" s="43"/>
      <c r="F142" s="43"/>
      <c r="G142" s="43"/>
      <c r="H142" s="43"/>
    </row>
    <row r="143" spans="2:8" x14ac:dyDescent="0.25">
      <c r="B143" s="43"/>
      <c r="C143" s="43"/>
      <c r="D143" s="43"/>
      <c r="E143" s="43"/>
      <c r="F143" s="43"/>
      <c r="G143" s="43"/>
      <c r="H143" s="43"/>
    </row>
    <row r="144" spans="2:8" x14ac:dyDescent="0.25">
      <c r="B144" s="43"/>
      <c r="C144" s="43"/>
      <c r="D144" s="43"/>
      <c r="E144" s="43"/>
      <c r="F144" s="43"/>
      <c r="G144" s="43"/>
      <c r="H144" s="43"/>
    </row>
    <row r="145" spans="2:8" x14ac:dyDescent="0.25">
      <c r="B145" s="43"/>
      <c r="C145" s="43"/>
      <c r="D145" s="43"/>
      <c r="E145" s="43"/>
      <c r="F145" s="43"/>
      <c r="G145" s="43"/>
      <c r="H145" s="43"/>
    </row>
    <row r="146" spans="2:8" x14ac:dyDescent="0.25">
      <c r="B146" s="43"/>
      <c r="C146" s="43"/>
      <c r="D146" s="43"/>
      <c r="E146" s="43"/>
      <c r="F146" s="43"/>
      <c r="G146" s="43"/>
      <c r="H146" s="43"/>
    </row>
    <row r="147" spans="2:8" x14ac:dyDescent="0.25">
      <c r="B147" s="43"/>
      <c r="C147" s="43"/>
      <c r="D147" s="43"/>
      <c r="E147" s="43"/>
      <c r="F147" s="43"/>
      <c r="G147" s="43"/>
      <c r="H147" s="43"/>
    </row>
    <row r="148" spans="2:8" x14ac:dyDescent="0.25">
      <c r="B148" s="43"/>
      <c r="C148" s="43"/>
      <c r="D148" s="43"/>
      <c r="E148" s="43"/>
      <c r="F148" s="43"/>
      <c r="G148" s="43"/>
      <c r="H148" s="43"/>
    </row>
  </sheetData>
  <mergeCells count="1">
    <mergeCell ref="A1:U1"/>
  </mergeCells>
  <phoneticPr fontId="12" type="noConversion"/>
  <conditionalFormatting sqref="AG14">
    <cfRule type="cellIs" dxfId="135" priority="55" operator="lessThan">
      <formula>0</formula>
    </cfRule>
  </conditionalFormatting>
  <conditionalFormatting sqref="AB15">
    <cfRule type="cellIs" dxfId="134" priority="50" operator="lessThan">
      <formula>0</formula>
    </cfRule>
  </conditionalFormatting>
  <conditionalFormatting sqref="AA15">
    <cfRule type="cellIs" dxfId="133" priority="49" operator="lessThan">
      <formula>0</formula>
    </cfRule>
  </conditionalFormatting>
  <conditionalFormatting sqref="AH15">
    <cfRule type="cellIs" dxfId="132" priority="43" operator="lessThan">
      <formula>0</formula>
    </cfRule>
  </conditionalFormatting>
  <conditionalFormatting sqref="AG15">
    <cfRule type="cellIs" dxfId="131" priority="42" operator="lessThan">
      <formula>0</formula>
    </cfRule>
  </conditionalFormatting>
  <conditionalFormatting sqref="AB19">
    <cfRule type="cellIs" dxfId="130" priority="40" operator="lessThan">
      <formula>0</formula>
    </cfRule>
  </conditionalFormatting>
  <conditionalFormatting sqref="AA19">
    <cfRule type="cellIs" dxfId="129" priority="39" operator="lessThan">
      <formula>0</formula>
    </cfRule>
  </conditionalFormatting>
  <conditionalFormatting sqref="AB3">
    <cfRule type="cellIs" dxfId="128" priority="28" operator="lessThan">
      <formula>0</formula>
    </cfRule>
  </conditionalFormatting>
  <conditionalFormatting sqref="AA3">
    <cfRule type="cellIs" dxfId="127" priority="27" operator="lessThan">
      <formula>0</formula>
    </cfRule>
  </conditionalFormatting>
  <conditionalFormatting sqref="AL15">
    <cfRule type="cellIs" dxfId="126" priority="23" operator="lessThan">
      <formula>0</formula>
    </cfRule>
  </conditionalFormatting>
  <conditionalFormatting sqref="AM15">
    <cfRule type="cellIs" dxfId="125" priority="22" operator="lessThan">
      <formula>0</formula>
    </cfRule>
  </conditionalFormatting>
  <conditionalFormatting sqref="AA18">
    <cfRule type="cellIs" dxfId="124" priority="21" operator="lessThan">
      <formula>0</formula>
    </cfRule>
  </conditionalFormatting>
  <conditionalFormatting sqref="AB18">
    <cfRule type="cellIs" dxfId="123" priority="20" operator="lessThan">
      <formula>0</formula>
    </cfRule>
  </conditionalFormatting>
  <conditionalFormatting sqref="AB14">
    <cfRule type="cellIs" dxfId="122" priority="19" operator="lessThan">
      <formula>0</formula>
    </cfRule>
  </conditionalFormatting>
  <conditionalFormatting sqref="AA14">
    <cfRule type="cellIs" dxfId="121" priority="18" operator="lessThan">
      <formula>0</formula>
    </cfRule>
  </conditionalFormatting>
  <conditionalFormatting sqref="AC14">
    <cfRule type="cellIs" dxfId="120" priority="17" operator="lessThan">
      <formula>0</formula>
    </cfRule>
  </conditionalFormatting>
  <conditionalFormatting sqref="AA12">
    <cfRule type="cellIs" dxfId="119" priority="16" operator="lessThan">
      <formula>0</formula>
    </cfRule>
  </conditionalFormatting>
  <conditionalFormatting sqref="AB12">
    <cfRule type="cellIs" dxfId="118" priority="15" operator="lessThan">
      <formula>0</formula>
    </cfRule>
  </conditionalFormatting>
  <conditionalFormatting sqref="AI14">
    <cfRule type="cellIs" dxfId="117" priority="9" operator="lessThan">
      <formula>0</formula>
    </cfRule>
  </conditionalFormatting>
  <conditionalFormatting sqref="K3:K25">
    <cfRule type="containsText" dxfId="116" priority="1" operator="containsText" text="5 Años">
      <formula>NOT(ISERROR(SEARCH("5 Años",K3)))</formula>
    </cfRule>
    <cfRule type="containsText" dxfId="115" priority="2" operator="containsText" text="4 Años ">
      <formula>NOT(ISERROR(SEARCH("4 Años ",K3)))</formula>
    </cfRule>
    <cfRule type="containsText" dxfId="114" priority="3" operator="containsText" text="3 Años ">
      <formula>NOT(ISERROR(SEARCH("3 Años ",K3)))</formula>
    </cfRule>
    <cfRule type="containsText" dxfId="113" priority="4" operator="containsText" text="2 Años">
      <formula>NOT(ISERROR(SEARCH("2 Años",K3)))</formula>
    </cfRule>
    <cfRule type="containsText" dxfId="112" priority="5" operator="containsText" text="1 Años">
      <formula>NOT(ISERROR(SEARCH("1 Años",K3)))</formula>
    </cfRule>
    <cfRule type="containsText" dxfId="111" priority="6" operator="containsText" text="0 Años">
      <formula>NOT(ISERROR(SEARCH("0 Años",K3)))</formula>
    </cfRule>
  </conditionalFormatting>
  <dataValidations count="2">
    <dataValidation type="list" allowBlank="1" showInputMessage="1" showErrorMessage="1" sqref="C8:C24 C3:C6" xr:uid="{75A36C63-A162-4B06-A4F4-70FFCD607B0E}">
      <formula1>Marca</formula1>
    </dataValidation>
    <dataValidation type="list" allowBlank="1" showInputMessage="1" showErrorMessage="1" sqref="B3:B25" xr:uid="{56E45080-CAD3-4420-96D9-91790AC5567E}">
      <formula1>Vehículo</formula1>
    </dataValidation>
  </dataValidations>
  <pageMargins left="0" right="0" top="0.15748031496062992" bottom="0.15748031496062992" header="0.31496062992125984" footer="0.31496062992125984"/>
  <pageSetup scale="78" orientation="landscape" r:id="rId1"/>
  <ignoredErrors>
    <ignoredError sqref="V3 V7:V15 V16:V24 V4 V5 V6" calculatedColumn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4344-4410-479A-A023-FC82D0884344}">
  <sheetPr codeName="Hoja5"/>
  <dimension ref="A1:AP160"/>
  <sheetViews>
    <sheetView showGridLines="0" view="pageBreakPreview" zoomScale="110" zoomScaleNormal="100" zoomScaleSheetLayoutView="110" workbookViewId="0">
      <pane xSplit="5" ySplit="2" topLeftCell="F3" activePane="bottomRight" state="frozen"/>
      <selection pane="topRight" activeCell="H1" sqref="H1"/>
      <selection pane="bottomLeft" activeCell="A3" sqref="A3"/>
      <selection pane="bottomRight" activeCell="A2" sqref="A2"/>
    </sheetView>
  </sheetViews>
  <sheetFormatPr baseColWidth="10" defaultColWidth="11.54296875" defaultRowHeight="12.5" x14ac:dyDescent="0.25"/>
  <cols>
    <col min="1" max="1" width="3.81640625" style="2" customWidth="1"/>
    <col min="2" max="2" width="7" style="2" customWidth="1"/>
    <col min="3" max="3" width="14" style="2" hidden="1" customWidth="1"/>
    <col min="4" max="4" width="18.453125" style="2" hidden="1" customWidth="1"/>
    <col min="5" max="5" width="6.54296875" style="2" customWidth="1"/>
    <col min="6" max="6" width="7.54296875" style="2" customWidth="1"/>
    <col min="7" max="7" width="8.7265625" style="2" customWidth="1"/>
    <col min="8" max="8" width="9.1796875" style="2" customWidth="1"/>
    <col min="9" max="9" width="13.1796875" style="2" customWidth="1"/>
    <col min="10" max="10" width="10.81640625" style="2" customWidth="1"/>
    <col min="11" max="11" width="18.453125" style="2" customWidth="1"/>
    <col min="12" max="19" width="11.54296875" style="2" hidden="1" customWidth="1"/>
    <col min="20" max="20" width="7.453125" style="2" hidden="1" customWidth="1"/>
    <col min="21" max="21" width="7.7265625" style="2" hidden="1" customWidth="1"/>
    <col min="22" max="22" width="9" style="2" hidden="1" customWidth="1"/>
    <col min="23" max="23" width="72.81640625" style="2" customWidth="1"/>
    <col min="24" max="16384" width="11.54296875" style="2"/>
  </cols>
  <sheetData>
    <row r="1" spans="1:28" ht="24" customHeight="1" x14ac:dyDescent="0.25">
      <c r="A1" s="148" t="s">
        <v>477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90">
        <f ca="1">TODAY()</f>
        <v>45818</v>
      </c>
      <c r="W1" s="101">
        <f ca="1">TODAY()</f>
        <v>45818</v>
      </c>
    </row>
    <row r="2" spans="1:28" ht="30" customHeight="1" x14ac:dyDescent="0.25">
      <c r="A2" s="76" t="s">
        <v>6</v>
      </c>
      <c r="B2" s="76" t="s">
        <v>5</v>
      </c>
      <c r="C2" s="76" t="s">
        <v>90</v>
      </c>
      <c r="D2" s="76" t="s">
        <v>4</v>
      </c>
      <c r="E2" s="76" t="s">
        <v>92</v>
      </c>
      <c r="F2" s="76" t="s">
        <v>342</v>
      </c>
      <c r="G2" s="76" t="s">
        <v>341</v>
      </c>
      <c r="H2" s="76" t="s">
        <v>343</v>
      </c>
      <c r="I2" s="76" t="s">
        <v>344</v>
      </c>
      <c r="J2" s="76" t="s">
        <v>373</v>
      </c>
      <c r="K2" s="76" t="s">
        <v>389</v>
      </c>
      <c r="L2" s="76" t="s">
        <v>365</v>
      </c>
      <c r="M2" s="76" t="s">
        <v>366</v>
      </c>
      <c r="N2" s="76" t="s">
        <v>367</v>
      </c>
      <c r="O2" s="76" t="s">
        <v>412</v>
      </c>
      <c r="P2" s="76" t="s">
        <v>383</v>
      </c>
      <c r="Q2" s="76" t="s">
        <v>384</v>
      </c>
      <c r="R2" s="76" t="s">
        <v>385</v>
      </c>
      <c r="S2" s="76" t="s">
        <v>386</v>
      </c>
      <c r="T2" s="76" t="s">
        <v>7</v>
      </c>
      <c r="U2" s="76" t="s">
        <v>81</v>
      </c>
      <c r="V2" s="76" t="s">
        <v>85</v>
      </c>
      <c r="W2" s="89" t="s">
        <v>348</v>
      </c>
    </row>
    <row r="3" spans="1:28" ht="15" customHeight="1" x14ac:dyDescent="0.25">
      <c r="A3" s="98">
        <v>2</v>
      </c>
      <c r="B3" s="15" t="s">
        <v>333</v>
      </c>
      <c r="C3" s="15" t="s">
        <v>189</v>
      </c>
      <c r="D3" s="15" t="s">
        <v>334</v>
      </c>
      <c r="E3" s="15" t="s">
        <v>335</v>
      </c>
      <c r="F3" s="83">
        <v>87900</v>
      </c>
      <c r="G3" s="84">
        <v>45475</v>
      </c>
      <c r="H3" s="3" t="s">
        <v>434</v>
      </c>
      <c r="I3" s="3" t="s">
        <v>435</v>
      </c>
      <c r="J3" s="98">
        <f>(Tabla145[[#This Row],[KM ACTUAL]]-Tabla145[[#This Row],[KM ULTIMA INSTALACIÓN]])</f>
        <v>2569</v>
      </c>
      <c r="K3" s="92" t="str">
        <f t="shared" ref="K3:K31" ca="1" si="0">CONCATENATE(, L3, " Años ", M3," Meses ", N3," Días ")</f>
        <v xml:space="preserve">0 Años 11 Meses 8 Días </v>
      </c>
      <c r="L3" s="98">
        <f ca="1">DATEDIF(Tabla145[[#This Row],[FECHA ULTIMA INSTALACIÓN]],$V$1,"y")</f>
        <v>0</v>
      </c>
      <c r="M3" s="15">
        <f ca="1">DATEDIF(Tabla145[[#This Row],[FECHA ULTIMA INSTALACIÓN]],$V$1,"ym")</f>
        <v>11</v>
      </c>
      <c r="N3" s="98">
        <f ca="1">DATEDIF(Tabla145[[#This Row],[FECHA ULTIMA INSTALACIÓN]],$V$1,"md")</f>
        <v>8</v>
      </c>
      <c r="O3" s="99"/>
      <c r="P3" s="98"/>
      <c r="Q3" s="98"/>
      <c r="R3" s="98"/>
      <c r="S3" s="98"/>
      <c r="T3" s="98">
        <f>Tabla14[[#This Row],[KM ACTUAL]]</f>
        <v>90469</v>
      </c>
      <c r="U3" s="92">
        <f>Tabla14[[#This Row],[F. KM ACT.]]</f>
        <v>45771</v>
      </c>
      <c r="V3" s="100">
        <f ca="1">IFERROR(TODAY()+(INDIRECT(#REF!,1)-T3)/#REF!,0)</f>
        <v>0</v>
      </c>
      <c r="W3" s="87"/>
    </row>
    <row r="4" spans="1:28" ht="15" customHeight="1" x14ac:dyDescent="0.25">
      <c r="A4" s="102">
        <v>4</v>
      </c>
      <c r="B4" s="102" t="s">
        <v>333</v>
      </c>
      <c r="C4" s="15"/>
      <c r="D4" s="102"/>
      <c r="E4" s="15" t="s">
        <v>448</v>
      </c>
      <c r="F4" s="32">
        <v>63000</v>
      </c>
      <c r="G4" s="139">
        <v>45292</v>
      </c>
      <c r="H4" s="3"/>
      <c r="I4" s="3"/>
      <c r="J4" s="15">
        <f>Tabla145[[#This Row],[KM ACTUAL]]-Tabla145[[#This Row],[KM ULTIMA INSTALACIÓN]]</f>
        <v>11000</v>
      </c>
      <c r="K4" s="92" t="str">
        <f ca="1">CONCATENATE(, L4, " Años ", M4," Meses ", N4," Días ")</f>
        <v xml:space="preserve">1 Años 5 Meses 9 Días </v>
      </c>
      <c r="L4" s="92">
        <f ca="1">DATEDIF(Tabla145[[#This Row],[FECHA ULTIMA INSTALACIÓN]],$V$1,"y")</f>
        <v>1</v>
      </c>
      <c r="M4" s="92">
        <f ca="1">DATEDIF(Tabla145[[#This Row],[FECHA ULTIMA INSTALACIÓN]],$V$1,"ym")</f>
        <v>5</v>
      </c>
      <c r="N4" s="92">
        <f ca="1">DATEDIF(Tabla145[[#This Row],[FECHA ULTIMA INSTALACIÓN]],$V$1,"md")</f>
        <v>9</v>
      </c>
      <c r="O4" s="92"/>
      <c r="P4" s="15"/>
      <c r="Q4" s="15"/>
      <c r="R4" s="15"/>
      <c r="S4" s="15"/>
      <c r="T4" s="102">
        <f>Tabla14[[#This Row],[KM ACTUAL]]</f>
        <v>74000</v>
      </c>
      <c r="U4" s="92">
        <f>Tabla14[[#This Row],[F. KM ACT.]]</f>
        <v>45771</v>
      </c>
      <c r="V4" s="17">
        <f ca="1">IFERROR(TODAY()+(INDIRECT(#REF!,1)-T4)/#REF!,0)</f>
        <v>0</v>
      </c>
      <c r="W4" s="87"/>
    </row>
    <row r="5" spans="1:28" ht="15" customHeight="1" x14ac:dyDescent="0.25">
      <c r="A5" s="11">
        <v>61</v>
      </c>
      <c r="B5" s="12" t="s">
        <v>0</v>
      </c>
      <c r="C5" s="12" t="s">
        <v>99</v>
      </c>
      <c r="D5" s="15" t="s">
        <v>74</v>
      </c>
      <c r="E5" s="11" t="s">
        <v>232</v>
      </c>
      <c r="F5" s="4">
        <v>1896777</v>
      </c>
      <c r="G5" s="3">
        <v>43823</v>
      </c>
      <c r="H5" s="3" t="s">
        <v>346</v>
      </c>
      <c r="I5" s="3" t="s">
        <v>349</v>
      </c>
      <c r="J5" s="98">
        <f>Tabla145[[#This Row],[KM ACTUAL]]-Tabla145[[#This Row],[KM ULTIMA INSTALACIÓN]]</f>
        <v>8911</v>
      </c>
      <c r="K5" s="92" t="str">
        <f t="shared" ca="1" si="0"/>
        <v xml:space="preserve">5 Años 5 Meses 17 Días </v>
      </c>
      <c r="L5" s="98">
        <f ca="1">DATEDIF(Tabla145[[#This Row],[FECHA ULTIMA INSTALACIÓN]],$V$1,"y")</f>
        <v>5</v>
      </c>
      <c r="M5" s="15">
        <f ca="1">DATEDIF(Tabla145[[#This Row],[FECHA ULTIMA INSTALACIÓN]],$V$1,"ym")</f>
        <v>5</v>
      </c>
      <c r="N5" s="98">
        <f ca="1">DATEDIF(Tabla145[[#This Row],[FECHA ULTIMA INSTALACIÓN]],$V$1,"md")</f>
        <v>17</v>
      </c>
      <c r="O5" s="92"/>
      <c r="P5" s="98"/>
      <c r="Q5" s="15"/>
      <c r="R5" s="15"/>
      <c r="S5" s="15"/>
      <c r="T5" s="98">
        <f>Tabla14[[#This Row],[KM ACTUAL]]</f>
        <v>1905688</v>
      </c>
      <c r="U5" s="92">
        <f>Tabla14[[#This Row],[F. KM ACT.]]</f>
        <v>45771</v>
      </c>
      <c r="V5" s="17">
        <v>63534.441717791415</v>
      </c>
      <c r="W5" s="87"/>
    </row>
    <row r="6" spans="1:28" ht="15" customHeight="1" x14ac:dyDescent="0.25">
      <c r="A6" s="11">
        <v>135</v>
      </c>
      <c r="B6" s="12" t="s">
        <v>0</v>
      </c>
      <c r="C6" s="12" t="s">
        <v>99</v>
      </c>
      <c r="D6" s="15" t="s">
        <v>74</v>
      </c>
      <c r="E6" s="11" t="s">
        <v>233</v>
      </c>
      <c r="F6" s="4">
        <v>2605116</v>
      </c>
      <c r="G6" s="3">
        <v>45481</v>
      </c>
      <c r="H6" s="3" t="s">
        <v>346</v>
      </c>
      <c r="I6" s="3" t="s">
        <v>345</v>
      </c>
      <c r="J6" s="98">
        <f>Tabla145[[#This Row],[KM ACTUAL]]-Tabla145[[#This Row],[KM ULTIMA INSTALACIÓN]]</f>
        <v>2</v>
      </c>
      <c r="K6" s="92" t="str">
        <f t="shared" ca="1" si="0"/>
        <v xml:space="preserve">0 Años 11 Meses 2 Días </v>
      </c>
      <c r="L6" s="98">
        <f ca="1">DATEDIF(Tabla145[[#This Row],[FECHA ULTIMA INSTALACIÓN]],$V$1,"y")</f>
        <v>0</v>
      </c>
      <c r="M6" s="15">
        <f ca="1">DATEDIF(Tabla145[[#This Row],[FECHA ULTIMA INSTALACIÓN]],$V$1,"ym")</f>
        <v>11</v>
      </c>
      <c r="N6" s="98">
        <f ca="1">DATEDIF(Tabla145[[#This Row],[FECHA ULTIMA INSTALACIÓN]],$V$1,"md")</f>
        <v>2</v>
      </c>
      <c r="O6" s="4">
        <v>2570131</v>
      </c>
      <c r="P6" s="3">
        <v>43866</v>
      </c>
      <c r="Q6" s="3" t="s">
        <v>346</v>
      </c>
      <c r="R6" s="3" t="s">
        <v>369</v>
      </c>
      <c r="S6" s="4">
        <v>34985</v>
      </c>
      <c r="T6" s="98">
        <f>Tabla14[[#This Row],[KM ACTUAL]]</f>
        <v>2605118</v>
      </c>
      <c r="U6" s="92">
        <f>Tabla14[[#This Row],[F. KM ACT.]]</f>
        <v>45771</v>
      </c>
      <c r="V6" s="17">
        <v>45284.351107647781</v>
      </c>
      <c r="W6" s="87" t="s">
        <v>437</v>
      </c>
    </row>
    <row r="7" spans="1:28" ht="15" customHeight="1" x14ac:dyDescent="0.25">
      <c r="A7" s="11">
        <v>137</v>
      </c>
      <c r="B7" s="12" t="s">
        <v>0</v>
      </c>
      <c r="C7" s="12" t="s">
        <v>99</v>
      </c>
      <c r="D7" s="15" t="s">
        <v>74</v>
      </c>
      <c r="E7" s="11" t="s">
        <v>234</v>
      </c>
      <c r="F7" s="4">
        <v>2054133</v>
      </c>
      <c r="G7" s="3">
        <v>45481</v>
      </c>
      <c r="H7" s="3" t="s">
        <v>346</v>
      </c>
      <c r="I7" s="3" t="s">
        <v>349</v>
      </c>
      <c r="J7" s="98">
        <f>Tabla145[[#This Row],[KM ACTUAL]]-Tabla145[[#This Row],[KM ULTIMA INSTALACIÓN]]</f>
        <v>1</v>
      </c>
      <c r="K7" s="92" t="str">
        <f t="shared" ca="1" si="0"/>
        <v xml:space="preserve">0 Años 11 Meses 2 Días </v>
      </c>
      <c r="L7" s="98">
        <f ca="1">DATEDIF(Tabla145[[#This Row],[FECHA ULTIMA INSTALACIÓN]],$V$1,"y")</f>
        <v>0</v>
      </c>
      <c r="M7" s="15">
        <f ca="1">DATEDIF(Tabla145[[#This Row],[FECHA ULTIMA INSTALACIÓN]],$V$1,"ym")</f>
        <v>11</v>
      </c>
      <c r="N7" s="98">
        <f ca="1">DATEDIF(Tabla145[[#This Row],[FECHA ULTIMA INSTALACIÓN]],$V$1,"md")</f>
        <v>2</v>
      </c>
      <c r="O7" s="4">
        <v>2053617</v>
      </c>
      <c r="P7" s="3">
        <v>44548</v>
      </c>
      <c r="Q7" s="3" t="s">
        <v>346</v>
      </c>
      <c r="R7" s="3" t="s">
        <v>349</v>
      </c>
      <c r="S7" s="4">
        <v>516</v>
      </c>
      <c r="T7" s="98">
        <f>Tabla14[[#This Row],[KM ACTUAL]]</f>
        <v>2054134</v>
      </c>
      <c r="U7" s="92">
        <f>Tabla14[[#This Row],[F. KM ACT.]]</f>
        <v>45771</v>
      </c>
      <c r="V7" s="17">
        <v>46756.038305907743</v>
      </c>
      <c r="W7" s="87" t="s">
        <v>436</v>
      </c>
      <c r="X7" s="131">
        <v>2053617</v>
      </c>
      <c r="Y7" s="132">
        <v>44548</v>
      </c>
      <c r="Z7" s="132" t="s">
        <v>346</v>
      </c>
      <c r="AA7" s="132" t="s">
        <v>349</v>
      </c>
      <c r="AB7" s="131">
        <v>516</v>
      </c>
    </row>
    <row r="8" spans="1:28" ht="15" customHeight="1" x14ac:dyDescent="0.25">
      <c r="A8" s="11">
        <v>175</v>
      </c>
      <c r="B8" s="12" t="s">
        <v>0</v>
      </c>
      <c r="C8" s="12" t="s">
        <v>99</v>
      </c>
      <c r="D8" s="15" t="s">
        <v>74</v>
      </c>
      <c r="E8" s="11" t="s">
        <v>265</v>
      </c>
      <c r="F8" s="4">
        <v>1536417</v>
      </c>
      <c r="G8" s="3">
        <v>45442</v>
      </c>
      <c r="H8" s="3" t="s">
        <v>346</v>
      </c>
      <c r="I8" s="3" t="s">
        <v>349</v>
      </c>
      <c r="J8" s="98">
        <f>Tabla145[[#This Row],[KM ACTUAL]]-Tabla145[[#This Row],[KM ULTIMA INSTALACIÓN]]</f>
        <v>84</v>
      </c>
      <c r="K8" s="92" t="str">
        <f t="shared" ca="1" si="0"/>
        <v xml:space="preserve">1 Años 0 Meses 11 Días </v>
      </c>
      <c r="L8" s="98">
        <f ca="1">DATEDIF(Tabla145[[#This Row],[FECHA ULTIMA INSTALACIÓN]],$V$1,"y")</f>
        <v>1</v>
      </c>
      <c r="M8" s="15">
        <f ca="1">DATEDIF(Tabla145[[#This Row],[FECHA ULTIMA INSTALACIÓN]],$V$1,"ym")</f>
        <v>0</v>
      </c>
      <c r="N8" s="98">
        <f ca="1">DATEDIF(Tabla145[[#This Row],[FECHA ULTIMA INSTALACIÓN]],$V$1,"md")</f>
        <v>11</v>
      </c>
      <c r="O8" s="92"/>
      <c r="P8" s="98"/>
      <c r="Q8" s="15"/>
      <c r="R8" s="15"/>
      <c r="S8" s="15"/>
      <c r="T8" s="98">
        <f>Tabla14[[#This Row],[KM ACTUAL]]</f>
        <v>1536501</v>
      </c>
      <c r="U8" s="92">
        <f>Tabla14[[#This Row],[F. KM ACT.]]</f>
        <v>45771</v>
      </c>
      <c r="V8" s="17">
        <v>44891.202380952382</v>
      </c>
      <c r="W8" s="87"/>
      <c r="X8" s="116">
        <v>1494430</v>
      </c>
      <c r="Y8" s="117">
        <v>44548</v>
      </c>
      <c r="Z8" s="117" t="s">
        <v>346</v>
      </c>
      <c r="AA8" s="117" t="s">
        <v>349</v>
      </c>
      <c r="AB8" s="117">
        <v>41982</v>
      </c>
    </row>
    <row r="9" spans="1:28" ht="15" customHeight="1" x14ac:dyDescent="0.25">
      <c r="A9" s="11">
        <v>177</v>
      </c>
      <c r="B9" s="12" t="s">
        <v>0</v>
      </c>
      <c r="C9" s="12" t="s">
        <v>99</v>
      </c>
      <c r="D9" s="15" t="s">
        <v>74</v>
      </c>
      <c r="E9" s="11" t="s">
        <v>266</v>
      </c>
      <c r="F9" s="4">
        <v>1604506</v>
      </c>
      <c r="G9" s="3">
        <v>45581</v>
      </c>
      <c r="H9" s="3" t="s">
        <v>346</v>
      </c>
      <c r="I9" s="3" t="s">
        <v>349</v>
      </c>
      <c r="J9" s="98">
        <f>Tabla145[[#This Row],[KM ACTUAL]]-Tabla145[[#This Row],[KM ULTIMA INSTALACIÓN]]</f>
        <v>6648</v>
      </c>
      <c r="K9" s="92" t="str">
        <f t="shared" ca="1" si="0"/>
        <v xml:space="preserve">0 Años 7 Meses 25 Días </v>
      </c>
      <c r="L9" s="98">
        <f ca="1">DATEDIF(Tabla145[[#This Row],[FECHA ULTIMA INSTALACIÓN]],$V$1,"y")</f>
        <v>0</v>
      </c>
      <c r="M9" s="15">
        <f ca="1">DATEDIF(Tabla145[[#This Row],[FECHA ULTIMA INSTALACIÓN]],$V$1,"ym")</f>
        <v>7</v>
      </c>
      <c r="N9" s="98">
        <f ca="1">DATEDIF(Tabla145[[#This Row],[FECHA ULTIMA INSTALACIÓN]],$V$1,"md")</f>
        <v>25</v>
      </c>
      <c r="O9" s="4">
        <v>1544640</v>
      </c>
      <c r="P9" s="3">
        <v>44547</v>
      </c>
      <c r="Q9" s="3" t="s">
        <v>346</v>
      </c>
      <c r="R9" s="3" t="s">
        <v>349</v>
      </c>
      <c r="S9" s="98">
        <v>59866</v>
      </c>
      <c r="T9" s="98">
        <f>Tabla14[[#This Row],[KM ACTUAL]]</f>
        <v>1611154</v>
      </c>
      <c r="U9" s="92">
        <f>Tabla14[[#This Row],[F. KM ACT.]]</f>
        <v>45771</v>
      </c>
      <c r="V9" s="17">
        <v>45096.109330045212</v>
      </c>
      <c r="W9" s="104"/>
    </row>
    <row r="10" spans="1:28" ht="15" customHeight="1" x14ac:dyDescent="0.25">
      <c r="A10" s="11">
        <v>178</v>
      </c>
      <c r="B10" s="12" t="s">
        <v>0</v>
      </c>
      <c r="C10" s="12" t="s">
        <v>99</v>
      </c>
      <c r="D10" s="15" t="s">
        <v>74</v>
      </c>
      <c r="E10" s="11" t="s">
        <v>267</v>
      </c>
      <c r="F10" s="4">
        <v>522414</v>
      </c>
      <c r="G10" s="3">
        <v>45106</v>
      </c>
      <c r="H10" s="3" t="s">
        <v>346</v>
      </c>
      <c r="I10" s="3" t="s">
        <v>345</v>
      </c>
      <c r="J10" s="98">
        <f>Tabla145[[#This Row],[KM ACTUAL]]-Tabla145[[#This Row],[KM ULTIMA INSTALACIÓN]]</f>
        <v>136183</v>
      </c>
      <c r="K10" s="92" t="str">
        <f t="shared" ca="1" si="0"/>
        <v xml:space="preserve">1 Años 11 Meses 12 Días </v>
      </c>
      <c r="L10" s="98">
        <f ca="1">DATEDIF(Tabla145[[#This Row],[FECHA ULTIMA INSTALACIÓN]],$V$1,"y")</f>
        <v>1</v>
      </c>
      <c r="M10" s="15">
        <f ca="1">DATEDIF(Tabla145[[#This Row],[FECHA ULTIMA INSTALACIÓN]],$V$1,"ym")</f>
        <v>11</v>
      </c>
      <c r="N10" s="98">
        <f ca="1">DATEDIF(Tabla145[[#This Row],[FECHA ULTIMA INSTALACIÓN]],$V$1,"md")</f>
        <v>12</v>
      </c>
      <c r="O10" s="4">
        <v>425571</v>
      </c>
      <c r="P10" s="3">
        <v>44195</v>
      </c>
      <c r="Q10" s="3" t="s">
        <v>346</v>
      </c>
      <c r="R10" s="3" t="s">
        <v>349</v>
      </c>
      <c r="S10" s="98">
        <v>96843</v>
      </c>
      <c r="T10" s="98">
        <f>Tabla14[[#This Row],[KM ACTUAL]]</f>
        <v>658597</v>
      </c>
      <c r="U10" s="92">
        <f>Tabla14[[#This Row],[F. KM ACT.]]</f>
        <v>45771</v>
      </c>
      <c r="V10" s="17">
        <v>0</v>
      </c>
      <c r="W10" s="104"/>
    </row>
    <row r="11" spans="1:28" ht="15" customHeight="1" x14ac:dyDescent="0.25">
      <c r="A11" s="11">
        <v>179</v>
      </c>
      <c r="B11" s="12" t="s">
        <v>0</v>
      </c>
      <c r="C11" s="12" t="s">
        <v>99</v>
      </c>
      <c r="D11" s="15" t="s">
        <v>74</v>
      </c>
      <c r="E11" s="11" t="s">
        <v>268</v>
      </c>
      <c r="F11" s="4">
        <v>748551</v>
      </c>
      <c r="G11" s="3">
        <v>45565</v>
      </c>
      <c r="H11" s="3" t="s">
        <v>346</v>
      </c>
      <c r="I11" s="3" t="s">
        <v>349</v>
      </c>
      <c r="J11" s="98">
        <f>Tabla145[[#This Row],[KM ACTUAL]]-Tabla145[[#This Row],[KM ULTIMA INSTALACIÓN]]</f>
        <v>64883</v>
      </c>
      <c r="K11" s="92" t="str">
        <f t="shared" ca="1" si="0"/>
        <v xml:space="preserve">0 Años 8 Meses 11 Días </v>
      </c>
      <c r="L11" s="98">
        <f ca="1">DATEDIF(Tabla145[[#This Row],[FECHA ULTIMA INSTALACIÓN]],$V$1,"y")</f>
        <v>0</v>
      </c>
      <c r="M11" s="15">
        <f ca="1">DATEDIF(Tabla145[[#This Row],[FECHA ULTIMA INSTALACIÓN]],$V$1,"ym")</f>
        <v>8</v>
      </c>
      <c r="N11" s="98">
        <f ca="1">DATEDIF(Tabla145[[#This Row],[FECHA ULTIMA INSTALACIÓN]],$V$1,"md")</f>
        <v>11</v>
      </c>
      <c r="O11" s="4">
        <v>590822</v>
      </c>
      <c r="P11" s="3">
        <v>44587</v>
      </c>
      <c r="Q11" s="3" t="s">
        <v>346</v>
      </c>
      <c r="R11" s="3" t="s">
        <v>349</v>
      </c>
      <c r="S11" s="98">
        <v>18103</v>
      </c>
      <c r="T11" s="98">
        <f>Tabla14[[#This Row],[KM ACTUAL]]</f>
        <v>813434</v>
      </c>
      <c r="U11" s="92">
        <f>Tabla14[[#This Row],[F. KM ACT.]]</f>
        <v>45771</v>
      </c>
      <c r="V11" s="17">
        <v>44890.342233382871</v>
      </c>
      <c r="W11" s="104" t="s">
        <v>416</v>
      </c>
    </row>
    <row r="12" spans="1:28" ht="15" customHeight="1" x14ac:dyDescent="0.25">
      <c r="A12" s="11">
        <v>186</v>
      </c>
      <c r="B12" s="12" t="s">
        <v>0</v>
      </c>
      <c r="C12" s="12" t="s">
        <v>99</v>
      </c>
      <c r="D12" s="15" t="s">
        <v>74</v>
      </c>
      <c r="E12" s="11" t="s">
        <v>269</v>
      </c>
      <c r="F12" s="4">
        <v>498968</v>
      </c>
      <c r="G12" s="3">
        <v>44665</v>
      </c>
      <c r="H12" s="3" t="s">
        <v>346</v>
      </c>
      <c r="I12" s="3" t="s">
        <v>349</v>
      </c>
      <c r="J12" s="98">
        <f>Tabla145[[#This Row],[KM ACTUAL]]-Tabla145[[#This Row],[KM ULTIMA INSTALACIÓN]]</f>
        <v>39796</v>
      </c>
      <c r="K12" s="92" t="str">
        <f t="shared" ca="1" si="0"/>
        <v xml:space="preserve">3 Años 1 Meses 27 Días </v>
      </c>
      <c r="L12" s="98">
        <f ca="1">DATEDIF(Tabla145[[#This Row],[FECHA ULTIMA INSTALACIÓN]],$V$1,"y")</f>
        <v>3</v>
      </c>
      <c r="M12" s="15">
        <f ca="1">DATEDIF(Tabla145[[#This Row],[FECHA ULTIMA INSTALACIÓN]],$V$1,"ym")</f>
        <v>1</v>
      </c>
      <c r="N12" s="98">
        <f ca="1">DATEDIF(Tabla145[[#This Row],[FECHA ULTIMA INSTALACIÓN]],$V$1,"md")</f>
        <v>27</v>
      </c>
      <c r="O12" s="92"/>
      <c r="P12" s="98"/>
      <c r="Q12" s="15"/>
      <c r="R12" s="15"/>
      <c r="S12" s="15"/>
      <c r="T12" s="98">
        <f>Tabla14[[#This Row],[KM ACTUAL]]</f>
        <v>538764</v>
      </c>
      <c r="U12" s="92">
        <f>Tabla14[[#This Row],[F. KM ACT.]]</f>
        <v>45771</v>
      </c>
      <c r="V12" s="17">
        <v>45040.417010054392</v>
      </c>
      <c r="W12" s="104"/>
    </row>
    <row r="13" spans="1:28" ht="15" customHeight="1" x14ac:dyDescent="0.25">
      <c r="A13" s="11">
        <v>188</v>
      </c>
      <c r="B13" s="12" t="s">
        <v>0</v>
      </c>
      <c r="C13" s="12" t="s">
        <v>99</v>
      </c>
      <c r="D13" s="15" t="s">
        <v>74</v>
      </c>
      <c r="E13" s="11" t="s">
        <v>270</v>
      </c>
      <c r="F13" s="4"/>
      <c r="G13" s="3"/>
      <c r="H13" s="3" t="s">
        <v>346</v>
      </c>
      <c r="I13" s="3" t="s">
        <v>368</v>
      </c>
      <c r="J13" s="98">
        <f>Tabla145[[#This Row],[KM ACTUAL]]-Tabla145[[#This Row],[KM ULTIMA INSTALACIÓN]]</f>
        <v>330518</v>
      </c>
      <c r="K13" s="92" t="str">
        <f t="shared" ca="1" si="0"/>
        <v xml:space="preserve">125 Años 5 Meses 10 Días </v>
      </c>
      <c r="L13" s="98">
        <f ca="1">DATEDIF(Tabla145[[#This Row],[FECHA ULTIMA INSTALACIÓN]],$V$1,"y")</f>
        <v>125</v>
      </c>
      <c r="M13" s="15">
        <f ca="1">DATEDIF(Tabla145[[#This Row],[FECHA ULTIMA INSTALACIÓN]],$V$1,"ym")</f>
        <v>5</v>
      </c>
      <c r="N13" s="98">
        <f ca="1">DATEDIF(Tabla145[[#This Row],[FECHA ULTIMA INSTALACIÓN]],$V$1,"md")</f>
        <v>10</v>
      </c>
      <c r="O13" s="92"/>
      <c r="P13" s="98"/>
      <c r="Q13" s="15"/>
      <c r="R13" s="15"/>
      <c r="S13" s="15"/>
      <c r="T13" s="98">
        <f>Tabla14[[#This Row],[KM ACTUAL]]</f>
        <v>330518</v>
      </c>
      <c r="U13" s="92">
        <f>Tabla14[[#This Row],[F. KM ACT.]]</f>
        <v>45771</v>
      </c>
      <c r="V13" s="17">
        <v>53981.562348765932</v>
      </c>
      <c r="W13" s="104" t="s">
        <v>372</v>
      </c>
    </row>
    <row r="14" spans="1:28" ht="15" customHeight="1" x14ac:dyDescent="0.25">
      <c r="A14" s="11">
        <v>189</v>
      </c>
      <c r="B14" s="12" t="s">
        <v>0</v>
      </c>
      <c r="C14" s="12" t="s">
        <v>99</v>
      </c>
      <c r="D14" s="15" t="s">
        <v>74</v>
      </c>
      <c r="E14" s="11" t="s">
        <v>271</v>
      </c>
      <c r="F14" s="4">
        <v>354917</v>
      </c>
      <c r="G14" s="3">
        <v>44351</v>
      </c>
      <c r="H14" s="3" t="s">
        <v>355</v>
      </c>
      <c r="I14" s="3" t="s">
        <v>354</v>
      </c>
      <c r="J14" s="98">
        <f>Tabla145[[#This Row],[KM ACTUAL]]-Tabla145[[#This Row],[KM ULTIMA INSTALACIÓN]]</f>
        <v>175</v>
      </c>
      <c r="K14" s="92" t="str">
        <f t="shared" ca="1" si="0"/>
        <v xml:space="preserve">4 Años 0 Meses 6 Días </v>
      </c>
      <c r="L14" s="98">
        <f ca="1">DATEDIF(Tabla145[[#This Row],[FECHA ULTIMA INSTALACIÓN]],$V$1,"y")</f>
        <v>4</v>
      </c>
      <c r="M14" s="15">
        <f ca="1">DATEDIF(Tabla145[[#This Row],[FECHA ULTIMA INSTALACIÓN]],$V$1,"ym")</f>
        <v>0</v>
      </c>
      <c r="N14" s="98">
        <f ca="1">DATEDIF(Tabla145[[#This Row],[FECHA ULTIMA INSTALACIÓN]],$V$1,"md")</f>
        <v>6</v>
      </c>
      <c r="O14" s="92"/>
      <c r="P14" s="98"/>
      <c r="Q14" s="15"/>
      <c r="R14" s="15"/>
      <c r="S14" s="15"/>
      <c r="T14" s="98">
        <f>Tabla14[[#This Row],[KM ACTUAL]]</f>
        <v>355092</v>
      </c>
      <c r="U14" s="92">
        <f>Tabla14[[#This Row],[F. KM ACT.]]</f>
        <v>45771</v>
      </c>
      <c r="V14" s="17">
        <v>51911.184035476719</v>
      </c>
      <c r="W14" s="104"/>
    </row>
    <row r="15" spans="1:28" ht="15" customHeight="1" x14ac:dyDescent="0.25">
      <c r="A15" s="11">
        <v>275</v>
      </c>
      <c r="B15" s="12" t="s">
        <v>0</v>
      </c>
      <c r="C15" s="12" t="s">
        <v>99</v>
      </c>
      <c r="D15" s="15" t="s">
        <v>74</v>
      </c>
      <c r="E15" s="11" t="s">
        <v>272</v>
      </c>
      <c r="F15" s="4">
        <v>463979</v>
      </c>
      <c r="G15" s="3">
        <v>44463</v>
      </c>
      <c r="H15" s="3" t="s">
        <v>346</v>
      </c>
      <c r="I15" s="3" t="s">
        <v>349</v>
      </c>
      <c r="J15" s="98">
        <f>Tabla145[[#This Row],[KM ACTUAL]]-Tabla145[[#This Row],[KM ULTIMA INSTALACIÓN]]</f>
        <v>57409</v>
      </c>
      <c r="K15" s="92" t="str">
        <f t="shared" ca="1" si="0"/>
        <v xml:space="preserve">3 Años 8 Meses 17 Días </v>
      </c>
      <c r="L15" s="98">
        <f ca="1">DATEDIF(Tabla145[[#This Row],[FECHA ULTIMA INSTALACIÓN]],$V$1,"y")</f>
        <v>3</v>
      </c>
      <c r="M15" s="15">
        <f ca="1">DATEDIF(Tabla145[[#This Row],[FECHA ULTIMA INSTALACIÓN]],$V$1,"ym")</f>
        <v>8</v>
      </c>
      <c r="N15" s="98">
        <f ca="1">DATEDIF(Tabla145[[#This Row],[FECHA ULTIMA INSTALACIÓN]],$V$1,"md")</f>
        <v>17</v>
      </c>
      <c r="O15" s="92"/>
      <c r="P15" s="98"/>
      <c r="Q15" s="15"/>
      <c r="R15" s="15"/>
      <c r="S15" s="15"/>
      <c r="T15" s="98">
        <f>Tabla14[[#This Row],[KM ACTUAL]]</f>
        <v>521388</v>
      </c>
      <c r="U15" s="92">
        <f>Tabla14[[#This Row],[F. KM ACT.]]</f>
        <v>45769</v>
      </c>
      <c r="V15" s="17">
        <v>44980.441032747432</v>
      </c>
      <c r="W15" s="104"/>
    </row>
    <row r="16" spans="1:28" ht="15" customHeight="1" x14ac:dyDescent="0.25">
      <c r="A16" s="11">
        <v>276</v>
      </c>
      <c r="B16" s="12" t="s">
        <v>0</v>
      </c>
      <c r="C16" s="12" t="s">
        <v>99</v>
      </c>
      <c r="D16" s="15" t="s">
        <v>74</v>
      </c>
      <c r="E16" s="11" t="s">
        <v>273</v>
      </c>
      <c r="F16" s="4">
        <v>481753</v>
      </c>
      <c r="G16" s="3">
        <v>45643</v>
      </c>
      <c r="H16" s="3" t="s">
        <v>370</v>
      </c>
      <c r="I16" s="3" t="s">
        <v>351</v>
      </c>
      <c r="J16" s="98">
        <f>Tabla145[[#This Row],[KM ACTUAL]]-Tabla145[[#This Row],[KM ULTIMA INSTALACIÓN]]</f>
        <v>242</v>
      </c>
      <c r="K16" s="92" t="str">
        <f t="shared" ca="1" si="0"/>
        <v xml:space="preserve">0 Años 5 Meses 24 Días </v>
      </c>
      <c r="L16" s="98">
        <f ca="1">DATEDIF(Tabla145[[#This Row],[FECHA ULTIMA INSTALACIÓN]],$V$1,"y")</f>
        <v>0</v>
      </c>
      <c r="M16" s="15">
        <f ca="1">DATEDIF(Tabla145[[#This Row],[FECHA ULTIMA INSTALACIÓN]],$V$1,"ym")</f>
        <v>5</v>
      </c>
      <c r="N16" s="98">
        <f ca="1">DATEDIF(Tabla145[[#This Row],[FECHA ULTIMA INSTALACIÓN]],$V$1,"md")</f>
        <v>24</v>
      </c>
      <c r="O16" s="4">
        <v>345918</v>
      </c>
      <c r="P16" s="3">
        <v>43187</v>
      </c>
      <c r="Q16" s="3" t="s">
        <v>370</v>
      </c>
      <c r="R16" s="3" t="s">
        <v>351</v>
      </c>
      <c r="S16" s="98">
        <v>106864</v>
      </c>
      <c r="T16" s="98">
        <f>Tabla14[[#This Row],[KM ACTUAL]]</f>
        <v>481995</v>
      </c>
      <c r="U16" s="92">
        <f>Tabla14[[#This Row],[F. KM ACT.]]</f>
        <v>45771</v>
      </c>
      <c r="V16" s="17">
        <v>44848.732216850825</v>
      </c>
      <c r="W16" s="104"/>
    </row>
    <row r="17" spans="1:42" ht="15" customHeight="1" x14ac:dyDescent="0.25">
      <c r="A17" s="11">
        <v>377</v>
      </c>
      <c r="B17" s="12" t="s">
        <v>0</v>
      </c>
      <c r="C17" s="12" t="s">
        <v>99</v>
      </c>
      <c r="D17" s="15" t="s">
        <v>75</v>
      </c>
      <c r="E17" s="11" t="s">
        <v>274</v>
      </c>
      <c r="F17" s="4">
        <v>335288</v>
      </c>
      <c r="G17" s="3">
        <v>44924</v>
      </c>
      <c r="H17" s="3" t="s">
        <v>346</v>
      </c>
      <c r="I17" s="3" t="s">
        <v>349</v>
      </c>
      <c r="J17" s="98">
        <f>Tabla145[[#This Row],[KM ACTUAL]]-Tabla145[[#This Row],[KM ULTIMA INSTALACIÓN]]</f>
        <v>241189</v>
      </c>
      <c r="K17" s="92" t="str">
        <f t="shared" ca="1" si="0"/>
        <v xml:space="preserve">2 Años 5 Meses 12 Días </v>
      </c>
      <c r="L17" s="98">
        <f ca="1">DATEDIF(Tabla145[[#This Row],[FECHA ULTIMA INSTALACIÓN]],$V$1,"y")</f>
        <v>2</v>
      </c>
      <c r="M17" s="15">
        <f ca="1">DATEDIF(Tabla145[[#This Row],[FECHA ULTIMA INSTALACIÓN]],$V$1,"ym")</f>
        <v>5</v>
      </c>
      <c r="N17" s="98">
        <f ca="1">DATEDIF(Tabla145[[#This Row],[FECHA ULTIMA INSTALACIÓN]],$V$1,"md")</f>
        <v>12</v>
      </c>
      <c r="O17" s="4">
        <v>242058</v>
      </c>
      <c r="P17" s="3">
        <v>44566</v>
      </c>
      <c r="Q17" s="3" t="s">
        <v>346</v>
      </c>
      <c r="R17" s="3" t="s">
        <v>349</v>
      </c>
      <c r="S17" s="98">
        <f>Tabla145[[#This Row],[KM ULTIMA INSTALACIÓN]]-Tabla145[[#This Row],[KM CAMBIO ANTERIOR]]</f>
        <v>93230</v>
      </c>
      <c r="T17" s="98">
        <f>Tabla14[[#This Row],[KM ACTUAL]]</f>
        <v>576477</v>
      </c>
      <c r="U17" s="92">
        <f>Tabla14[[#This Row],[F. KM ACT.]]</f>
        <v>45771</v>
      </c>
      <c r="V17" s="17">
        <v>44843.836879432623</v>
      </c>
      <c r="W17" s="104" t="s">
        <v>402</v>
      </c>
    </row>
    <row r="18" spans="1:42" ht="15" customHeight="1" x14ac:dyDescent="0.25">
      <c r="A18" s="11">
        <v>378</v>
      </c>
      <c r="B18" s="12" t="s">
        <v>0</v>
      </c>
      <c r="C18" s="12" t="s">
        <v>99</v>
      </c>
      <c r="D18" s="15" t="s">
        <v>75</v>
      </c>
      <c r="E18" s="11" t="s">
        <v>275</v>
      </c>
      <c r="F18" s="4">
        <v>395348</v>
      </c>
      <c r="G18" s="3">
        <v>44995</v>
      </c>
      <c r="H18" s="3" t="s">
        <v>346</v>
      </c>
      <c r="I18" s="3" t="s">
        <v>411</v>
      </c>
      <c r="J18" s="98">
        <f>Tabla145[[#This Row],[KM ACTUAL]]-Tabla145[[#This Row],[KM ULTIMA INSTALACIÓN]]</f>
        <v>85723</v>
      </c>
      <c r="K18" s="92" t="str">
        <f t="shared" ca="1" si="0"/>
        <v xml:space="preserve">2 Años 3 Meses 0 Días </v>
      </c>
      <c r="L18" s="98">
        <f ca="1">DATEDIF(Tabla145[[#This Row],[FECHA ULTIMA INSTALACIÓN]],$V$1,"y")</f>
        <v>2</v>
      </c>
      <c r="M18" s="15">
        <f ca="1">DATEDIF(Tabla145[[#This Row],[FECHA ULTIMA INSTALACIÓN]],$V$1,"ym")</f>
        <v>3</v>
      </c>
      <c r="N18" s="98">
        <f ca="1">DATEDIF(Tabla145[[#This Row],[FECHA ULTIMA INSTALACIÓN]],$V$1,"md")</f>
        <v>0</v>
      </c>
      <c r="O18" s="4">
        <v>305860</v>
      </c>
      <c r="P18" s="3">
        <v>44386</v>
      </c>
      <c r="Q18" s="3" t="s">
        <v>346</v>
      </c>
      <c r="R18" s="3" t="s">
        <v>349</v>
      </c>
      <c r="S18" s="98">
        <v>89488</v>
      </c>
      <c r="T18" s="98">
        <f>Tabla14[[#This Row],[KM ACTUAL]]</f>
        <v>481071</v>
      </c>
      <c r="U18" s="92">
        <f>Tabla14[[#This Row],[F. KM ACT.]]</f>
        <v>45771</v>
      </c>
      <c r="V18" s="17">
        <v>44881.971683032658</v>
      </c>
      <c r="W18" s="104"/>
    </row>
    <row r="19" spans="1:42" ht="15" customHeight="1" x14ac:dyDescent="0.25">
      <c r="A19" s="11">
        <v>379</v>
      </c>
      <c r="B19" s="12" t="s">
        <v>0</v>
      </c>
      <c r="C19" s="12" t="s">
        <v>99</v>
      </c>
      <c r="D19" s="15" t="s">
        <v>75</v>
      </c>
      <c r="E19" s="11" t="s">
        <v>276</v>
      </c>
      <c r="F19" s="30">
        <v>437165</v>
      </c>
      <c r="G19" s="3">
        <v>45422</v>
      </c>
      <c r="H19" s="3" t="s">
        <v>471</v>
      </c>
      <c r="I19" s="3" t="s">
        <v>411</v>
      </c>
      <c r="J19" s="98">
        <f>Tabla145[[#This Row],[KM ACTUAL]]-Tabla145[[#This Row],[KM ULTIMA INSTALACIÓN]]</f>
        <v>40703</v>
      </c>
      <c r="K19" s="92" t="str">
        <f t="shared" ca="1" si="0"/>
        <v xml:space="preserve">1 Años 1 Meses 0 Días </v>
      </c>
      <c r="L19" s="98">
        <f ca="1">DATEDIF(Tabla145[[#This Row],[FECHA ULTIMA INSTALACIÓN]],$V$1,"y")</f>
        <v>1</v>
      </c>
      <c r="M19" s="15">
        <f ca="1">DATEDIF(Tabla145[[#This Row],[FECHA ULTIMA INSTALACIÓN]],$V$1,"ym")</f>
        <v>1</v>
      </c>
      <c r="N19" s="98">
        <f ca="1">DATEDIF(Tabla145[[#This Row],[FECHA ULTIMA INSTALACIÓN]],$V$1,"md")</f>
        <v>0</v>
      </c>
      <c r="O19" s="30">
        <v>437165</v>
      </c>
      <c r="P19" s="3">
        <v>45422</v>
      </c>
      <c r="Q19" s="3" t="s">
        <v>471</v>
      </c>
      <c r="R19" s="3" t="s">
        <v>411</v>
      </c>
      <c r="S19" s="15">
        <v>34488</v>
      </c>
      <c r="T19" s="98">
        <f>Tabla14[[#This Row],[KM ACTUAL]]</f>
        <v>477868</v>
      </c>
      <c r="U19" s="92">
        <f>Tabla14[[#This Row],[F. KM ACT.]]</f>
        <v>45771</v>
      </c>
      <c r="V19" s="17">
        <v>44859.901011073664</v>
      </c>
      <c r="W19" s="141" t="s">
        <v>415</v>
      </c>
      <c r="X19" s="116">
        <v>374461</v>
      </c>
      <c r="Y19" s="117">
        <v>44966</v>
      </c>
      <c r="Z19" s="117" t="s">
        <v>346</v>
      </c>
      <c r="AA19" s="117" t="s">
        <v>349</v>
      </c>
      <c r="AB19" s="116">
        <v>31808</v>
      </c>
      <c r="AC19" s="116">
        <v>402269</v>
      </c>
      <c r="AD19" s="117">
        <v>45168</v>
      </c>
      <c r="AE19" s="117" t="s">
        <v>346</v>
      </c>
      <c r="AF19" s="117" t="s">
        <v>345</v>
      </c>
      <c r="AG19" s="116">
        <v>18957</v>
      </c>
      <c r="AH19" s="116">
        <v>402269</v>
      </c>
      <c r="AI19" s="117">
        <v>45168</v>
      </c>
      <c r="AJ19" s="117" t="s">
        <v>346</v>
      </c>
      <c r="AK19" s="117" t="s">
        <v>345</v>
      </c>
      <c r="AL19" s="116">
        <v>18957</v>
      </c>
      <c r="AM19" s="116">
        <v>420918</v>
      </c>
      <c r="AN19" s="117">
        <v>45287</v>
      </c>
      <c r="AO19" s="117" t="s">
        <v>355</v>
      </c>
      <c r="AP19" s="117" t="s">
        <v>411</v>
      </c>
    </row>
    <row r="20" spans="1:42" ht="15" customHeight="1" x14ac:dyDescent="0.25">
      <c r="A20" s="11">
        <v>380</v>
      </c>
      <c r="B20" s="12" t="s">
        <v>0</v>
      </c>
      <c r="C20" s="12" t="s">
        <v>99</v>
      </c>
      <c r="D20" s="15" t="s">
        <v>75</v>
      </c>
      <c r="E20" s="11" t="s">
        <v>277</v>
      </c>
      <c r="F20" s="4">
        <v>647838</v>
      </c>
      <c r="G20" s="3">
        <v>45071</v>
      </c>
      <c r="H20" s="3" t="s">
        <v>346</v>
      </c>
      <c r="I20" s="3" t="s">
        <v>411</v>
      </c>
      <c r="J20" s="98">
        <f>Tabla145[[#This Row],[KM ACTUAL]]-Tabla145[[#This Row],[KM ULTIMA INSTALACIÓN]]</f>
        <v>67840</v>
      </c>
      <c r="K20" s="92" t="str">
        <f t="shared" ca="1" si="0"/>
        <v xml:space="preserve">2 Años 0 Meses 16 Días </v>
      </c>
      <c r="L20" s="98">
        <f ca="1">DATEDIF(Tabla145[[#This Row],[FECHA ULTIMA INSTALACIÓN]],$V$1,"y")</f>
        <v>2</v>
      </c>
      <c r="M20" s="15">
        <f ca="1">DATEDIF(Tabla145[[#This Row],[FECHA ULTIMA INSTALACIÓN]],$V$1,"ym")</f>
        <v>0</v>
      </c>
      <c r="N20" s="98">
        <f ca="1">DATEDIF(Tabla145[[#This Row],[FECHA ULTIMA INSTALACIÓN]],$V$1,"md")</f>
        <v>16</v>
      </c>
      <c r="O20" s="4">
        <v>522710</v>
      </c>
      <c r="P20" s="3">
        <v>45071</v>
      </c>
      <c r="Q20" s="3" t="s">
        <v>346</v>
      </c>
      <c r="R20" s="3" t="s">
        <v>411</v>
      </c>
      <c r="S20" s="98">
        <v>125128</v>
      </c>
      <c r="T20" s="98">
        <f>Tabla14[[#This Row],[KM ACTUAL]]</f>
        <v>715678</v>
      </c>
      <c r="U20" s="92">
        <f>Tabla14[[#This Row],[F. KM ACT.]]</f>
        <v>45771</v>
      </c>
      <c r="V20" s="17">
        <v>44808.993041749505</v>
      </c>
      <c r="W20" s="104" t="s">
        <v>371</v>
      </c>
      <c r="X20" s="116">
        <v>330542</v>
      </c>
      <c r="Y20" s="117">
        <v>44443</v>
      </c>
      <c r="Z20" s="117" t="s">
        <v>346</v>
      </c>
      <c r="AA20" s="117" t="s">
        <v>349</v>
      </c>
      <c r="AB20" s="116">
        <v>38368</v>
      </c>
    </row>
    <row r="21" spans="1:42" ht="15" customHeight="1" x14ac:dyDescent="0.25">
      <c r="A21" s="11">
        <v>381</v>
      </c>
      <c r="B21" s="12" t="s">
        <v>0</v>
      </c>
      <c r="C21" s="12" t="s">
        <v>99</v>
      </c>
      <c r="D21" s="15" t="s">
        <v>75</v>
      </c>
      <c r="E21" s="11" t="s">
        <v>278</v>
      </c>
      <c r="F21" s="4">
        <v>660047</v>
      </c>
      <c r="G21" s="4">
        <v>45625</v>
      </c>
      <c r="H21" s="3" t="s">
        <v>458</v>
      </c>
      <c r="I21" s="3" t="s">
        <v>345</v>
      </c>
      <c r="J21" s="98">
        <f>Tabla145[[#This Row],[KM ACTUAL]]-Tabla145[[#This Row],[KM ULTIMA INSTALACIÓN]]</f>
        <v>41868</v>
      </c>
      <c r="K21" s="92" t="str">
        <f t="shared" ca="1" si="0"/>
        <v xml:space="preserve">0 Años 6 Meses 12 Días </v>
      </c>
      <c r="L21" s="98">
        <f ca="1">DATEDIF(Tabla145[[#This Row],[FECHA ULTIMA INSTALACIÓN]],$V$1,"y")</f>
        <v>0</v>
      </c>
      <c r="M21" s="15">
        <f ca="1">DATEDIF(Tabla145[[#This Row],[FECHA ULTIMA INSTALACIÓN]],$V$1,"ym")</f>
        <v>6</v>
      </c>
      <c r="N21" s="98">
        <f ca="1">DATEDIF(Tabla145[[#This Row],[FECHA ULTIMA INSTALACIÓN]],$V$1,"md")</f>
        <v>12</v>
      </c>
      <c r="O21" s="4">
        <v>559961</v>
      </c>
      <c r="P21" s="3">
        <v>45495</v>
      </c>
      <c r="Q21" s="3" t="s">
        <v>355</v>
      </c>
      <c r="R21" s="3" t="s">
        <v>345</v>
      </c>
      <c r="S21" s="15">
        <v>185997</v>
      </c>
      <c r="T21" s="98">
        <f>Tabla14[[#This Row],[KM ACTUAL]]</f>
        <v>701915</v>
      </c>
      <c r="U21" s="92">
        <f>Tabla14[[#This Row],[F. KM ACT.]]</f>
        <v>45771</v>
      </c>
      <c r="V21" s="17">
        <v>44831.788509575352</v>
      </c>
      <c r="W21" s="104"/>
      <c r="X21" s="116">
        <v>380826</v>
      </c>
      <c r="Y21" s="117">
        <v>44986</v>
      </c>
      <c r="Z21" s="117" t="s">
        <v>346</v>
      </c>
      <c r="AA21" s="117" t="s">
        <v>349</v>
      </c>
      <c r="AB21" s="116">
        <v>185997</v>
      </c>
      <c r="AC21" s="116">
        <v>661522</v>
      </c>
    </row>
    <row r="22" spans="1:42" ht="15" customHeight="1" x14ac:dyDescent="0.25">
      <c r="A22" s="11">
        <v>382</v>
      </c>
      <c r="B22" s="12" t="s">
        <v>0</v>
      </c>
      <c r="C22" s="12" t="s">
        <v>99</v>
      </c>
      <c r="D22" s="15" t="s">
        <v>75</v>
      </c>
      <c r="E22" s="11" t="s">
        <v>279</v>
      </c>
      <c r="F22" s="4">
        <v>496205</v>
      </c>
      <c r="G22" s="3">
        <v>45125</v>
      </c>
      <c r="H22" s="3" t="s">
        <v>346</v>
      </c>
      <c r="I22" s="3" t="s">
        <v>411</v>
      </c>
      <c r="J22" s="98">
        <f>Tabla145[[#This Row],[KM ACTUAL]]-Tabla145[[#This Row],[KM ULTIMA INSTALACIÓN]]</f>
        <v>208396</v>
      </c>
      <c r="K22" s="92" t="str">
        <f t="shared" ca="1" si="0"/>
        <v xml:space="preserve">1 Años 10 Meses 23 Días </v>
      </c>
      <c r="L22" s="98">
        <f ca="1">DATEDIF(Tabla145[[#This Row],[FECHA ULTIMA INSTALACIÓN]],$V$1,"y")</f>
        <v>1</v>
      </c>
      <c r="M22" s="15">
        <f ca="1">DATEDIF(Tabla145[[#This Row],[FECHA ULTIMA INSTALACIÓN]],$V$1,"ym")</f>
        <v>10</v>
      </c>
      <c r="N22" s="98">
        <f ca="1">DATEDIF(Tabla145[[#This Row],[FECHA ULTIMA INSTALACIÓN]],$V$1,"md")</f>
        <v>23</v>
      </c>
      <c r="O22" s="4">
        <v>200137</v>
      </c>
      <c r="P22" s="3">
        <v>44606</v>
      </c>
      <c r="Q22" s="3" t="s">
        <v>346</v>
      </c>
      <c r="R22" s="3" t="s">
        <v>349</v>
      </c>
      <c r="S22" s="15">
        <v>297058</v>
      </c>
      <c r="T22" s="98">
        <f>Tabla14[[#This Row],[KM ACTUAL]]</f>
        <v>704601</v>
      </c>
      <c r="U22" s="92">
        <f>Tabla14[[#This Row],[F. KM ACT.]]</f>
        <v>45771</v>
      </c>
      <c r="V22" s="17">
        <v>44826.184890656063</v>
      </c>
      <c r="W22" s="104"/>
    </row>
    <row r="23" spans="1:42" ht="15" customHeight="1" x14ac:dyDescent="0.25">
      <c r="A23" s="11">
        <v>383</v>
      </c>
      <c r="B23" s="12" t="s">
        <v>0</v>
      </c>
      <c r="C23" s="12" t="s">
        <v>99</v>
      </c>
      <c r="D23" s="15" t="s">
        <v>75</v>
      </c>
      <c r="E23" s="11" t="s">
        <v>280</v>
      </c>
      <c r="F23" s="4">
        <v>161003</v>
      </c>
      <c r="G23" s="3">
        <v>44506</v>
      </c>
      <c r="H23" s="3" t="s">
        <v>346</v>
      </c>
      <c r="I23" s="3" t="s">
        <v>349</v>
      </c>
      <c r="J23" s="98">
        <f>Tabla145[[#This Row],[KM ACTUAL]]-Tabla145[[#This Row],[KM ULTIMA INSTALACIÓN]]</f>
        <v>692249</v>
      </c>
      <c r="K23" s="92" t="str">
        <f t="shared" ca="1" si="0"/>
        <v xml:space="preserve">3 Años 7 Meses 4 Días </v>
      </c>
      <c r="L23" s="98">
        <f ca="1">DATEDIF(Tabla145[[#This Row],[FECHA ULTIMA INSTALACIÓN]],$V$1,"y")</f>
        <v>3</v>
      </c>
      <c r="M23" s="15">
        <f ca="1">DATEDIF(Tabla145[[#This Row],[FECHA ULTIMA INSTALACIÓN]],$V$1,"ym")</f>
        <v>7</v>
      </c>
      <c r="N23" s="98">
        <f ca="1">DATEDIF(Tabla145[[#This Row],[FECHA ULTIMA INSTALACIÓN]],$V$1,"md")</f>
        <v>4</v>
      </c>
      <c r="O23" s="92"/>
      <c r="P23" s="98"/>
      <c r="Q23" s="15"/>
      <c r="R23" s="15"/>
      <c r="S23" s="15"/>
      <c r="T23" s="98">
        <f>Tabla14[[#This Row],[KM ACTUAL]]</f>
        <v>853252</v>
      </c>
      <c r="U23" s="92">
        <f>Tabla14[[#This Row],[F. KM ACT.]]</f>
        <v>45771</v>
      </c>
      <c r="V23" s="17">
        <v>0</v>
      </c>
      <c r="W23" s="104"/>
    </row>
    <row r="24" spans="1:42" ht="15" customHeight="1" x14ac:dyDescent="0.25">
      <c r="A24" s="11">
        <v>384</v>
      </c>
      <c r="B24" s="12" t="s">
        <v>0</v>
      </c>
      <c r="C24" s="12" t="s">
        <v>99</v>
      </c>
      <c r="D24" s="15" t="s">
        <v>75</v>
      </c>
      <c r="E24" s="11" t="s">
        <v>281</v>
      </c>
      <c r="F24" s="4">
        <v>511600</v>
      </c>
      <c r="G24" s="3">
        <v>45563</v>
      </c>
      <c r="H24" s="3" t="s">
        <v>346</v>
      </c>
      <c r="I24" s="3" t="s">
        <v>349</v>
      </c>
      <c r="J24" s="98">
        <f>Tabla145[[#This Row],[KM ACTUAL]]-Tabla145[[#This Row],[KM ULTIMA INSTALACIÓN]]</f>
        <v>119721</v>
      </c>
      <c r="K24" s="92" t="str">
        <f t="shared" ca="1" si="0"/>
        <v xml:space="preserve">0 Años 8 Meses 13 Días </v>
      </c>
      <c r="L24" s="98">
        <f ca="1">DATEDIF(Tabla145[[#This Row],[FECHA ULTIMA INSTALACIÓN]],$V$1,"y")</f>
        <v>0</v>
      </c>
      <c r="M24" s="15">
        <f ca="1">DATEDIF(Tabla145[[#This Row],[FECHA ULTIMA INSTALACIÓN]],$V$1,"ym")</f>
        <v>8</v>
      </c>
      <c r="N24" s="98">
        <f ca="1">DATEDIF(Tabla145[[#This Row],[FECHA ULTIMA INSTALACIÓN]],$V$1,"md")</f>
        <v>13</v>
      </c>
      <c r="O24" s="92"/>
      <c r="P24" s="98"/>
      <c r="Q24" s="15"/>
      <c r="R24" s="15"/>
      <c r="S24" s="15"/>
      <c r="T24" s="98">
        <f>Tabla14[[#This Row],[KM ACTUAL]]</f>
        <v>631321</v>
      </c>
      <c r="U24" s="92">
        <f>Tabla14[[#This Row],[F. KM ACT.]]</f>
        <v>45771</v>
      </c>
      <c r="V24" s="17">
        <v>44815.672913992297</v>
      </c>
      <c r="W24" s="104"/>
    </row>
    <row r="25" spans="1:42" ht="20.5" customHeight="1" x14ac:dyDescent="0.25">
      <c r="A25" s="11">
        <v>385</v>
      </c>
      <c r="B25" s="12" t="s">
        <v>0</v>
      </c>
      <c r="C25" s="12" t="s">
        <v>99</v>
      </c>
      <c r="D25" s="15" t="s">
        <v>75</v>
      </c>
      <c r="E25" s="11" t="s">
        <v>282</v>
      </c>
      <c r="F25" s="4">
        <v>622443</v>
      </c>
      <c r="G25" s="3">
        <v>45450</v>
      </c>
      <c r="H25" s="3" t="s">
        <v>355</v>
      </c>
      <c r="I25" s="3" t="s">
        <v>349</v>
      </c>
      <c r="J25" s="98">
        <f>Tabla145[[#This Row],[KM ACTUAL]]-Tabla145[[#This Row],[KM ULTIMA INSTALACIÓN]]</f>
        <v>168968</v>
      </c>
      <c r="K25" s="92" t="str">
        <f t="shared" ca="1" si="0"/>
        <v xml:space="preserve">1 Años 0 Meses 3 Días </v>
      </c>
      <c r="L25" s="98">
        <f ca="1">DATEDIF(Tabla145[[#This Row],[FECHA ULTIMA INSTALACIÓN]],$V$1,"y")</f>
        <v>1</v>
      </c>
      <c r="M25" s="15">
        <f ca="1">DATEDIF(Tabla145[[#This Row],[FECHA ULTIMA INSTALACIÓN]],$V$1,"ym")</f>
        <v>0</v>
      </c>
      <c r="N25" s="98">
        <f ca="1">DATEDIF(Tabla145[[#This Row],[FECHA ULTIMA INSTALACIÓN]],$V$1,"md")</f>
        <v>3</v>
      </c>
      <c r="O25" s="4">
        <v>572748</v>
      </c>
      <c r="P25" s="3">
        <v>45356</v>
      </c>
      <c r="Q25" s="3" t="s">
        <v>357</v>
      </c>
      <c r="R25" s="3" t="s">
        <v>349</v>
      </c>
      <c r="S25" s="15">
        <v>49343</v>
      </c>
      <c r="T25" s="98">
        <f>Tabla14[[#This Row],[KM ACTUAL]]</f>
        <v>791411</v>
      </c>
      <c r="U25" s="92">
        <f>Tabla14[[#This Row],[F. KM ACT.]]</f>
        <v>45771</v>
      </c>
      <c r="V25" s="17">
        <v>44834.194685743481</v>
      </c>
      <c r="W25" s="140" t="s">
        <v>432</v>
      </c>
      <c r="X25" s="116">
        <v>118486</v>
      </c>
      <c r="Y25" s="117">
        <v>44481</v>
      </c>
      <c r="Z25" s="117" t="s">
        <v>346</v>
      </c>
      <c r="AA25" s="117" t="s">
        <v>349</v>
      </c>
      <c r="AB25" s="116">
        <v>216989</v>
      </c>
      <c r="AC25" s="116">
        <v>331943</v>
      </c>
      <c r="AD25" s="117">
        <v>44972</v>
      </c>
      <c r="AE25" s="117" t="s">
        <v>346</v>
      </c>
      <c r="AF25" s="117" t="s">
        <v>349</v>
      </c>
      <c r="AG25" s="116">
        <v>229286</v>
      </c>
    </row>
    <row r="26" spans="1:42" ht="15" customHeight="1" x14ac:dyDescent="0.25">
      <c r="A26" s="11">
        <v>397</v>
      </c>
      <c r="B26" s="12" t="s">
        <v>0</v>
      </c>
      <c r="C26" s="12" t="s">
        <v>99</v>
      </c>
      <c r="D26" s="15" t="s">
        <v>75</v>
      </c>
      <c r="E26" s="11" t="s">
        <v>248</v>
      </c>
      <c r="F26" s="4">
        <v>143027</v>
      </c>
      <c r="G26" s="3">
        <v>45279</v>
      </c>
      <c r="H26" s="4" t="s">
        <v>357</v>
      </c>
      <c r="I26" s="4" t="s">
        <v>349</v>
      </c>
      <c r="J26" s="98">
        <f>Tabla145[[#This Row],[KM ACTUAL]]-Tabla145[[#This Row],[KM ULTIMA INSTALACIÓN]]</f>
        <v>62778</v>
      </c>
      <c r="K26" s="92" t="str">
        <f ca="1">CONCATENATE(,L26," Años ",M26," Meses ", N26," Días")</f>
        <v>1 Años 5 Meses 22 Días</v>
      </c>
      <c r="L26" s="15">
        <f ca="1">DATEDIF(Tabla145[[#This Row],[FECHA ULTIMA INSTALACIÓN]],$V$1,"y")</f>
        <v>1</v>
      </c>
      <c r="M26" s="15">
        <f ca="1">DATEDIF(Tabla145[[#This Row],[FECHA ULTIMA INSTALACIÓN]],$V$1,"ym")</f>
        <v>5</v>
      </c>
      <c r="N26" s="15">
        <f ca="1">DATEDIF(Tabla145[[#This Row],[FECHA ULTIMA INSTALACIÓN]],$V$1,"md")</f>
        <v>22</v>
      </c>
      <c r="O26" s="4">
        <v>4387</v>
      </c>
      <c r="P26" s="3">
        <v>43749</v>
      </c>
      <c r="Q26" s="4" t="s">
        <v>350</v>
      </c>
      <c r="R26" s="4" t="s">
        <v>99</v>
      </c>
      <c r="S26" s="15">
        <v>138640</v>
      </c>
      <c r="T26" s="98">
        <f>Tabla14[[#This Row],[KM ACTUAL]]</f>
        <v>205805</v>
      </c>
      <c r="U26" s="92">
        <f>Tabla14[[#This Row],[F. KM ACT.]]</f>
        <v>45771</v>
      </c>
      <c r="V26" s="17">
        <f ca="1">IFERROR(TODAY()+(INDIRECT(#REF!,1)-T26)/#REF!,0)</f>
        <v>0</v>
      </c>
      <c r="W26" s="105"/>
      <c r="X26" s="123"/>
      <c r="Y26" s="124"/>
      <c r="Z26" s="124"/>
      <c r="AA26" s="124"/>
      <c r="AB26" s="123"/>
    </row>
    <row r="27" spans="1:42" ht="15" customHeight="1" x14ac:dyDescent="0.25">
      <c r="A27" s="11">
        <v>398</v>
      </c>
      <c r="B27" s="12" t="s">
        <v>0</v>
      </c>
      <c r="C27" s="12" t="s">
        <v>99</v>
      </c>
      <c r="D27" s="15" t="s">
        <v>75</v>
      </c>
      <c r="E27" s="11" t="s">
        <v>249</v>
      </c>
      <c r="F27" s="4">
        <v>157915</v>
      </c>
      <c r="G27" s="3">
        <v>45625</v>
      </c>
      <c r="H27" s="4" t="s">
        <v>355</v>
      </c>
      <c r="I27" s="4" t="s">
        <v>345</v>
      </c>
      <c r="J27" s="98">
        <f>Tabla145[[#This Row],[KM ACTUAL]]-Tabla145[[#This Row],[KM ULTIMA INSTALACIÓN]]</f>
        <v>28926</v>
      </c>
      <c r="K27" s="92" t="str">
        <f ca="1">CONCATENATE(,L27," Años ",M27," Meses ", N27," Días")</f>
        <v>0 Años 6 Meses 12 Días</v>
      </c>
      <c r="L27" s="15">
        <f ca="1">DATEDIF(Tabla145[[#This Row],[FECHA ULTIMA INSTALACIÓN]],$V$1,"y")</f>
        <v>0</v>
      </c>
      <c r="M27" s="15">
        <f ca="1">DATEDIF(Tabla145[[#This Row],[FECHA ULTIMA INSTALACIÓN]],$V$1,"ym")</f>
        <v>6</v>
      </c>
      <c r="N27" s="15">
        <f ca="1">DATEDIF(Tabla145[[#This Row],[FECHA ULTIMA INSTALACIÓN]],$V$1,"md")</f>
        <v>12</v>
      </c>
      <c r="O27" s="4">
        <v>116687</v>
      </c>
      <c r="P27" s="3">
        <v>45286</v>
      </c>
      <c r="Q27" s="4" t="s">
        <v>357</v>
      </c>
      <c r="R27" s="4" t="s">
        <v>349</v>
      </c>
      <c r="S27" s="15">
        <v>51705</v>
      </c>
      <c r="T27" s="98">
        <f>Tabla14[[#This Row],[KM ACTUAL]]</f>
        <v>186841</v>
      </c>
      <c r="U27" s="92">
        <f>Tabla14[[#This Row],[F. KM ACT.]]</f>
        <v>45771</v>
      </c>
      <c r="V27" s="17">
        <f ca="1">IFERROR(TODAY()+(INDIRECT(#REF!,1)-T27)/#REF!,0)</f>
        <v>0</v>
      </c>
      <c r="W27" s="119" t="s">
        <v>459</v>
      </c>
      <c r="X27" s="116">
        <v>4369</v>
      </c>
      <c r="Y27" s="117">
        <v>44139</v>
      </c>
      <c r="Z27" s="116" t="s">
        <v>350</v>
      </c>
      <c r="AA27" s="116" t="s">
        <v>99</v>
      </c>
      <c r="AB27" s="116">
        <v>125883</v>
      </c>
      <c r="AC27" s="116">
        <v>170120</v>
      </c>
    </row>
    <row r="28" spans="1:42" ht="15" customHeight="1" x14ac:dyDescent="0.25">
      <c r="A28" s="11">
        <v>399</v>
      </c>
      <c r="B28" s="12" t="s">
        <v>0</v>
      </c>
      <c r="C28" s="12" t="s">
        <v>99</v>
      </c>
      <c r="D28" s="15" t="s">
        <v>75</v>
      </c>
      <c r="E28" s="11" t="s">
        <v>250</v>
      </c>
      <c r="F28" s="4">
        <v>4369</v>
      </c>
      <c r="G28" s="3">
        <v>45246</v>
      </c>
      <c r="H28" s="4" t="s">
        <v>357</v>
      </c>
      <c r="I28" s="4" t="s">
        <v>349</v>
      </c>
      <c r="J28" s="98">
        <f>Tabla145[[#This Row],[KM ACTUAL]]-Tabla145[[#This Row],[KM ULTIMA INSTALACIÓN]]</f>
        <v>183211</v>
      </c>
      <c r="K28" s="92" t="str">
        <f ca="1">CONCATENATE(,L28," Años ",M28," Meses ", N28," Días")</f>
        <v>1 Años 6 Meses 25 Días</v>
      </c>
      <c r="L28" s="15">
        <f ca="1">DATEDIF(Tabla145[[#This Row],[FECHA ULTIMA INSTALACIÓN]],$V$1,"y")</f>
        <v>1</v>
      </c>
      <c r="M28" s="15">
        <f ca="1">DATEDIF(Tabla145[[#This Row],[FECHA ULTIMA INSTALACIÓN]],$V$1,"ym")</f>
        <v>6</v>
      </c>
      <c r="N28" s="15">
        <f ca="1">DATEDIF(Tabla145[[#This Row],[FECHA ULTIMA INSTALACIÓN]],$V$1,"md")</f>
        <v>25</v>
      </c>
      <c r="O28" s="4">
        <v>4369</v>
      </c>
      <c r="P28" s="3">
        <v>44139</v>
      </c>
      <c r="Q28" s="4" t="s">
        <v>350</v>
      </c>
      <c r="R28" s="4" t="s">
        <v>99</v>
      </c>
      <c r="S28" s="15">
        <v>125883</v>
      </c>
      <c r="T28" s="98">
        <f>Tabla14[[#This Row],[KM ACTUAL]]</f>
        <v>187580</v>
      </c>
      <c r="U28" s="92">
        <f>Tabla14[[#This Row],[F. KM ACT.]]</f>
        <v>45771</v>
      </c>
      <c r="V28" s="17">
        <f ca="1">IFERROR(TODAY()+(INDIRECT(#REF!,1)-T28)/#REF!,0)</f>
        <v>0</v>
      </c>
      <c r="W28" s="105"/>
    </row>
    <row r="29" spans="1:42" ht="15" customHeight="1" x14ac:dyDescent="0.25">
      <c r="A29" s="11">
        <v>400</v>
      </c>
      <c r="B29" s="12" t="s">
        <v>0</v>
      </c>
      <c r="C29" s="12" t="s">
        <v>99</v>
      </c>
      <c r="D29" s="15" t="s">
        <v>75</v>
      </c>
      <c r="E29" s="11" t="s">
        <v>251</v>
      </c>
      <c r="F29" s="4">
        <v>4394</v>
      </c>
      <c r="G29" s="3">
        <v>43747</v>
      </c>
      <c r="H29" s="4" t="s">
        <v>350</v>
      </c>
      <c r="I29" s="4" t="s">
        <v>99</v>
      </c>
      <c r="J29" s="98">
        <f>Tabla145[[#This Row],[KM ACTUAL]]-Tabla145[[#This Row],[KM ULTIMA INSTALACIÓN]]</f>
        <v>183351</v>
      </c>
      <c r="K29" s="92" t="str">
        <f ca="1">CONCATENATE(,L29," Años ",M29," Meses ", N29," Días")</f>
        <v>5 Años 8 Meses 1 Días</v>
      </c>
      <c r="L29" s="15">
        <f ca="1">DATEDIF(Tabla145[[#This Row],[FECHA ULTIMA INSTALACIÓN]],$V$1,"y")</f>
        <v>5</v>
      </c>
      <c r="M29" s="15">
        <f ca="1">DATEDIF(Tabla145[[#This Row],[FECHA ULTIMA INSTALACIÓN]],$V$1,"ym")</f>
        <v>8</v>
      </c>
      <c r="N29" s="15">
        <f ca="1">DATEDIF(Tabla145[[#This Row],[FECHA ULTIMA INSTALACIÓN]],$V$1,"md")</f>
        <v>1</v>
      </c>
      <c r="O29" s="15"/>
      <c r="P29" s="15"/>
      <c r="Q29" s="15"/>
      <c r="R29" s="15"/>
      <c r="S29" s="15"/>
      <c r="T29" s="98">
        <f>Tabla14[[#This Row],[KM ACTUAL]]</f>
        <v>187745</v>
      </c>
      <c r="U29" s="92">
        <f>Tabla14[[#This Row],[F. KM ACT.]]</f>
        <v>45771</v>
      </c>
      <c r="V29" s="17">
        <f ca="1">IFERROR(TODAY()+(INDIRECT(#REF!,1)-T29)/#REF!,0)</f>
        <v>0</v>
      </c>
      <c r="W29" s="105" t="s">
        <v>356</v>
      </c>
      <c r="X29" s="123"/>
      <c r="Y29" s="124"/>
      <c r="Z29" s="124"/>
      <c r="AA29" s="124"/>
      <c r="AB29" s="123"/>
    </row>
    <row r="30" spans="1:42" ht="15" customHeight="1" x14ac:dyDescent="0.25">
      <c r="A30" s="55">
        <v>411</v>
      </c>
      <c r="B30" s="18" t="s">
        <v>0</v>
      </c>
      <c r="C30" s="18" t="s">
        <v>194</v>
      </c>
      <c r="D30" s="18" t="s">
        <v>228</v>
      </c>
      <c r="E30" s="18" t="s">
        <v>262</v>
      </c>
      <c r="F30" s="39">
        <v>100</v>
      </c>
      <c r="G30" s="49">
        <v>44552</v>
      </c>
      <c r="H30" s="3" t="s">
        <v>352</v>
      </c>
      <c r="I30" s="3" t="s">
        <v>194</v>
      </c>
      <c r="J30" s="98">
        <f>Tabla145[[#This Row],[KM ACTUAL]]-Tabla145[[#This Row],[KM ULTIMA INSTALACIÓN]]</f>
        <v>510550</v>
      </c>
      <c r="K30" s="92" t="str">
        <f t="shared" ca="1" si="0"/>
        <v xml:space="preserve">3 Años 5 Meses 19 Días </v>
      </c>
      <c r="L30" s="98">
        <f ca="1">DATEDIF(Tabla145[[#This Row],[FECHA ULTIMA INSTALACIÓN]],$V$1,"y")</f>
        <v>3</v>
      </c>
      <c r="M30" s="15">
        <f ca="1">DATEDIF(Tabla145[[#This Row],[FECHA ULTIMA INSTALACIÓN]],$V$1,"ym")</f>
        <v>5</v>
      </c>
      <c r="N30" s="98">
        <f ca="1">DATEDIF(Tabla145[[#This Row],[FECHA ULTIMA INSTALACIÓN]],$V$1,"md")</f>
        <v>19</v>
      </c>
      <c r="O30" s="18"/>
      <c r="P30" s="98"/>
      <c r="Q30" s="15"/>
      <c r="R30" s="15"/>
      <c r="S30" s="15"/>
      <c r="T30" s="98">
        <f>Tabla14[[#This Row],[KM ACTUAL]]</f>
        <v>510650</v>
      </c>
      <c r="U30" s="92">
        <f>Tabla14[[#This Row],[F. KM ACT.]]</f>
        <v>45771</v>
      </c>
      <c r="V30" s="17">
        <v>0</v>
      </c>
      <c r="W30" s="104" t="s">
        <v>356</v>
      </c>
    </row>
    <row r="31" spans="1:42" ht="15" customHeight="1" x14ac:dyDescent="0.25">
      <c r="A31" s="55">
        <v>412</v>
      </c>
      <c r="B31" s="18" t="s">
        <v>0</v>
      </c>
      <c r="C31" s="15" t="s">
        <v>194</v>
      </c>
      <c r="D31" s="18" t="s">
        <v>228</v>
      </c>
      <c r="E31" s="18" t="s">
        <v>263</v>
      </c>
      <c r="F31" s="75">
        <v>100</v>
      </c>
      <c r="G31" s="49">
        <v>45709</v>
      </c>
      <c r="H31" s="3" t="s">
        <v>357</v>
      </c>
      <c r="I31" s="3" t="s">
        <v>194</v>
      </c>
      <c r="J31" s="98">
        <f>Tabla145[[#This Row],[KM ACTUAL]]-Tabla145[[#This Row],[KM ULTIMA INSTALACIÓN]]</f>
        <v>563770</v>
      </c>
      <c r="K31" s="92" t="str">
        <f t="shared" ca="1" si="0"/>
        <v xml:space="preserve">0 Años 3 Meses 20 Días </v>
      </c>
      <c r="L31" s="98">
        <f ca="1">DATEDIF(Tabla145[[#This Row],[FECHA ULTIMA INSTALACIÓN]],$V$1,"y")</f>
        <v>0</v>
      </c>
      <c r="M31" s="15">
        <f ca="1">DATEDIF(Tabla145[[#This Row],[FECHA ULTIMA INSTALACIÓN]],$V$1,"ym")</f>
        <v>3</v>
      </c>
      <c r="N31" s="98">
        <f ca="1">DATEDIF(Tabla145[[#This Row],[FECHA ULTIMA INSTALACIÓN]],$V$1,"md")</f>
        <v>20</v>
      </c>
      <c r="O31" s="92"/>
      <c r="P31" s="98"/>
      <c r="Q31" s="15"/>
      <c r="R31" s="15"/>
      <c r="S31" s="15"/>
      <c r="T31" s="98">
        <f>Tabla14[[#This Row],[KM ACTUAL]]</f>
        <v>563870</v>
      </c>
      <c r="U31" s="92">
        <f>Tabla14[[#This Row],[F. KM ACT.]]</f>
        <v>45771</v>
      </c>
      <c r="V31" s="17">
        <v>45179.657492354738</v>
      </c>
      <c r="W31" s="104" t="s">
        <v>356</v>
      </c>
    </row>
    <row r="32" spans="1:42" ht="15" customHeight="1" x14ac:dyDescent="0.25">
      <c r="A32" s="18">
        <v>413</v>
      </c>
      <c r="B32" s="18" t="s">
        <v>0</v>
      </c>
      <c r="C32" s="18" t="s">
        <v>194</v>
      </c>
      <c r="D32" s="18" t="s">
        <v>420</v>
      </c>
      <c r="E32" s="18" t="s">
        <v>422</v>
      </c>
      <c r="F32" s="129">
        <v>224937</v>
      </c>
      <c r="G32" s="125">
        <v>45674</v>
      </c>
      <c r="H32" s="3" t="s">
        <v>357</v>
      </c>
      <c r="I32" s="3" t="s">
        <v>349</v>
      </c>
      <c r="J32" s="15">
        <f>Tabla145[[#This Row],[KM ACTUAL]]-Tabla145[[#This Row],[KM ULTIMA INSTALACIÓN]]</f>
        <v>42968</v>
      </c>
      <c r="K32" s="92" t="str">
        <f ca="1">CONCATENATE(, L32, " Años ", M32," Meses ", N32," Días ")</f>
        <v xml:space="preserve">0 Años 4 Meses 24 Días </v>
      </c>
      <c r="L32" s="92">
        <f ca="1">DATEDIF(Tabla145[[#This Row],[FECHA ULTIMA INSTALACIÓN]],$V$1,"y")</f>
        <v>0</v>
      </c>
      <c r="M32" s="92">
        <f ca="1">DATEDIF(Tabla145[[#This Row],[FECHA ULTIMA INSTALACIÓN]],$V$1,"ym")</f>
        <v>4</v>
      </c>
      <c r="N32" s="92">
        <f ca="1">DATEDIF(Tabla145[[#This Row],[FECHA ULTIMA INSTALACIÓN]],$V$1,"md")</f>
        <v>24</v>
      </c>
      <c r="O32" s="129">
        <v>5438</v>
      </c>
      <c r="P32" s="125">
        <v>45293</v>
      </c>
      <c r="Q32" s="3" t="s">
        <v>352</v>
      </c>
      <c r="R32" s="3" t="s">
        <v>194</v>
      </c>
      <c r="S32" s="15">
        <v>219499</v>
      </c>
      <c r="T32" s="98">
        <f>Tabla14[[#This Row],[KM ACTUAL]]</f>
        <v>267905</v>
      </c>
      <c r="U32" s="126">
        <f>Tabla14[[#This Row],[F. KM ACT.]]</f>
        <v>45771</v>
      </c>
      <c r="V32" s="128">
        <f ca="1">IFERROR(TODAY()+(INDIRECT(#REF!,1)-T32)/#REF!,0)</f>
        <v>0</v>
      </c>
      <c r="W32" s="104" t="s">
        <v>462</v>
      </c>
    </row>
    <row r="33" spans="1:23" ht="15" customHeight="1" x14ac:dyDescent="0.25">
      <c r="A33" s="18">
        <v>414</v>
      </c>
      <c r="B33" s="18" t="s">
        <v>0</v>
      </c>
      <c r="C33" s="18" t="s">
        <v>194</v>
      </c>
      <c r="D33" s="18" t="s">
        <v>420</v>
      </c>
      <c r="E33" s="18" t="s">
        <v>421</v>
      </c>
      <c r="F33" s="4">
        <v>209775</v>
      </c>
      <c r="G33" s="3">
        <v>45657</v>
      </c>
      <c r="H33" s="3" t="s">
        <v>357</v>
      </c>
      <c r="I33" s="3" t="s">
        <v>349</v>
      </c>
      <c r="J33" s="15">
        <f>Tabla145[[#This Row],[KM ACTUAL]]-Tabla145[[#This Row],[KM ULTIMA INSTALACIÓN]]</f>
        <v>74610</v>
      </c>
      <c r="K33" s="92" t="str">
        <f ca="1">CONCATENATE(, L33, " Años ", M33," Meses ", N33," Días ")</f>
        <v xml:space="preserve">0 Años 5 Meses 10 Días </v>
      </c>
      <c r="L33" s="92">
        <f ca="1">DATEDIF(Tabla145[[#This Row],[FECHA ULTIMA INSTALACIÓN]],$V$1,"y")</f>
        <v>0</v>
      </c>
      <c r="M33" s="92">
        <f ca="1">DATEDIF(Tabla145[[#This Row],[FECHA ULTIMA INSTALACIÓN]],$V$1,"ym")</f>
        <v>5</v>
      </c>
      <c r="N33" s="92">
        <f ca="1">DATEDIF(Tabla145[[#This Row],[FECHA ULTIMA INSTALACIÓN]],$V$1,"md")</f>
        <v>10</v>
      </c>
      <c r="O33" s="4">
        <v>5134</v>
      </c>
      <c r="P33" s="3">
        <v>45293</v>
      </c>
      <c r="Q33" s="3" t="s">
        <v>352</v>
      </c>
      <c r="R33" s="3" t="s">
        <v>194</v>
      </c>
      <c r="S33" s="15">
        <v>212425</v>
      </c>
      <c r="T33" s="98">
        <f>Tabla14[[#This Row],[KM ACTUAL]]</f>
        <v>284385</v>
      </c>
      <c r="U33" s="126">
        <f>Tabla14[[#This Row],[F. KM ACT.]]</f>
        <v>45771</v>
      </c>
      <c r="V33" s="128">
        <f ca="1">IFERROR(TODAY()+(INDIRECT(#REF!,1)-T33)/#REF!,0)</f>
        <v>0</v>
      </c>
      <c r="W33" s="104" t="s">
        <v>463</v>
      </c>
    </row>
    <row r="34" spans="1:23" ht="15" customHeight="1" x14ac:dyDescent="0.25">
      <c r="A34" s="18">
        <v>418</v>
      </c>
      <c r="B34" s="18" t="s">
        <v>0</v>
      </c>
      <c r="C34" s="18" t="s">
        <v>99</v>
      </c>
      <c r="D34" s="18" t="s">
        <v>423</v>
      </c>
      <c r="E34" s="4" t="s">
        <v>439</v>
      </c>
      <c r="F34" s="4">
        <v>5678</v>
      </c>
      <c r="G34" s="3">
        <v>45173</v>
      </c>
      <c r="H34" s="3" t="s">
        <v>353</v>
      </c>
      <c r="I34" s="3" t="s">
        <v>99</v>
      </c>
      <c r="J34" s="15">
        <f>Tabla145[[#This Row],[KM ACTUAL]]-Tabla145[[#This Row],[KM ULTIMA INSTALACIÓN]]</f>
        <v>157728</v>
      </c>
      <c r="K34" s="92" t="str">
        <f ca="1">CONCATENATE(, L34, " Años ", M34," Meses ", N34," Días ")</f>
        <v xml:space="preserve">1 Años 9 Meses 6 Días </v>
      </c>
      <c r="L34" s="92">
        <f ca="1">DATEDIF(Tabla145[[#This Row],[FECHA ULTIMA INSTALACIÓN]],$V$1,"y")</f>
        <v>1</v>
      </c>
      <c r="M34" s="92">
        <f ca="1">DATEDIF(Tabla145[[#This Row],[FECHA ULTIMA INSTALACIÓN]],$V$1,"ym")</f>
        <v>9</v>
      </c>
      <c r="N34" s="92">
        <f ca="1">DATEDIF(Tabla145[[#This Row],[FECHA ULTIMA INSTALACIÓN]],$V$1,"md")</f>
        <v>6</v>
      </c>
      <c r="O34" s="126"/>
      <c r="P34" s="127"/>
      <c r="Q34" s="127"/>
      <c r="R34" s="15"/>
      <c r="S34" s="15"/>
      <c r="T34" s="98">
        <f>Tabla14[[#This Row],[KM ACTUAL]]</f>
        <v>163406</v>
      </c>
      <c r="U34" s="126">
        <f>Tabla14[[#This Row],[F. KM ACT.]]</f>
        <v>45771</v>
      </c>
      <c r="V34" s="128">
        <f ca="1">IFERROR(TODAY()+(INDIRECT(#REF!,1)-T34)/#REF!,0)</f>
        <v>0</v>
      </c>
      <c r="W34" s="104" t="s">
        <v>356</v>
      </c>
    </row>
    <row r="35" spans="1:23" ht="15" customHeight="1" x14ac:dyDescent="0.25">
      <c r="A35" s="18">
        <v>419</v>
      </c>
      <c r="B35" s="18" t="s">
        <v>0</v>
      </c>
      <c r="C35" s="18" t="s">
        <v>99</v>
      </c>
      <c r="D35" s="18" t="s">
        <v>446</v>
      </c>
      <c r="E35" s="18" t="s">
        <v>442</v>
      </c>
      <c r="F35" s="4">
        <v>5462</v>
      </c>
      <c r="G35" s="3">
        <v>45173</v>
      </c>
      <c r="H35" s="3" t="s">
        <v>353</v>
      </c>
      <c r="I35" s="3" t="s">
        <v>99</v>
      </c>
      <c r="J35" s="15">
        <f>Tabla145[[#This Row],[KM ACTUAL]]-Tabla145[[#This Row],[KM ULTIMA INSTALACIÓN]]</f>
        <v>158000</v>
      </c>
      <c r="K35" s="92" t="str">
        <f ca="1">CONCATENATE(, L35, " Años ", M35," Meses ", N35," Días ")</f>
        <v xml:space="preserve">1 Años 9 Meses 6 Días </v>
      </c>
      <c r="L35" s="92">
        <f ca="1">DATEDIF(Tabla145[[#This Row],[FECHA ULTIMA INSTALACIÓN]],$V$1,"y")</f>
        <v>1</v>
      </c>
      <c r="M35" s="92">
        <f ca="1">DATEDIF(Tabla145[[#This Row],[FECHA ULTIMA INSTALACIÓN]],$V$1,"ym")</f>
        <v>9</v>
      </c>
      <c r="N35" s="92">
        <f ca="1">DATEDIF(Tabla145[[#This Row],[FECHA ULTIMA INSTALACIÓN]],$V$1,"md")</f>
        <v>6</v>
      </c>
      <c r="O35" s="126"/>
      <c r="P35" s="127"/>
      <c r="Q35" s="127"/>
      <c r="R35" s="15"/>
      <c r="S35" s="15"/>
      <c r="T35" s="98">
        <f>Tabla14[[#This Row],[KM ACTUAL]]</f>
        <v>163462</v>
      </c>
      <c r="U35" s="126">
        <f>Tabla14[[#This Row],[F. KM ACT.]]</f>
        <v>45771</v>
      </c>
      <c r="V35" s="128">
        <f ca="1">IFERROR(TODAY()+(INDIRECT(#REF!,1)-T35)/#REF!,0)</f>
        <v>0</v>
      </c>
      <c r="W35" s="104" t="s">
        <v>356</v>
      </c>
    </row>
    <row r="36" spans="1:23" x14ac:dyDescent="0.25">
      <c r="A36" s="43"/>
      <c r="B36" s="43"/>
      <c r="C36" s="5"/>
      <c r="D36" s="43"/>
      <c r="E36" s="43"/>
      <c r="F36" s="43"/>
      <c r="G36" s="19"/>
      <c r="H36" s="19"/>
      <c r="I36" s="19"/>
      <c r="J36" s="19"/>
      <c r="K36" s="19">
        <f ca="1">SUBTOTAL(103,Tabla145[Columna1])</f>
        <v>33</v>
      </c>
      <c r="L36" s="19"/>
      <c r="M36" s="19"/>
      <c r="N36" s="19"/>
      <c r="O36" s="20"/>
      <c r="P36" s="19"/>
      <c r="Q36" s="44"/>
      <c r="R36" s="44"/>
      <c r="S36" s="44"/>
      <c r="T36" s="19"/>
      <c r="U36" s="21"/>
      <c r="V36" s="22"/>
    </row>
    <row r="39" spans="1:23" x14ac:dyDescent="0.25">
      <c r="B39" s="5"/>
      <c r="C39" s="5"/>
      <c r="D39" s="5"/>
      <c r="E39" s="5"/>
      <c r="F39" s="5"/>
      <c r="G39" s="7"/>
      <c r="H39" s="7"/>
      <c r="I39" s="7"/>
      <c r="J39" s="7"/>
      <c r="K39" s="7"/>
      <c r="L39" s="7"/>
      <c r="M39" s="7"/>
      <c r="N39" s="7"/>
      <c r="O39" s="5"/>
    </row>
    <row r="40" spans="1:23" x14ac:dyDescent="0.25">
      <c r="B40" s="5"/>
      <c r="C40" s="5"/>
      <c r="D40" s="5"/>
      <c r="E40" s="5"/>
      <c r="F40" s="9"/>
      <c r="G40" s="5"/>
      <c r="H40" s="5"/>
      <c r="I40" s="5"/>
      <c r="J40" s="5"/>
      <c r="K40" s="5"/>
      <c r="L40" s="5"/>
      <c r="M40" s="5"/>
      <c r="N40" s="5"/>
      <c r="O40" s="5"/>
    </row>
    <row r="41" spans="1:23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23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23" x14ac:dyDescent="0.25">
      <c r="B43" s="5"/>
      <c r="C43" s="5"/>
      <c r="D43" s="5"/>
      <c r="E43" s="5"/>
      <c r="F43" s="6"/>
      <c r="G43" s="7"/>
      <c r="H43" s="7"/>
      <c r="I43" s="7"/>
      <c r="J43" s="7"/>
      <c r="K43" s="7"/>
      <c r="L43" s="7"/>
      <c r="M43" s="7"/>
      <c r="N43" s="7"/>
      <c r="O43" s="5"/>
    </row>
    <row r="44" spans="1:23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23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23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23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23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2:1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2:1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2:1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2:1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2:1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1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2:1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2:1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2:1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2:1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2:1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2:1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2:1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2:1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1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2:1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2:1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2:1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2:1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2:1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2:1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2:1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2:1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2:1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2:1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2:1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2:1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2:1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2:1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2:1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2:1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2:1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2:1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2:1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x14ac:dyDescent="0.25">
      <c r="B138" s="5"/>
      <c r="C138" s="5"/>
      <c r="D138" s="5"/>
      <c r="E138" s="10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x14ac:dyDescent="0.2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x14ac:dyDescent="0.2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x14ac:dyDescent="0.2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x14ac:dyDescent="0.2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x14ac:dyDescent="0.2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x14ac:dyDescent="0.2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x14ac:dyDescent="0.25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x14ac:dyDescent="0.25">
      <c r="B151" s="5"/>
      <c r="C151" s="5"/>
      <c r="D151" s="5"/>
      <c r="E151" s="10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x14ac:dyDescent="0.2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x14ac:dyDescent="0.2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x14ac:dyDescent="0.2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</sheetData>
  <mergeCells count="1">
    <mergeCell ref="A1:U1"/>
  </mergeCells>
  <phoneticPr fontId="12" type="noConversion"/>
  <conditionalFormatting sqref="X19">
    <cfRule type="containsText" dxfId="63" priority="54" operator="containsText" text="sin info">
      <formula>NOT(ISERROR(SEARCH("sin info",X19)))</formula>
    </cfRule>
  </conditionalFormatting>
  <conditionalFormatting sqref="AC19">
    <cfRule type="containsText" dxfId="62" priority="49" operator="containsText" text="sin info">
      <formula>NOT(ISERROR(SEARCH("sin info",AC19)))</formula>
    </cfRule>
  </conditionalFormatting>
  <conditionalFormatting sqref="X25:X27 X29">
    <cfRule type="containsText" dxfId="61" priority="48" operator="containsText" text="sin info">
      <formula>NOT(ISERROR(SEARCH("sin info",X25)))</formula>
    </cfRule>
  </conditionalFormatting>
  <conditionalFormatting sqref="X8">
    <cfRule type="containsText" dxfId="60" priority="23" operator="containsText" text="sin info">
      <formula>NOT(ISERROR(SEARCH("sin info",X8)))</formula>
    </cfRule>
  </conditionalFormatting>
  <conditionalFormatting sqref="AC25">
    <cfRule type="containsText" dxfId="59" priority="21" operator="containsText" text="sin info">
      <formula>NOT(ISERROR(SEARCH("sin info",AC25)))</formula>
    </cfRule>
  </conditionalFormatting>
  <conditionalFormatting sqref="X7">
    <cfRule type="containsText" dxfId="58" priority="19" operator="containsText" text="sin info">
      <formula>NOT(ISERROR(SEARCH("sin info",X7)))</formula>
    </cfRule>
  </conditionalFormatting>
  <conditionalFormatting sqref="X20">
    <cfRule type="containsText" dxfId="57" priority="15" operator="containsText" text="sin info">
      <formula>NOT(ISERROR(SEARCH("sin info",X20)))</formula>
    </cfRule>
  </conditionalFormatting>
  <conditionalFormatting sqref="AB27">
    <cfRule type="cellIs" dxfId="56" priority="11" operator="lessThan">
      <formula>0</formula>
    </cfRule>
  </conditionalFormatting>
  <conditionalFormatting sqref="AA27">
    <cfRule type="cellIs" dxfId="55" priority="10" operator="lessThan">
      <formula>0</formula>
    </cfRule>
  </conditionalFormatting>
  <conditionalFormatting sqref="AC27">
    <cfRule type="cellIs" dxfId="54" priority="9" operator="lessThan">
      <formula>0</formula>
    </cfRule>
  </conditionalFormatting>
  <conditionalFormatting sqref="X21">
    <cfRule type="containsText" dxfId="53" priority="8" operator="containsText" text="sin info">
      <formula>NOT(ISERROR(SEARCH("sin info",X21)))</formula>
    </cfRule>
  </conditionalFormatting>
  <conditionalFormatting sqref="K3:K35">
    <cfRule type="containsText" dxfId="52" priority="1" operator="containsText" text="5 Años ">
      <formula>NOT(ISERROR(SEARCH("5 Años ",K3)))</formula>
    </cfRule>
    <cfRule type="containsText" dxfId="51" priority="2" operator="containsText" text="4 Años">
      <formula>NOT(ISERROR(SEARCH("4 Años",K3)))</formula>
    </cfRule>
    <cfRule type="containsText" dxfId="50" priority="3" operator="containsText" text="3 Años ">
      <formula>NOT(ISERROR(SEARCH("3 Años ",K3)))</formula>
    </cfRule>
    <cfRule type="containsText" dxfId="49" priority="4" operator="containsText" text="2 Años">
      <formula>NOT(ISERROR(SEARCH("2 Años",K3)))</formula>
    </cfRule>
    <cfRule type="containsText" dxfId="48" priority="5" operator="containsText" text="1 Años ">
      <formula>NOT(ISERROR(SEARCH("1 Años ",K3)))</formula>
    </cfRule>
    <cfRule type="containsText" dxfId="47" priority="6" operator="containsText" text="0 Años ">
      <formula>NOT(ISERROR(SEARCH("0 Años ",K3)))</formula>
    </cfRule>
  </conditionalFormatting>
  <dataValidations count="3">
    <dataValidation allowBlank="1" showInputMessage="1" showErrorMessage="1" prompt="Información obligatoria a ingresar por el asesor." sqref="E5" xr:uid="{808E62CE-01FF-4C71-9D86-6F87C1BD5289}"/>
    <dataValidation type="list" allowBlank="1" showInputMessage="1" showErrorMessage="1" sqref="B3:B35" xr:uid="{5ED7F28F-D28A-4057-B4AB-BBF61DDA71A8}">
      <formula1>Vehículo</formula1>
    </dataValidation>
    <dataValidation type="list" allowBlank="1" showInputMessage="1" showErrorMessage="1" sqref="C5:C29" xr:uid="{D06221D0-3384-42AE-9B13-41596065C14E}">
      <formula1>Marca</formula1>
    </dataValidation>
  </dataValidations>
  <pageMargins left="0" right="0" top="0.15748031496062992" bottom="0.15748031496062992" header="0.31496062992125984" footer="0.31496062992125984"/>
  <pageSetup scale="85" orientation="landscape" r:id="rId1"/>
  <ignoredErrors>
    <ignoredError sqref="K26:K29 J3" calculatedColumn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DG35"/>
  <sheetViews>
    <sheetView zoomScale="110" zoomScaleNormal="110" workbookViewId="0">
      <pane xSplit="1" ySplit="1" topLeftCell="M2" activePane="bottomRight" state="frozen"/>
      <selection activeCell="O35" sqref="O35"/>
      <selection pane="topRight" activeCell="O35" sqref="O35"/>
      <selection pane="bottomLeft" activeCell="O35" sqref="O35"/>
      <selection pane="bottomRight" activeCell="AD23" sqref="AD23"/>
    </sheetView>
  </sheetViews>
  <sheetFormatPr baseColWidth="10" defaultColWidth="11.453125" defaultRowHeight="12.5" x14ac:dyDescent="0.25"/>
  <cols>
    <col min="1" max="1" width="23.81640625" style="62" customWidth="1"/>
    <col min="2" max="2" width="21" style="62" customWidth="1"/>
    <col min="3" max="103" width="8" style="62" customWidth="1"/>
    <col min="104" max="16384" width="11.453125" style="62"/>
  </cols>
  <sheetData>
    <row r="1" spans="1:111" x14ac:dyDescent="0.25">
      <c r="A1" s="60"/>
      <c r="B1" s="61"/>
    </row>
    <row r="2" spans="1:111" x14ac:dyDescent="0.25">
      <c r="A2" s="63" t="s">
        <v>211</v>
      </c>
      <c r="B2" s="64" t="str">
        <f>"'PARÁMETROS MANT.'!C3:GY3"</f>
        <v>'PARÁMETROS MANT.'!C3:GY3</v>
      </c>
      <c r="C2" s="65" t="s">
        <v>15</v>
      </c>
      <c r="D2" s="65" t="s">
        <v>15</v>
      </c>
      <c r="E2" s="65" t="s">
        <v>15</v>
      </c>
      <c r="F2" s="65" t="s">
        <v>15</v>
      </c>
      <c r="G2" s="65" t="s">
        <v>15</v>
      </c>
      <c r="H2" s="65" t="s">
        <v>15</v>
      </c>
      <c r="I2" s="65" t="s">
        <v>15</v>
      </c>
      <c r="J2" s="65" t="s">
        <v>15</v>
      </c>
      <c r="K2" s="65" t="s">
        <v>15</v>
      </c>
      <c r="L2" s="65" t="s">
        <v>15</v>
      </c>
      <c r="M2" s="65" t="s">
        <v>15</v>
      </c>
      <c r="N2" s="65" t="s">
        <v>15</v>
      </c>
      <c r="O2" s="65" t="s">
        <v>15</v>
      </c>
      <c r="P2" s="65" t="s">
        <v>15</v>
      </c>
      <c r="Q2" s="65" t="s">
        <v>15</v>
      </c>
      <c r="R2" s="65" t="s">
        <v>15</v>
      </c>
      <c r="S2" s="65" t="s">
        <v>15</v>
      </c>
      <c r="T2" s="65" t="s">
        <v>15</v>
      </c>
      <c r="U2" s="65" t="s">
        <v>15</v>
      </c>
      <c r="V2" s="65" t="s">
        <v>15</v>
      </c>
      <c r="W2" s="65" t="s">
        <v>15</v>
      </c>
      <c r="X2" s="65" t="s">
        <v>15</v>
      </c>
      <c r="Y2" s="65" t="s">
        <v>15</v>
      </c>
      <c r="Z2" s="65" t="s">
        <v>15</v>
      </c>
      <c r="AA2" s="65" t="s">
        <v>15</v>
      </c>
      <c r="AB2" s="65" t="s">
        <v>15</v>
      </c>
      <c r="AC2" s="65" t="s">
        <v>15</v>
      </c>
      <c r="AD2" s="65" t="s">
        <v>15</v>
      </c>
      <c r="AE2" s="65" t="s">
        <v>15</v>
      </c>
      <c r="AF2" s="65" t="s">
        <v>15</v>
      </c>
      <c r="AG2" s="65" t="s">
        <v>15</v>
      </c>
      <c r="AH2" s="65" t="s">
        <v>15</v>
      </c>
      <c r="AI2" s="65" t="s">
        <v>15</v>
      </c>
      <c r="AJ2" s="65" t="s">
        <v>15</v>
      </c>
      <c r="AK2" s="65" t="s">
        <v>15</v>
      </c>
      <c r="AL2" s="65" t="s">
        <v>15</v>
      </c>
      <c r="AM2" s="65" t="s">
        <v>15</v>
      </c>
      <c r="AN2" s="65" t="s">
        <v>15</v>
      </c>
      <c r="AO2" s="65" t="s">
        <v>15</v>
      </c>
      <c r="AP2" s="65" t="s">
        <v>15</v>
      </c>
      <c r="AQ2" s="65" t="s">
        <v>15</v>
      </c>
      <c r="AR2" s="65" t="s">
        <v>15</v>
      </c>
      <c r="AS2" s="65" t="s">
        <v>15</v>
      </c>
      <c r="AT2" s="65" t="s">
        <v>15</v>
      </c>
      <c r="AU2" s="65" t="s">
        <v>15</v>
      </c>
      <c r="AV2" s="65" t="s">
        <v>15</v>
      </c>
      <c r="AW2" s="65" t="s">
        <v>15</v>
      </c>
      <c r="AX2" s="65" t="s">
        <v>15</v>
      </c>
      <c r="AY2" s="65" t="s">
        <v>15</v>
      </c>
      <c r="AZ2" s="65" t="s">
        <v>15</v>
      </c>
      <c r="BA2" s="65" t="s">
        <v>15</v>
      </c>
      <c r="BB2" s="65" t="s">
        <v>15</v>
      </c>
      <c r="BC2" s="65" t="s">
        <v>15</v>
      </c>
      <c r="BD2" s="65" t="s">
        <v>15</v>
      </c>
      <c r="BE2" s="65" t="s">
        <v>15</v>
      </c>
      <c r="BF2" s="65" t="s">
        <v>15</v>
      </c>
      <c r="BG2" s="65" t="s">
        <v>15</v>
      </c>
      <c r="BH2" s="65" t="s">
        <v>15</v>
      </c>
      <c r="BI2" s="65" t="s">
        <v>15</v>
      </c>
      <c r="BJ2" s="65" t="s">
        <v>15</v>
      </c>
      <c r="BK2" s="65" t="s">
        <v>15</v>
      </c>
      <c r="BL2" s="65" t="s">
        <v>15</v>
      </c>
      <c r="BM2" s="65" t="s">
        <v>15</v>
      </c>
      <c r="BN2" s="65" t="s">
        <v>15</v>
      </c>
      <c r="BO2" s="65" t="s">
        <v>15</v>
      </c>
      <c r="BP2" s="65" t="s">
        <v>15</v>
      </c>
      <c r="BQ2" s="65" t="s">
        <v>15</v>
      </c>
      <c r="BR2" s="65" t="s">
        <v>15</v>
      </c>
      <c r="BS2" s="65" t="s">
        <v>15</v>
      </c>
      <c r="BT2" s="65" t="s">
        <v>15</v>
      </c>
      <c r="BU2" s="65" t="s">
        <v>15</v>
      </c>
      <c r="BV2" s="65" t="s">
        <v>15</v>
      </c>
      <c r="BW2" s="65" t="s">
        <v>15</v>
      </c>
      <c r="BX2" s="65" t="s">
        <v>15</v>
      </c>
      <c r="BY2" s="65" t="s">
        <v>15</v>
      </c>
      <c r="BZ2" s="65" t="s">
        <v>15</v>
      </c>
      <c r="CA2" s="65" t="s">
        <v>15</v>
      </c>
      <c r="CB2" s="65" t="s">
        <v>15</v>
      </c>
      <c r="CC2" s="65" t="s">
        <v>15</v>
      </c>
      <c r="CD2" s="65" t="s">
        <v>15</v>
      </c>
      <c r="CE2" s="65" t="s">
        <v>15</v>
      </c>
      <c r="CF2" s="65" t="s">
        <v>15</v>
      </c>
      <c r="CG2" s="65" t="s">
        <v>15</v>
      </c>
      <c r="CH2" s="65" t="s">
        <v>15</v>
      </c>
      <c r="CI2" s="65" t="s">
        <v>15</v>
      </c>
      <c r="CJ2" s="65" t="s">
        <v>15</v>
      </c>
      <c r="CK2" s="65" t="s">
        <v>15</v>
      </c>
      <c r="CL2" s="65" t="s">
        <v>15</v>
      </c>
      <c r="CM2" s="65" t="s">
        <v>15</v>
      </c>
      <c r="CN2" s="65" t="s">
        <v>15</v>
      </c>
      <c r="CO2" s="65" t="s">
        <v>15</v>
      </c>
      <c r="CP2" s="65" t="s">
        <v>15</v>
      </c>
      <c r="CQ2" s="65" t="s">
        <v>15</v>
      </c>
      <c r="CR2" s="65" t="s">
        <v>15</v>
      </c>
      <c r="CS2" s="65" t="s">
        <v>15</v>
      </c>
      <c r="CT2" s="65" t="s">
        <v>15</v>
      </c>
      <c r="CU2" s="65" t="s">
        <v>15</v>
      </c>
      <c r="CV2" s="65" t="s">
        <v>15</v>
      </c>
      <c r="CW2" s="65" t="s">
        <v>15</v>
      </c>
      <c r="CX2" s="65" t="s">
        <v>15</v>
      </c>
      <c r="CY2" s="65" t="s">
        <v>15</v>
      </c>
      <c r="CZ2" s="65" t="s">
        <v>15</v>
      </c>
      <c r="DA2" s="65" t="s">
        <v>15</v>
      </c>
      <c r="DB2" s="65" t="s">
        <v>15</v>
      </c>
      <c r="DC2" s="65" t="s">
        <v>15</v>
      </c>
      <c r="DD2" s="65" t="s">
        <v>15</v>
      </c>
      <c r="DE2" s="65" t="s">
        <v>15</v>
      </c>
      <c r="DF2" s="65" t="s">
        <v>15</v>
      </c>
    </row>
    <row r="3" spans="1:111" x14ac:dyDescent="0.25">
      <c r="A3" s="66" t="s">
        <v>394</v>
      </c>
      <c r="B3" s="64"/>
      <c r="C3" s="65">
        <v>10000</v>
      </c>
      <c r="D3" s="65">
        <v>20000</v>
      </c>
      <c r="E3" s="65">
        <v>30000</v>
      </c>
      <c r="F3" s="65">
        <v>40000</v>
      </c>
      <c r="G3" s="65">
        <v>50000</v>
      </c>
      <c r="H3" s="65">
        <v>60000</v>
      </c>
      <c r="I3" s="65">
        <v>70000</v>
      </c>
      <c r="J3" s="65">
        <v>80000</v>
      </c>
      <c r="K3" s="65">
        <v>90000</v>
      </c>
      <c r="L3" s="65">
        <v>100000</v>
      </c>
      <c r="M3" s="65">
        <v>110000</v>
      </c>
      <c r="N3" s="65">
        <v>120000</v>
      </c>
      <c r="O3" s="65">
        <v>130000</v>
      </c>
      <c r="P3" s="65">
        <v>140000</v>
      </c>
      <c r="Q3" s="65">
        <v>150000</v>
      </c>
      <c r="R3" s="65">
        <v>160000</v>
      </c>
      <c r="S3" s="65">
        <v>170000</v>
      </c>
      <c r="T3" s="65">
        <v>180000</v>
      </c>
      <c r="U3" s="65">
        <v>190000</v>
      </c>
      <c r="V3" s="65">
        <v>200000</v>
      </c>
      <c r="W3" s="65">
        <v>210000</v>
      </c>
      <c r="X3" s="65">
        <v>220000</v>
      </c>
      <c r="Y3" s="65">
        <v>230000</v>
      </c>
      <c r="Z3" s="65">
        <v>240000</v>
      </c>
      <c r="AA3" s="65">
        <v>250000</v>
      </c>
      <c r="AB3" s="65">
        <v>260000</v>
      </c>
      <c r="AC3" s="65">
        <v>270000</v>
      </c>
      <c r="AD3" s="65">
        <v>280000</v>
      </c>
      <c r="AE3" s="65">
        <v>290000</v>
      </c>
      <c r="AF3" s="65">
        <v>300000</v>
      </c>
      <c r="AG3" s="65">
        <v>310000</v>
      </c>
      <c r="AH3" s="65">
        <v>320000</v>
      </c>
      <c r="AI3" s="65">
        <v>330000</v>
      </c>
      <c r="AJ3" s="65">
        <v>340000</v>
      </c>
      <c r="AK3" s="65">
        <v>350000</v>
      </c>
      <c r="AL3" s="65">
        <v>360000</v>
      </c>
      <c r="AM3" s="65">
        <v>370000</v>
      </c>
      <c r="AN3" s="65">
        <v>380000</v>
      </c>
      <c r="AO3" s="65">
        <v>390000</v>
      </c>
      <c r="AP3" s="65">
        <v>400000</v>
      </c>
      <c r="AQ3" s="65">
        <v>410000</v>
      </c>
      <c r="AR3" s="65">
        <v>420000</v>
      </c>
      <c r="AS3" s="65">
        <v>430000</v>
      </c>
      <c r="AT3" s="65">
        <v>440000</v>
      </c>
      <c r="AU3" s="65">
        <v>450000</v>
      </c>
      <c r="AV3" s="65">
        <v>460000</v>
      </c>
      <c r="AW3" s="65">
        <v>470000</v>
      </c>
      <c r="AX3" s="65">
        <v>480000</v>
      </c>
      <c r="AY3" s="65">
        <v>490000</v>
      </c>
      <c r="AZ3" s="65">
        <v>500000</v>
      </c>
      <c r="BA3" s="65">
        <v>510000</v>
      </c>
      <c r="BB3" s="65">
        <v>520000</v>
      </c>
      <c r="BC3" s="65">
        <v>530000</v>
      </c>
      <c r="BD3" s="65">
        <v>540000</v>
      </c>
      <c r="BE3" s="65">
        <v>550000</v>
      </c>
      <c r="BF3" s="65">
        <v>560000</v>
      </c>
      <c r="BG3" s="65">
        <v>570000</v>
      </c>
      <c r="BH3" s="65">
        <v>580000</v>
      </c>
      <c r="BI3" s="65">
        <v>590000</v>
      </c>
      <c r="BJ3" s="65">
        <v>600000</v>
      </c>
      <c r="BK3" s="65">
        <v>610000</v>
      </c>
      <c r="BL3" s="65">
        <v>620000</v>
      </c>
      <c r="BM3" s="65">
        <v>630000</v>
      </c>
      <c r="BN3" s="65">
        <v>640000</v>
      </c>
      <c r="BO3" s="65">
        <v>650000</v>
      </c>
      <c r="BP3" s="65">
        <v>660000</v>
      </c>
      <c r="BQ3" s="65">
        <v>670000</v>
      </c>
      <c r="BR3" s="65">
        <v>680000</v>
      </c>
      <c r="BS3" s="65">
        <v>690000</v>
      </c>
      <c r="BT3" s="65">
        <v>700000</v>
      </c>
      <c r="BU3" s="65">
        <v>710000</v>
      </c>
      <c r="BV3" s="65">
        <v>720000</v>
      </c>
      <c r="BW3" s="65">
        <v>730000</v>
      </c>
      <c r="BX3" s="65">
        <v>740000</v>
      </c>
      <c r="BY3" s="65">
        <v>750000</v>
      </c>
      <c r="BZ3" s="65">
        <v>760000</v>
      </c>
      <c r="CA3" s="65">
        <v>770000</v>
      </c>
      <c r="CB3" s="65">
        <v>780000</v>
      </c>
      <c r="CC3" s="65">
        <v>790000</v>
      </c>
      <c r="CD3" s="65">
        <v>800000</v>
      </c>
      <c r="CE3" s="65">
        <v>810000</v>
      </c>
      <c r="CF3" s="65">
        <v>820000</v>
      </c>
      <c r="CG3" s="65">
        <v>830000</v>
      </c>
      <c r="CH3" s="65">
        <v>840000</v>
      </c>
      <c r="CI3" s="65">
        <v>850000</v>
      </c>
      <c r="CJ3" s="65">
        <v>860000</v>
      </c>
      <c r="CK3" s="65">
        <v>870000</v>
      </c>
      <c r="CL3" s="65">
        <v>880000</v>
      </c>
      <c r="CM3" s="65">
        <v>890000</v>
      </c>
      <c r="CN3" s="65">
        <v>900000</v>
      </c>
      <c r="CO3" s="65">
        <v>910000</v>
      </c>
      <c r="CP3" s="65">
        <v>920000</v>
      </c>
      <c r="CQ3" s="65">
        <v>930000</v>
      </c>
      <c r="CR3" s="65">
        <v>940000</v>
      </c>
      <c r="CS3" s="65">
        <v>950000</v>
      </c>
      <c r="CT3" s="65">
        <v>960000</v>
      </c>
      <c r="CU3" s="65">
        <v>970000</v>
      </c>
      <c r="CV3" s="65">
        <v>980000</v>
      </c>
      <c r="CW3" s="65">
        <v>990000</v>
      </c>
      <c r="CX3" s="65">
        <v>1000000</v>
      </c>
      <c r="CY3" s="65">
        <v>1010000</v>
      </c>
      <c r="CZ3" s="65">
        <v>1020000</v>
      </c>
      <c r="DA3" s="65">
        <v>1030000</v>
      </c>
      <c r="DB3" s="65">
        <v>1040000</v>
      </c>
      <c r="DC3" s="65">
        <v>1050000</v>
      </c>
      <c r="DD3" s="65">
        <v>1060000</v>
      </c>
      <c r="DE3" s="65">
        <v>1070000</v>
      </c>
      <c r="DF3" s="65">
        <v>1080000</v>
      </c>
    </row>
    <row r="4" spans="1:111" x14ac:dyDescent="0.25">
      <c r="A4" s="63" t="s">
        <v>200</v>
      </c>
      <c r="B4" s="64" t="str">
        <f>"'PARÁMETROS MANT.'!C5:GY5"</f>
        <v>'PARÁMETROS MANT.'!C5:GY5</v>
      </c>
      <c r="C4" s="65" t="s">
        <v>14</v>
      </c>
      <c r="D4" s="65" t="s">
        <v>15</v>
      </c>
      <c r="E4" s="65" t="s">
        <v>16</v>
      </c>
      <c r="F4" s="65" t="s">
        <v>17</v>
      </c>
      <c r="G4" s="65" t="s">
        <v>18</v>
      </c>
      <c r="H4" s="65" t="s">
        <v>19</v>
      </c>
      <c r="I4" s="65" t="s">
        <v>20</v>
      </c>
      <c r="J4" s="65" t="s">
        <v>21</v>
      </c>
      <c r="K4" s="65" t="s">
        <v>22</v>
      </c>
      <c r="L4" s="65" t="s">
        <v>23</v>
      </c>
      <c r="M4" s="65" t="s">
        <v>24</v>
      </c>
      <c r="N4" s="65" t="s">
        <v>25</v>
      </c>
      <c r="O4" s="65" t="s">
        <v>26</v>
      </c>
      <c r="P4" s="65" t="s">
        <v>27</v>
      </c>
      <c r="Q4" s="65" t="s">
        <v>28</v>
      </c>
      <c r="R4" s="65" t="s">
        <v>29</v>
      </c>
      <c r="S4" s="65" t="s">
        <v>30</v>
      </c>
      <c r="T4" s="65" t="s">
        <v>31</v>
      </c>
      <c r="U4" s="65" t="s">
        <v>32</v>
      </c>
      <c r="V4" s="65" t="s">
        <v>33</v>
      </c>
      <c r="W4" s="65" t="s">
        <v>34</v>
      </c>
      <c r="X4" s="65" t="s">
        <v>35</v>
      </c>
      <c r="Y4" s="65" t="s">
        <v>36</v>
      </c>
      <c r="Z4" s="65" t="s">
        <v>37</v>
      </c>
      <c r="AA4" s="65" t="s">
        <v>38</v>
      </c>
      <c r="AB4" s="65" t="s">
        <v>39</v>
      </c>
      <c r="AC4" s="65" t="s">
        <v>40</v>
      </c>
      <c r="AD4" s="65" t="s">
        <v>41</v>
      </c>
      <c r="AE4" s="65" t="s">
        <v>42</v>
      </c>
      <c r="AF4" s="65" t="s">
        <v>43</v>
      </c>
      <c r="AG4" s="65" t="s">
        <v>44</v>
      </c>
      <c r="AH4" s="65" t="s">
        <v>45</v>
      </c>
      <c r="AI4" s="65" t="s">
        <v>46</v>
      </c>
      <c r="AJ4" s="65" t="s">
        <v>47</v>
      </c>
      <c r="AK4" s="65" t="s">
        <v>48</v>
      </c>
      <c r="AL4" s="65" t="s">
        <v>49</v>
      </c>
      <c r="AM4" s="65" t="s">
        <v>50</v>
      </c>
      <c r="AN4" s="65" t="s">
        <v>51</v>
      </c>
      <c r="AO4" s="65" t="s">
        <v>52</v>
      </c>
      <c r="AP4" s="65" t="s">
        <v>53</v>
      </c>
      <c r="AQ4" s="65" t="s">
        <v>54</v>
      </c>
      <c r="AR4" s="65" t="s">
        <v>55</v>
      </c>
      <c r="AS4" s="65" t="s">
        <v>56</v>
      </c>
      <c r="AT4" s="65" t="s">
        <v>57</v>
      </c>
      <c r="AU4" s="65" t="s">
        <v>58</v>
      </c>
      <c r="AV4" s="65" t="s">
        <v>59</v>
      </c>
      <c r="AW4" s="65" t="s">
        <v>60</v>
      </c>
      <c r="AX4" s="65" t="s">
        <v>61</v>
      </c>
      <c r="AY4" s="65" t="s">
        <v>62</v>
      </c>
      <c r="AZ4" s="65" t="s">
        <v>63</v>
      </c>
      <c r="BA4" s="65" t="s">
        <v>64</v>
      </c>
      <c r="BB4" s="65" t="s">
        <v>65</v>
      </c>
      <c r="BC4" s="65" t="s">
        <v>66</v>
      </c>
      <c r="BD4" s="65" t="s">
        <v>67</v>
      </c>
      <c r="BE4" s="65" t="s">
        <v>68</v>
      </c>
      <c r="BF4" s="65" t="s">
        <v>69</v>
      </c>
      <c r="BG4" s="65" t="s">
        <v>70</v>
      </c>
      <c r="BH4" s="65" t="s">
        <v>283</v>
      </c>
      <c r="BI4" s="65" t="s">
        <v>284</v>
      </c>
      <c r="BJ4" s="65" t="s">
        <v>285</v>
      </c>
      <c r="BK4" s="65" t="s">
        <v>286</v>
      </c>
      <c r="BL4" s="65" t="s">
        <v>287</v>
      </c>
      <c r="BM4" s="65" t="s">
        <v>288</v>
      </c>
      <c r="BN4" s="65" t="s">
        <v>289</v>
      </c>
      <c r="BO4" s="65" t="s">
        <v>290</v>
      </c>
      <c r="BP4" s="65" t="s">
        <v>291</v>
      </c>
      <c r="BQ4" s="65" t="s">
        <v>292</v>
      </c>
      <c r="BR4" s="65" t="s">
        <v>293</v>
      </c>
      <c r="BS4" s="65" t="s">
        <v>294</v>
      </c>
      <c r="BT4" s="65" t="s">
        <v>295</v>
      </c>
      <c r="BU4" s="65" t="s">
        <v>296</v>
      </c>
      <c r="BV4" s="65" t="s">
        <v>297</v>
      </c>
      <c r="BW4" s="65" t="s">
        <v>298</v>
      </c>
      <c r="BX4" s="65" t="s">
        <v>299</v>
      </c>
      <c r="BY4" s="65" t="s">
        <v>300</v>
      </c>
      <c r="BZ4" s="65" t="s">
        <v>301</v>
      </c>
      <c r="CA4" s="65" t="s">
        <v>302</v>
      </c>
      <c r="CB4" s="65" t="s">
        <v>303</v>
      </c>
      <c r="CC4" s="65" t="s">
        <v>304</v>
      </c>
      <c r="CD4" s="65" t="s">
        <v>305</v>
      </c>
      <c r="CE4" s="65" t="s">
        <v>306</v>
      </c>
      <c r="CF4" s="65" t="s">
        <v>307</v>
      </c>
      <c r="CG4" s="65" t="s">
        <v>308</v>
      </c>
      <c r="CH4" s="65" t="s">
        <v>309</v>
      </c>
      <c r="CI4" s="65" t="s">
        <v>310</v>
      </c>
      <c r="CJ4" s="65" t="s">
        <v>311</v>
      </c>
      <c r="CK4" s="65" t="s">
        <v>312</v>
      </c>
      <c r="CL4" s="65" t="s">
        <v>313</v>
      </c>
      <c r="CM4" s="65" t="s">
        <v>314</v>
      </c>
      <c r="CN4" s="65" t="s">
        <v>315</v>
      </c>
      <c r="CO4" s="65" t="s">
        <v>316</v>
      </c>
      <c r="CP4" s="65" t="s">
        <v>317</v>
      </c>
      <c r="CQ4" s="65" t="s">
        <v>318</v>
      </c>
      <c r="CR4" s="65" t="s">
        <v>319</v>
      </c>
      <c r="CS4" s="65" t="s">
        <v>320</v>
      </c>
      <c r="CT4" s="65" t="s">
        <v>321</v>
      </c>
      <c r="CU4" s="65" t="s">
        <v>322</v>
      </c>
      <c r="CV4" s="65" t="s">
        <v>323</v>
      </c>
      <c r="CW4" s="65" t="s">
        <v>324</v>
      </c>
      <c r="CX4" s="65" t="s">
        <v>325</v>
      </c>
      <c r="CY4" s="65" t="s">
        <v>326</v>
      </c>
      <c r="CZ4" s="65" t="s">
        <v>403</v>
      </c>
      <c r="DA4" s="65" t="s">
        <v>404</v>
      </c>
      <c r="DB4" s="65" t="s">
        <v>405</v>
      </c>
      <c r="DC4" s="65" t="s">
        <v>406</v>
      </c>
      <c r="DD4" s="65" t="s">
        <v>407</v>
      </c>
      <c r="DE4" s="65" t="s">
        <v>408</v>
      </c>
      <c r="DF4" s="65" t="s">
        <v>409</v>
      </c>
    </row>
    <row r="5" spans="1:111" x14ac:dyDescent="0.25">
      <c r="A5" s="67" t="s">
        <v>395</v>
      </c>
      <c r="B5" s="64"/>
      <c r="C5" s="65">
        <v>10000</v>
      </c>
      <c r="D5" s="65">
        <v>20000</v>
      </c>
      <c r="E5" s="65">
        <v>30000</v>
      </c>
      <c r="F5" s="65">
        <v>40000</v>
      </c>
      <c r="G5" s="65">
        <v>50000</v>
      </c>
      <c r="H5" s="65">
        <v>60000</v>
      </c>
      <c r="I5" s="65">
        <v>70000</v>
      </c>
      <c r="J5" s="65">
        <v>80000</v>
      </c>
      <c r="K5" s="65">
        <v>90000</v>
      </c>
      <c r="L5" s="65">
        <v>100000</v>
      </c>
      <c r="M5" s="65">
        <v>110000</v>
      </c>
      <c r="N5" s="65">
        <v>120000</v>
      </c>
      <c r="O5" s="65">
        <v>130000</v>
      </c>
      <c r="P5" s="65">
        <v>140000</v>
      </c>
      <c r="Q5" s="65">
        <v>150000</v>
      </c>
      <c r="R5" s="65">
        <v>160000</v>
      </c>
      <c r="S5" s="65">
        <v>170000</v>
      </c>
      <c r="T5" s="65">
        <v>180000</v>
      </c>
      <c r="U5" s="65">
        <v>190000</v>
      </c>
      <c r="V5" s="65">
        <v>200000</v>
      </c>
      <c r="W5" s="65">
        <v>210000</v>
      </c>
      <c r="X5" s="65">
        <v>220000</v>
      </c>
      <c r="Y5" s="65">
        <v>230000</v>
      </c>
      <c r="Z5" s="65">
        <v>240000</v>
      </c>
      <c r="AA5" s="65">
        <v>250000</v>
      </c>
      <c r="AB5" s="65">
        <v>260000</v>
      </c>
      <c r="AC5" s="65">
        <v>270000</v>
      </c>
      <c r="AD5" s="65">
        <v>280000</v>
      </c>
      <c r="AE5" s="65">
        <v>290000</v>
      </c>
      <c r="AF5" s="65">
        <v>300000</v>
      </c>
      <c r="AG5" s="65">
        <v>310000</v>
      </c>
      <c r="AH5" s="65">
        <v>320000</v>
      </c>
      <c r="AI5" s="65">
        <v>330000</v>
      </c>
      <c r="AJ5" s="65">
        <v>340000</v>
      </c>
      <c r="AK5" s="65">
        <v>350000</v>
      </c>
      <c r="AL5" s="65">
        <v>360000</v>
      </c>
      <c r="AM5" s="65">
        <v>370000</v>
      </c>
      <c r="AN5" s="65">
        <v>380000</v>
      </c>
      <c r="AO5" s="65">
        <v>390000</v>
      </c>
      <c r="AP5" s="65">
        <v>400000</v>
      </c>
      <c r="AQ5" s="65">
        <v>410000</v>
      </c>
      <c r="AR5" s="65">
        <v>420000</v>
      </c>
      <c r="AS5" s="65">
        <v>430000</v>
      </c>
      <c r="AT5" s="65">
        <v>440000</v>
      </c>
      <c r="AU5" s="65">
        <v>450000</v>
      </c>
      <c r="AV5" s="65">
        <v>460000</v>
      </c>
      <c r="AW5" s="65">
        <v>470000</v>
      </c>
      <c r="AX5" s="65">
        <v>480000</v>
      </c>
      <c r="AY5" s="65">
        <v>490000</v>
      </c>
      <c r="AZ5" s="65">
        <v>500000</v>
      </c>
      <c r="BA5" s="65">
        <v>510000</v>
      </c>
      <c r="BB5" s="65">
        <v>520000</v>
      </c>
      <c r="BC5" s="65">
        <v>530000</v>
      </c>
      <c r="BD5" s="65">
        <v>540000</v>
      </c>
      <c r="BE5" s="65">
        <v>550000</v>
      </c>
      <c r="BF5" s="65">
        <v>560000</v>
      </c>
      <c r="BG5" s="65">
        <v>570000</v>
      </c>
      <c r="BH5" s="65">
        <v>580000</v>
      </c>
      <c r="BI5" s="65">
        <v>590000</v>
      </c>
      <c r="BJ5" s="65">
        <v>600000</v>
      </c>
      <c r="BK5" s="65">
        <v>610000</v>
      </c>
      <c r="BL5" s="65">
        <v>620000</v>
      </c>
      <c r="BM5" s="65">
        <v>630000</v>
      </c>
      <c r="BN5" s="65">
        <v>640000</v>
      </c>
      <c r="BO5" s="65">
        <v>650000</v>
      </c>
      <c r="BP5" s="65">
        <v>660000</v>
      </c>
      <c r="BQ5" s="65">
        <v>670000</v>
      </c>
      <c r="BR5" s="65">
        <v>680000</v>
      </c>
      <c r="BS5" s="65">
        <v>690000</v>
      </c>
      <c r="BT5" s="65">
        <v>700000</v>
      </c>
      <c r="BU5" s="65">
        <v>710000</v>
      </c>
      <c r="BV5" s="65">
        <v>720000</v>
      </c>
      <c r="BW5" s="65">
        <v>730000</v>
      </c>
      <c r="BX5" s="65">
        <v>740000</v>
      </c>
      <c r="BY5" s="65">
        <v>750000</v>
      </c>
      <c r="BZ5" s="65">
        <v>760000</v>
      </c>
      <c r="CA5" s="65">
        <v>770000</v>
      </c>
      <c r="CB5" s="65">
        <v>780000</v>
      </c>
      <c r="CC5" s="65">
        <v>790000</v>
      </c>
      <c r="CD5" s="65">
        <v>800000</v>
      </c>
      <c r="CE5" s="65">
        <v>810000</v>
      </c>
      <c r="CF5" s="65">
        <v>820000</v>
      </c>
      <c r="CG5" s="65">
        <v>830000</v>
      </c>
      <c r="CH5" s="65">
        <v>840000</v>
      </c>
      <c r="CI5" s="65">
        <v>850000</v>
      </c>
      <c r="CJ5" s="65">
        <v>860000</v>
      </c>
      <c r="CK5" s="65">
        <v>870000</v>
      </c>
      <c r="CL5" s="65">
        <v>880000</v>
      </c>
      <c r="CM5" s="65">
        <v>890000</v>
      </c>
      <c r="CN5" s="65">
        <v>900000</v>
      </c>
      <c r="CO5" s="65">
        <v>910000</v>
      </c>
      <c r="CP5" s="65">
        <v>920000</v>
      </c>
      <c r="CQ5" s="65">
        <v>930000</v>
      </c>
      <c r="CR5" s="65">
        <v>940000</v>
      </c>
      <c r="CS5" s="65">
        <v>950000</v>
      </c>
      <c r="CT5" s="65">
        <v>960000</v>
      </c>
      <c r="CU5" s="65">
        <v>970000</v>
      </c>
      <c r="CV5" s="65">
        <v>980000</v>
      </c>
      <c r="CW5" s="65">
        <v>990000</v>
      </c>
      <c r="CX5" s="65">
        <v>1000000</v>
      </c>
      <c r="CY5" s="65">
        <v>1010000</v>
      </c>
      <c r="CZ5" s="65">
        <v>1020000</v>
      </c>
      <c r="DA5" s="65">
        <v>1030000</v>
      </c>
      <c r="DB5" s="65">
        <v>1040000</v>
      </c>
      <c r="DC5" s="65">
        <v>1050000</v>
      </c>
      <c r="DD5" s="65">
        <v>1060000</v>
      </c>
      <c r="DE5" s="65">
        <v>1070000</v>
      </c>
      <c r="DF5" s="65">
        <v>1080000</v>
      </c>
    </row>
    <row r="6" spans="1:111" x14ac:dyDescent="0.25">
      <c r="A6" s="63" t="s">
        <v>334</v>
      </c>
      <c r="B6" s="64" t="str">
        <f>"'PARÁMETROS MANT.'!C7:BY7"</f>
        <v>'PARÁMETROS MANT.'!C7:BY7</v>
      </c>
      <c r="C6" s="65" t="s">
        <v>14</v>
      </c>
      <c r="D6" s="65" t="s">
        <v>15</v>
      </c>
      <c r="E6" s="65" t="s">
        <v>16</v>
      </c>
      <c r="F6" s="65" t="s">
        <v>17</v>
      </c>
      <c r="G6" s="65" t="s">
        <v>18</v>
      </c>
      <c r="H6" s="65" t="s">
        <v>19</v>
      </c>
      <c r="I6" s="65" t="s">
        <v>20</v>
      </c>
      <c r="J6" s="65" t="s">
        <v>21</v>
      </c>
      <c r="K6" s="65" t="s">
        <v>22</v>
      </c>
      <c r="L6" s="65" t="s">
        <v>23</v>
      </c>
      <c r="M6" s="65" t="s">
        <v>24</v>
      </c>
      <c r="N6" s="65" t="s">
        <v>25</v>
      </c>
      <c r="O6" s="65" t="s">
        <v>26</v>
      </c>
      <c r="P6" s="65" t="s">
        <v>27</v>
      </c>
      <c r="Q6" s="65" t="s">
        <v>28</v>
      </c>
      <c r="R6" s="65" t="s">
        <v>29</v>
      </c>
      <c r="S6" s="65" t="s">
        <v>30</v>
      </c>
      <c r="T6" s="65" t="s">
        <v>31</v>
      </c>
      <c r="U6" s="65" t="s">
        <v>32</v>
      </c>
      <c r="V6" s="65" t="s">
        <v>33</v>
      </c>
      <c r="W6" s="65" t="s">
        <v>34</v>
      </c>
      <c r="X6" s="65" t="s">
        <v>35</v>
      </c>
      <c r="Y6" s="65" t="s">
        <v>36</v>
      </c>
      <c r="Z6" s="65" t="s">
        <v>37</v>
      </c>
      <c r="AA6" s="65" t="s">
        <v>38</v>
      </c>
      <c r="AB6" s="65" t="s">
        <v>39</v>
      </c>
      <c r="AC6" s="65" t="s">
        <v>40</v>
      </c>
      <c r="AD6" s="65" t="s">
        <v>41</v>
      </c>
      <c r="AE6" s="65" t="s">
        <v>42</v>
      </c>
      <c r="AF6" s="65" t="s">
        <v>43</v>
      </c>
      <c r="AG6" s="65" t="s">
        <v>44</v>
      </c>
      <c r="AH6" s="65" t="s">
        <v>45</v>
      </c>
      <c r="AI6" s="65" t="s">
        <v>46</v>
      </c>
      <c r="AJ6" s="65" t="s">
        <v>47</v>
      </c>
      <c r="AK6" s="65" t="s">
        <v>48</v>
      </c>
      <c r="AL6" s="65" t="s">
        <v>49</v>
      </c>
      <c r="AM6" s="65" t="s">
        <v>50</v>
      </c>
      <c r="AN6" s="65" t="s">
        <v>51</v>
      </c>
      <c r="AO6" s="65" t="s">
        <v>52</v>
      </c>
      <c r="AP6" s="65" t="s">
        <v>53</v>
      </c>
      <c r="AQ6" s="65" t="s">
        <v>54</v>
      </c>
      <c r="AR6" s="65" t="s">
        <v>55</v>
      </c>
      <c r="AS6" s="65" t="s">
        <v>56</v>
      </c>
      <c r="AT6" s="65" t="s">
        <v>57</v>
      </c>
      <c r="AU6" s="65" t="s">
        <v>58</v>
      </c>
      <c r="AV6" s="65" t="s">
        <v>59</v>
      </c>
      <c r="AW6" s="65" t="s">
        <v>60</v>
      </c>
      <c r="AX6" s="65" t="s">
        <v>61</v>
      </c>
      <c r="AY6" s="65" t="s">
        <v>62</v>
      </c>
      <c r="AZ6" s="65" t="s">
        <v>63</v>
      </c>
      <c r="BA6" s="65" t="s">
        <v>64</v>
      </c>
      <c r="BB6" s="65" t="s">
        <v>65</v>
      </c>
      <c r="BC6" s="65" t="s">
        <v>66</v>
      </c>
      <c r="BD6" s="65" t="s">
        <v>67</v>
      </c>
      <c r="BE6" s="65" t="s">
        <v>68</v>
      </c>
      <c r="BF6" s="65" t="s">
        <v>69</v>
      </c>
      <c r="BG6" s="65" t="s">
        <v>70</v>
      </c>
      <c r="BH6" s="65" t="s">
        <v>283</v>
      </c>
      <c r="BI6" s="65" t="s">
        <v>284</v>
      </c>
      <c r="BJ6" s="65" t="s">
        <v>285</v>
      </c>
      <c r="BK6" s="65" t="s">
        <v>286</v>
      </c>
      <c r="BL6" s="65" t="s">
        <v>287</v>
      </c>
      <c r="BM6" s="65" t="s">
        <v>288</v>
      </c>
      <c r="BN6" s="65" t="s">
        <v>289</v>
      </c>
      <c r="BO6" s="65" t="s">
        <v>290</v>
      </c>
      <c r="BP6" s="65" t="s">
        <v>291</v>
      </c>
      <c r="BQ6" s="65" t="s">
        <v>292</v>
      </c>
      <c r="BR6" s="65" t="s">
        <v>293</v>
      </c>
      <c r="BS6" s="65" t="s">
        <v>294</v>
      </c>
      <c r="BT6" s="65" t="s">
        <v>295</v>
      </c>
      <c r="BU6" s="65" t="s">
        <v>296</v>
      </c>
      <c r="BV6" s="65" t="s">
        <v>297</v>
      </c>
      <c r="BW6" s="65" t="s">
        <v>298</v>
      </c>
      <c r="BX6" s="65" t="s">
        <v>299</v>
      </c>
      <c r="BY6" s="65" t="s">
        <v>300</v>
      </c>
      <c r="BZ6" s="65" t="s">
        <v>301</v>
      </c>
      <c r="CA6" s="65" t="s">
        <v>302</v>
      </c>
      <c r="CB6" s="65" t="s">
        <v>303</v>
      </c>
      <c r="CC6" s="65" t="s">
        <v>304</v>
      </c>
      <c r="CD6" s="65" t="s">
        <v>305</v>
      </c>
      <c r="CE6" s="65" t="s">
        <v>306</v>
      </c>
      <c r="CF6" s="65" t="s">
        <v>307</v>
      </c>
      <c r="CG6" s="65" t="s">
        <v>308</v>
      </c>
      <c r="CH6" s="65" t="s">
        <v>309</v>
      </c>
      <c r="CI6" s="65" t="s">
        <v>310</v>
      </c>
      <c r="CJ6" s="65" t="s">
        <v>311</v>
      </c>
      <c r="CK6" s="65" t="s">
        <v>312</v>
      </c>
      <c r="CL6" s="65" t="s">
        <v>313</v>
      </c>
      <c r="CM6" s="65" t="s">
        <v>314</v>
      </c>
      <c r="CN6" s="65" t="s">
        <v>315</v>
      </c>
      <c r="CO6" s="65" t="s">
        <v>316</v>
      </c>
      <c r="CP6" s="65" t="s">
        <v>317</v>
      </c>
      <c r="CQ6" s="65" t="s">
        <v>318</v>
      </c>
      <c r="CR6" s="65" t="s">
        <v>319</v>
      </c>
      <c r="CS6" s="65" t="s">
        <v>320</v>
      </c>
      <c r="CT6" s="65" t="s">
        <v>321</v>
      </c>
      <c r="CU6" s="65" t="s">
        <v>322</v>
      </c>
      <c r="CV6" s="65" t="s">
        <v>323</v>
      </c>
      <c r="CW6" s="65" t="s">
        <v>324</v>
      </c>
      <c r="CX6" s="65" t="s">
        <v>325</v>
      </c>
      <c r="CY6" s="65" t="s">
        <v>326</v>
      </c>
      <c r="CZ6" s="65" t="s">
        <v>403</v>
      </c>
      <c r="DA6" s="65" t="s">
        <v>404</v>
      </c>
      <c r="DB6" s="65" t="s">
        <v>405</v>
      </c>
      <c r="DC6" s="65" t="s">
        <v>406</v>
      </c>
      <c r="DD6" s="65" t="s">
        <v>407</v>
      </c>
      <c r="DE6" s="65" t="s">
        <v>408</v>
      </c>
      <c r="DF6" s="65" t="s">
        <v>409</v>
      </c>
    </row>
    <row r="7" spans="1:111" x14ac:dyDescent="0.25">
      <c r="A7" s="66" t="s">
        <v>396</v>
      </c>
      <c r="B7" s="64" t="s">
        <v>77</v>
      </c>
      <c r="C7" s="65">
        <v>10000</v>
      </c>
      <c r="D7" s="65">
        <v>20000</v>
      </c>
      <c r="E7" s="65">
        <v>30000</v>
      </c>
      <c r="F7" s="65">
        <v>40000</v>
      </c>
      <c r="G7" s="65">
        <v>50000</v>
      </c>
      <c r="H7" s="65">
        <v>60000</v>
      </c>
      <c r="I7" s="65">
        <v>70000</v>
      </c>
      <c r="J7" s="65">
        <v>80000</v>
      </c>
      <c r="K7" s="65">
        <v>90000</v>
      </c>
      <c r="L7" s="65">
        <v>100000</v>
      </c>
      <c r="M7" s="65">
        <v>110000</v>
      </c>
      <c r="N7" s="65">
        <v>120000</v>
      </c>
      <c r="O7" s="65">
        <v>130000</v>
      </c>
      <c r="P7" s="65">
        <v>140000</v>
      </c>
      <c r="Q7" s="65">
        <v>150000</v>
      </c>
      <c r="R7" s="65">
        <v>160000</v>
      </c>
      <c r="S7" s="65">
        <v>170000</v>
      </c>
      <c r="T7" s="65">
        <v>180000</v>
      </c>
      <c r="U7" s="65">
        <v>190000</v>
      </c>
      <c r="V7" s="65">
        <v>200000</v>
      </c>
      <c r="W7" s="65">
        <v>210000</v>
      </c>
      <c r="X7" s="65">
        <v>220000</v>
      </c>
      <c r="Y7" s="65">
        <v>230000</v>
      </c>
      <c r="Z7" s="65">
        <v>240000</v>
      </c>
      <c r="AA7" s="65">
        <v>250000</v>
      </c>
      <c r="AB7" s="65">
        <v>260000</v>
      </c>
      <c r="AC7" s="65">
        <v>270000</v>
      </c>
      <c r="AD7" s="65">
        <v>280000</v>
      </c>
      <c r="AE7" s="65">
        <v>290000</v>
      </c>
      <c r="AF7" s="65">
        <v>300000</v>
      </c>
      <c r="AG7" s="65">
        <v>310000</v>
      </c>
      <c r="AH7" s="65">
        <v>320000</v>
      </c>
      <c r="AI7" s="65">
        <v>330000</v>
      </c>
      <c r="AJ7" s="65">
        <v>340000</v>
      </c>
      <c r="AK7" s="65">
        <v>350000</v>
      </c>
      <c r="AL7" s="65">
        <v>360000</v>
      </c>
      <c r="AM7" s="65">
        <v>370000</v>
      </c>
      <c r="AN7" s="65">
        <v>380000</v>
      </c>
      <c r="AO7" s="65">
        <v>390000</v>
      </c>
      <c r="AP7" s="65">
        <v>400000</v>
      </c>
      <c r="AQ7" s="65">
        <v>410000</v>
      </c>
      <c r="AR7" s="65">
        <v>420000</v>
      </c>
      <c r="AS7" s="65">
        <v>430000</v>
      </c>
      <c r="AT7" s="65">
        <v>440000</v>
      </c>
      <c r="AU7" s="65">
        <v>450000</v>
      </c>
      <c r="AV7" s="65">
        <v>460000</v>
      </c>
      <c r="AW7" s="65">
        <v>470000</v>
      </c>
      <c r="AX7" s="65">
        <v>480000</v>
      </c>
      <c r="AY7" s="65">
        <v>490000</v>
      </c>
      <c r="AZ7" s="65">
        <v>500000</v>
      </c>
      <c r="BA7" s="65">
        <v>510000</v>
      </c>
      <c r="BB7" s="65">
        <v>520000</v>
      </c>
      <c r="BC7" s="65">
        <v>530000</v>
      </c>
      <c r="BD7" s="65">
        <v>540000</v>
      </c>
      <c r="BE7" s="65">
        <v>550000</v>
      </c>
      <c r="BF7" s="65">
        <v>560000</v>
      </c>
      <c r="BG7" s="65">
        <v>570000</v>
      </c>
      <c r="BH7" s="65">
        <v>580000</v>
      </c>
      <c r="BI7" s="65">
        <v>590000</v>
      </c>
      <c r="BJ7" s="65">
        <v>600000</v>
      </c>
      <c r="BK7" s="65">
        <v>610000</v>
      </c>
      <c r="BL7" s="65">
        <v>620000</v>
      </c>
      <c r="BM7" s="65">
        <v>630000</v>
      </c>
      <c r="BN7" s="65">
        <v>640000</v>
      </c>
      <c r="BO7" s="65">
        <v>650000</v>
      </c>
      <c r="BP7" s="65">
        <v>660000</v>
      </c>
      <c r="BQ7" s="65">
        <v>670000</v>
      </c>
      <c r="BR7" s="65">
        <v>680000</v>
      </c>
      <c r="BS7" s="65">
        <v>690000</v>
      </c>
      <c r="BT7" s="65">
        <v>700000</v>
      </c>
      <c r="BU7" s="65">
        <v>710000</v>
      </c>
      <c r="BV7" s="65">
        <v>720000</v>
      </c>
      <c r="BW7" s="65">
        <v>730000</v>
      </c>
      <c r="BX7" s="65">
        <v>740000</v>
      </c>
      <c r="BY7" s="65">
        <v>750000</v>
      </c>
      <c r="BZ7" s="65">
        <v>760000</v>
      </c>
      <c r="CA7" s="65">
        <v>770000</v>
      </c>
      <c r="CB7" s="65">
        <v>780000</v>
      </c>
      <c r="CC7" s="65">
        <v>790000</v>
      </c>
      <c r="CD7" s="65">
        <v>800000</v>
      </c>
      <c r="CE7" s="65">
        <v>810000</v>
      </c>
      <c r="CF7" s="65">
        <v>820000</v>
      </c>
      <c r="CG7" s="65">
        <v>830000</v>
      </c>
      <c r="CH7" s="65">
        <v>840000</v>
      </c>
      <c r="CI7" s="65">
        <v>850000</v>
      </c>
      <c r="CJ7" s="65">
        <v>860000</v>
      </c>
      <c r="CK7" s="65">
        <v>870000</v>
      </c>
      <c r="CL7" s="65">
        <v>880000</v>
      </c>
      <c r="CM7" s="65">
        <v>890000</v>
      </c>
      <c r="CN7" s="65">
        <v>900000</v>
      </c>
      <c r="CO7" s="65">
        <v>910000</v>
      </c>
      <c r="CP7" s="65">
        <v>920000</v>
      </c>
      <c r="CQ7" s="65">
        <v>930000</v>
      </c>
      <c r="CR7" s="65">
        <v>940000</v>
      </c>
      <c r="CS7" s="65">
        <v>950000</v>
      </c>
      <c r="CT7" s="65">
        <v>960000</v>
      </c>
      <c r="CU7" s="65">
        <v>970000</v>
      </c>
      <c r="CV7" s="65">
        <v>980000</v>
      </c>
      <c r="CW7" s="65">
        <v>990000</v>
      </c>
      <c r="CX7" s="65">
        <v>1000000</v>
      </c>
      <c r="CY7" s="65">
        <v>1010000</v>
      </c>
      <c r="CZ7" s="65">
        <v>1020000</v>
      </c>
      <c r="DA7" s="65">
        <v>1030000</v>
      </c>
      <c r="DB7" s="65">
        <v>1040000</v>
      </c>
      <c r="DC7" s="65">
        <v>1050000</v>
      </c>
      <c r="DD7" s="65">
        <v>1060000</v>
      </c>
      <c r="DE7" s="65">
        <v>1070000</v>
      </c>
      <c r="DF7" s="65">
        <v>1080000</v>
      </c>
    </row>
    <row r="8" spans="1:111" x14ac:dyDescent="0.25">
      <c r="A8" s="63" t="s">
        <v>197</v>
      </c>
      <c r="B8" s="64" t="str">
        <f>"'PARÁMETROS MANT.'!C9:GY9"</f>
        <v>'PARÁMETROS MANT.'!C9:GY9</v>
      </c>
      <c r="C8" s="65" t="s">
        <v>221</v>
      </c>
      <c r="D8" s="65" t="s">
        <v>382</v>
      </c>
      <c r="E8" s="65" t="s">
        <v>221</v>
      </c>
      <c r="F8" s="65" t="s">
        <v>222</v>
      </c>
      <c r="G8" s="65" t="s">
        <v>221</v>
      </c>
      <c r="H8" s="65" t="s">
        <v>382</v>
      </c>
      <c r="I8" s="65" t="s">
        <v>221</v>
      </c>
      <c r="J8" s="65" t="s">
        <v>222</v>
      </c>
      <c r="K8" s="65" t="s">
        <v>221</v>
      </c>
      <c r="L8" s="65" t="s">
        <v>382</v>
      </c>
      <c r="M8" s="65" t="s">
        <v>221</v>
      </c>
      <c r="N8" s="65" t="s">
        <v>222</v>
      </c>
      <c r="O8" s="65" t="s">
        <v>221</v>
      </c>
      <c r="P8" s="65" t="s">
        <v>382</v>
      </c>
      <c r="Q8" s="65" t="s">
        <v>221</v>
      </c>
      <c r="R8" s="65" t="s">
        <v>222</v>
      </c>
      <c r="S8" s="65" t="s">
        <v>221</v>
      </c>
      <c r="T8" s="65" t="s">
        <v>382</v>
      </c>
      <c r="U8" s="65" t="s">
        <v>221</v>
      </c>
      <c r="V8" s="65" t="s">
        <v>222</v>
      </c>
      <c r="W8" s="65" t="s">
        <v>221</v>
      </c>
      <c r="X8" s="65" t="s">
        <v>382</v>
      </c>
      <c r="Y8" s="65" t="s">
        <v>221</v>
      </c>
      <c r="Z8" s="65" t="s">
        <v>222</v>
      </c>
      <c r="AA8" s="65" t="s">
        <v>221</v>
      </c>
      <c r="AB8" s="65" t="s">
        <v>382</v>
      </c>
      <c r="AC8" s="65" t="s">
        <v>221</v>
      </c>
      <c r="AD8" s="65" t="s">
        <v>222</v>
      </c>
      <c r="AE8" s="65" t="s">
        <v>221</v>
      </c>
      <c r="AF8" s="65" t="s">
        <v>382</v>
      </c>
      <c r="AG8" s="65" t="s">
        <v>221</v>
      </c>
      <c r="AH8" s="65" t="s">
        <v>222</v>
      </c>
      <c r="AI8" s="65" t="s">
        <v>221</v>
      </c>
      <c r="AJ8" s="65" t="s">
        <v>382</v>
      </c>
      <c r="AK8" s="65" t="s">
        <v>221</v>
      </c>
      <c r="AL8" s="65" t="s">
        <v>222</v>
      </c>
      <c r="AM8" s="65" t="s">
        <v>221</v>
      </c>
      <c r="AN8" s="65" t="s">
        <v>382</v>
      </c>
      <c r="AO8" s="65" t="s">
        <v>221</v>
      </c>
      <c r="AP8" s="65" t="s">
        <v>222</v>
      </c>
      <c r="AQ8" s="65" t="s">
        <v>221</v>
      </c>
      <c r="AR8" s="65" t="s">
        <v>382</v>
      </c>
      <c r="AS8" s="65" t="s">
        <v>221</v>
      </c>
      <c r="AT8" s="65" t="s">
        <v>222</v>
      </c>
      <c r="AU8" s="65" t="s">
        <v>221</v>
      </c>
      <c r="AV8" s="65" t="s">
        <v>382</v>
      </c>
      <c r="AW8" s="65" t="s">
        <v>221</v>
      </c>
      <c r="AX8" s="65" t="s">
        <v>222</v>
      </c>
      <c r="AY8" s="65" t="s">
        <v>221</v>
      </c>
      <c r="AZ8" s="65" t="s">
        <v>382</v>
      </c>
      <c r="BA8" s="65" t="s">
        <v>221</v>
      </c>
      <c r="BB8" s="65" t="s">
        <v>222</v>
      </c>
      <c r="BC8" s="65" t="s">
        <v>221</v>
      </c>
      <c r="BD8" s="65" t="s">
        <v>382</v>
      </c>
      <c r="BE8" s="65" t="s">
        <v>221</v>
      </c>
      <c r="BF8" s="65" t="s">
        <v>222</v>
      </c>
      <c r="BG8" s="65" t="s">
        <v>221</v>
      </c>
      <c r="BH8" s="65" t="s">
        <v>382</v>
      </c>
      <c r="BI8" s="65" t="s">
        <v>221</v>
      </c>
      <c r="BJ8" s="65" t="s">
        <v>222</v>
      </c>
      <c r="BK8" s="65" t="s">
        <v>221</v>
      </c>
      <c r="BL8" s="65" t="s">
        <v>382</v>
      </c>
      <c r="BM8" s="65" t="s">
        <v>221</v>
      </c>
      <c r="BN8" s="65" t="s">
        <v>222</v>
      </c>
      <c r="BO8" s="65" t="s">
        <v>221</v>
      </c>
      <c r="BP8" s="65" t="s">
        <v>382</v>
      </c>
      <c r="BQ8" s="65" t="s">
        <v>221</v>
      </c>
      <c r="BR8" s="65" t="s">
        <v>222</v>
      </c>
      <c r="BS8" s="65" t="s">
        <v>221</v>
      </c>
      <c r="BT8" s="65" t="s">
        <v>382</v>
      </c>
      <c r="BU8" s="65" t="s">
        <v>221</v>
      </c>
      <c r="BV8" s="65" t="s">
        <v>222</v>
      </c>
      <c r="BW8" s="65" t="s">
        <v>221</v>
      </c>
      <c r="BX8" s="65" t="s">
        <v>382</v>
      </c>
      <c r="BY8" s="65" t="s">
        <v>221</v>
      </c>
      <c r="BZ8" s="65" t="s">
        <v>222</v>
      </c>
      <c r="CA8" s="65" t="s">
        <v>221</v>
      </c>
      <c r="CB8" s="65" t="s">
        <v>382</v>
      </c>
      <c r="CC8" s="65" t="s">
        <v>221</v>
      </c>
      <c r="CD8" s="65" t="s">
        <v>222</v>
      </c>
      <c r="CE8" s="65" t="s">
        <v>221</v>
      </c>
      <c r="CF8" s="65" t="s">
        <v>382</v>
      </c>
      <c r="CG8" s="65" t="s">
        <v>221</v>
      </c>
      <c r="CH8" s="65" t="s">
        <v>222</v>
      </c>
      <c r="CI8" s="65" t="s">
        <v>221</v>
      </c>
      <c r="CJ8" s="65" t="s">
        <v>382</v>
      </c>
      <c r="CK8" s="65" t="s">
        <v>221</v>
      </c>
      <c r="CL8" s="65" t="s">
        <v>222</v>
      </c>
      <c r="CM8" s="65" t="s">
        <v>221</v>
      </c>
      <c r="CN8" s="65" t="s">
        <v>382</v>
      </c>
      <c r="CO8" s="65" t="s">
        <v>221</v>
      </c>
      <c r="CP8" s="65" t="s">
        <v>222</v>
      </c>
      <c r="CQ8" s="65" t="s">
        <v>221</v>
      </c>
      <c r="CR8" s="65" t="s">
        <v>382</v>
      </c>
      <c r="CS8" s="65" t="s">
        <v>221</v>
      </c>
      <c r="CT8" s="65" t="s">
        <v>222</v>
      </c>
      <c r="CU8" s="65" t="s">
        <v>221</v>
      </c>
      <c r="CV8" s="65" t="s">
        <v>382</v>
      </c>
      <c r="CW8" s="65" t="s">
        <v>221</v>
      </c>
      <c r="CX8" s="65" t="s">
        <v>222</v>
      </c>
      <c r="CY8" s="65" t="s">
        <v>221</v>
      </c>
      <c r="CZ8" s="65" t="s">
        <v>382</v>
      </c>
      <c r="DA8" s="65" t="s">
        <v>221</v>
      </c>
      <c r="DB8" s="65" t="s">
        <v>222</v>
      </c>
      <c r="DC8" s="65" t="s">
        <v>221</v>
      </c>
      <c r="DD8" s="65" t="s">
        <v>382</v>
      </c>
      <c r="DE8" s="65" t="s">
        <v>221</v>
      </c>
      <c r="DF8" s="65" t="s">
        <v>222</v>
      </c>
    </row>
    <row r="9" spans="1:111" x14ac:dyDescent="0.25">
      <c r="A9" s="67" t="s">
        <v>397</v>
      </c>
      <c r="B9" s="64" t="s">
        <v>77</v>
      </c>
      <c r="C9" s="65">
        <v>20000</v>
      </c>
      <c r="D9" s="65">
        <v>40000</v>
      </c>
      <c r="E9" s="65">
        <v>60000</v>
      </c>
      <c r="F9" s="65">
        <v>80000</v>
      </c>
      <c r="G9" s="65">
        <v>100000</v>
      </c>
      <c r="H9" s="65">
        <v>120000</v>
      </c>
      <c r="I9" s="65">
        <v>140000</v>
      </c>
      <c r="J9" s="65">
        <v>160000</v>
      </c>
      <c r="K9" s="65">
        <v>180000</v>
      </c>
      <c r="L9" s="65">
        <v>200000</v>
      </c>
      <c r="M9" s="65">
        <v>220000</v>
      </c>
      <c r="N9" s="65">
        <v>240000</v>
      </c>
      <c r="O9" s="65">
        <v>260000</v>
      </c>
      <c r="P9" s="65">
        <v>280000</v>
      </c>
      <c r="Q9" s="65">
        <v>300000</v>
      </c>
      <c r="R9" s="65">
        <v>320000</v>
      </c>
      <c r="S9" s="65">
        <v>340000</v>
      </c>
      <c r="T9" s="65">
        <v>360000</v>
      </c>
      <c r="U9" s="65">
        <v>380000</v>
      </c>
      <c r="V9" s="65">
        <v>400000</v>
      </c>
      <c r="W9" s="65">
        <v>420000</v>
      </c>
      <c r="X9" s="65">
        <v>440000</v>
      </c>
      <c r="Y9" s="65">
        <v>460000</v>
      </c>
      <c r="Z9" s="65">
        <v>480000</v>
      </c>
      <c r="AA9" s="65">
        <v>500000</v>
      </c>
      <c r="AB9" s="65">
        <v>520000</v>
      </c>
      <c r="AC9" s="65">
        <v>540000</v>
      </c>
      <c r="AD9" s="65">
        <v>560000</v>
      </c>
      <c r="AE9" s="65">
        <v>580000</v>
      </c>
      <c r="AF9" s="65">
        <v>600000</v>
      </c>
      <c r="AG9" s="65">
        <v>620000</v>
      </c>
      <c r="AH9" s="65">
        <v>640000</v>
      </c>
      <c r="AI9" s="65">
        <v>660000</v>
      </c>
      <c r="AJ9" s="65">
        <v>680000</v>
      </c>
      <c r="AK9" s="65">
        <v>700000</v>
      </c>
      <c r="AL9" s="65">
        <v>720000</v>
      </c>
      <c r="AM9" s="65">
        <v>740000</v>
      </c>
      <c r="AN9" s="65">
        <v>760000</v>
      </c>
      <c r="AO9" s="65">
        <v>780000</v>
      </c>
      <c r="AP9" s="65">
        <v>800000</v>
      </c>
      <c r="AQ9" s="65">
        <v>820000</v>
      </c>
      <c r="AR9" s="65">
        <v>840000</v>
      </c>
      <c r="AS9" s="65">
        <v>860000</v>
      </c>
      <c r="AT9" s="65">
        <v>880000</v>
      </c>
      <c r="AU9" s="65">
        <v>900000</v>
      </c>
      <c r="AV9" s="65">
        <v>920000</v>
      </c>
      <c r="AW9" s="65">
        <v>940000</v>
      </c>
      <c r="AX9" s="65">
        <v>960000</v>
      </c>
      <c r="AY9" s="65">
        <v>980000</v>
      </c>
      <c r="AZ9" s="65">
        <v>1000000</v>
      </c>
      <c r="BA9" s="65">
        <v>1020000</v>
      </c>
      <c r="BB9" s="65">
        <v>1040000</v>
      </c>
      <c r="BC9" s="65">
        <v>1060000</v>
      </c>
      <c r="BD9" s="65">
        <v>1080000</v>
      </c>
      <c r="BE9" s="65">
        <v>1100000</v>
      </c>
      <c r="BF9" s="65">
        <v>1120000</v>
      </c>
      <c r="BG9" s="65">
        <v>1140000</v>
      </c>
      <c r="BH9" s="65">
        <v>1160000</v>
      </c>
      <c r="BI9" s="65">
        <v>1180000</v>
      </c>
      <c r="BJ9" s="65">
        <v>1200000</v>
      </c>
      <c r="BK9" s="65">
        <v>1220000</v>
      </c>
      <c r="BL9" s="65">
        <v>1240000</v>
      </c>
      <c r="BM9" s="65">
        <v>1260000</v>
      </c>
      <c r="BN9" s="65">
        <v>1280000</v>
      </c>
      <c r="BO9" s="65">
        <v>1300000</v>
      </c>
      <c r="BP9" s="65">
        <v>1320000</v>
      </c>
      <c r="BQ9" s="65">
        <v>1340000</v>
      </c>
      <c r="BR9" s="65">
        <v>1360000</v>
      </c>
      <c r="BS9" s="65">
        <v>1380000</v>
      </c>
      <c r="BT9" s="65">
        <v>1400000</v>
      </c>
      <c r="BU9" s="65">
        <v>1420000</v>
      </c>
      <c r="BV9" s="65">
        <v>1440000</v>
      </c>
      <c r="BW9" s="65">
        <v>1460000</v>
      </c>
      <c r="BX9" s="65">
        <v>1480000</v>
      </c>
      <c r="BY9" s="65">
        <v>1500000</v>
      </c>
      <c r="BZ9" s="65">
        <v>1520000</v>
      </c>
      <c r="CA9" s="65">
        <v>1540000</v>
      </c>
      <c r="CB9" s="65">
        <v>1560000</v>
      </c>
      <c r="CC9" s="65">
        <v>1580000</v>
      </c>
      <c r="CD9" s="65">
        <v>1600000</v>
      </c>
      <c r="CE9" s="65">
        <v>1620000</v>
      </c>
      <c r="CF9" s="65">
        <v>1640000</v>
      </c>
      <c r="CG9" s="65">
        <v>1660000</v>
      </c>
      <c r="CH9" s="65">
        <v>1680000</v>
      </c>
      <c r="CI9" s="65">
        <v>1700000</v>
      </c>
      <c r="CJ9" s="65">
        <v>1720000</v>
      </c>
      <c r="CK9" s="65">
        <v>1740000</v>
      </c>
      <c r="CL9" s="65">
        <v>1760000</v>
      </c>
      <c r="CM9" s="65">
        <v>1780000</v>
      </c>
      <c r="CN9" s="65">
        <v>1800000</v>
      </c>
      <c r="CO9" s="65">
        <v>1820000</v>
      </c>
      <c r="CP9" s="65">
        <v>1840000</v>
      </c>
      <c r="CQ9" s="65">
        <v>1860000</v>
      </c>
      <c r="CR9" s="65">
        <v>1880000</v>
      </c>
      <c r="CS9" s="65">
        <v>1900000</v>
      </c>
      <c r="CT9" s="65">
        <v>1920000</v>
      </c>
      <c r="CU9" s="65">
        <v>1940000</v>
      </c>
      <c r="CV9" s="65">
        <v>1960000</v>
      </c>
      <c r="CW9" s="65">
        <v>1980000</v>
      </c>
      <c r="CX9" s="65">
        <v>2000000</v>
      </c>
      <c r="CY9" s="65">
        <v>2020000</v>
      </c>
      <c r="CZ9" s="65">
        <v>2040000</v>
      </c>
      <c r="DA9" s="65">
        <v>2060000</v>
      </c>
      <c r="DB9" s="65">
        <v>2080000</v>
      </c>
      <c r="DC9" s="65">
        <v>2100000</v>
      </c>
      <c r="DD9" s="65">
        <v>2120000</v>
      </c>
      <c r="DE9" s="65">
        <v>2140000</v>
      </c>
      <c r="DF9" s="65">
        <v>2160000</v>
      </c>
    </row>
    <row r="10" spans="1:111" x14ac:dyDescent="0.25">
      <c r="A10" s="63" t="s">
        <v>224</v>
      </c>
      <c r="B10" s="64" t="str">
        <f>"'PARÁMETROS MANT.'!C11:CY11"</f>
        <v>'PARÁMETROS MANT.'!C11:CY11</v>
      </c>
      <c r="C10" s="65" t="s">
        <v>8</v>
      </c>
      <c r="D10" s="65" t="s">
        <v>8</v>
      </c>
      <c r="E10" s="65" t="s">
        <v>9</v>
      </c>
      <c r="F10" s="65" t="s">
        <v>8</v>
      </c>
      <c r="G10" s="65" t="s">
        <v>8</v>
      </c>
      <c r="H10" s="65" t="s">
        <v>10</v>
      </c>
      <c r="I10" s="65" t="s">
        <v>8</v>
      </c>
      <c r="J10" s="65" t="s">
        <v>8</v>
      </c>
      <c r="K10" s="65" t="s">
        <v>9</v>
      </c>
      <c r="L10" s="65" t="s">
        <v>8</v>
      </c>
      <c r="M10" s="65" t="s">
        <v>8</v>
      </c>
      <c r="N10" s="65" t="s">
        <v>10</v>
      </c>
      <c r="O10" s="65" t="s">
        <v>8</v>
      </c>
      <c r="P10" s="65" t="s">
        <v>8</v>
      </c>
      <c r="Q10" s="65" t="s">
        <v>11</v>
      </c>
      <c r="R10" s="65" t="s">
        <v>8</v>
      </c>
      <c r="S10" s="65" t="s">
        <v>8</v>
      </c>
      <c r="T10" s="65" t="s">
        <v>10</v>
      </c>
      <c r="U10" s="65" t="s">
        <v>8</v>
      </c>
      <c r="V10" s="65" t="s">
        <v>8</v>
      </c>
      <c r="W10" s="65" t="s">
        <v>9</v>
      </c>
      <c r="X10" s="65" t="s">
        <v>8</v>
      </c>
      <c r="Y10" s="65" t="s">
        <v>8</v>
      </c>
      <c r="Z10" s="65" t="s">
        <v>10</v>
      </c>
      <c r="AA10" s="65" t="s">
        <v>8</v>
      </c>
      <c r="AB10" s="65" t="s">
        <v>8</v>
      </c>
      <c r="AC10" s="65" t="s">
        <v>9</v>
      </c>
      <c r="AD10" s="65" t="s">
        <v>8</v>
      </c>
      <c r="AE10" s="65" t="s">
        <v>8</v>
      </c>
      <c r="AF10" s="65" t="s">
        <v>10</v>
      </c>
      <c r="AG10" s="65" t="s">
        <v>8</v>
      </c>
      <c r="AH10" s="65" t="s">
        <v>8</v>
      </c>
      <c r="AI10" s="65" t="s">
        <v>11</v>
      </c>
      <c r="AJ10" s="65" t="s">
        <v>8</v>
      </c>
      <c r="AK10" s="65" t="s">
        <v>8</v>
      </c>
      <c r="AL10" s="65" t="s">
        <v>9</v>
      </c>
      <c r="AM10" s="65" t="s">
        <v>8</v>
      </c>
      <c r="AN10" s="65" t="s">
        <v>8</v>
      </c>
      <c r="AO10" s="65" t="s">
        <v>10</v>
      </c>
      <c r="AP10" s="65" t="s">
        <v>8</v>
      </c>
      <c r="AQ10" s="65" t="s">
        <v>8</v>
      </c>
      <c r="AR10" s="65" t="s">
        <v>9</v>
      </c>
      <c r="AS10" s="65" t="s">
        <v>8</v>
      </c>
      <c r="AT10" s="65" t="s">
        <v>8</v>
      </c>
      <c r="AU10" s="65" t="s">
        <v>10</v>
      </c>
      <c r="AV10" s="65" t="s">
        <v>8</v>
      </c>
      <c r="AW10" s="65" t="s">
        <v>8</v>
      </c>
      <c r="AX10" s="65" t="s">
        <v>11</v>
      </c>
      <c r="AY10" s="65" t="s">
        <v>8</v>
      </c>
      <c r="AZ10" s="65" t="s">
        <v>8</v>
      </c>
      <c r="BA10" s="65" t="s">
        <v>10</v>
      </c>
      <c r="BB10" s="65" t="s">
        <v>8</v>
      </c>
      <c r="BC10" s="65" t="s">
        <v>8</v>
      </c>
      <c r="BD10" s="65" t="s">
        <v>9</v>
      </c>
      <c r="BE10" s="65" t="s">
        <v>8</v>
      </c>
      <c r="BF10" s="65" t="s">
        <v>8</v>
      </c>
      <c r="BG10" s="65" t="s">
        <v>10</v>
      </c>
      <c r="BH10" s="65" t="s">
        <v>8</v>
      </c>
      <c r="BI10" s="65" t="s">
        <v>8</v>
      </c>
      <c r="BJ10" s="65" t="s">
        <v>9</v>
      </c>
      <c r="BK10" s="65" t="s">
        <v>8</v>
      </c>
      <c r="BL10" s="65" t="s">
        <v>8</v>
      </c>
      <c r="BM10" s="65" t="s">
        <v>10</v>
      </c>
      <c r="BN10" s="65" t="s">
        <v>8</v>
      </c>
      <c r="BO10" s="65" t="s">
        <v>8</v>
      </c>
      <c r="BP10" s="65" t="s">
        <v>11</v>
      </c>
      <c r="BQ10" s="65" t="s">
        <v>8</v>
      </c>
      <c r="BR10" s="65" t="s">
        <v>8</v>
      </c>
      <c r="BS10" s="65" t="s">
        <v>9</v>
      </c>
      <c r="BT10" s="65" t="s">
        <v>8</v>
      </c>
      <c r="BU10" s="65" t="s">
        <v>8</v>
      </c>
      <c r="BV10" s="65" t="s">
        <v>10</v>
      </c>
      <c r="BW10" s="65" t="s">
        <v>8</v>
      </c>
      <c r="BX10" s="65" t="s">
        <v>8</v>
      </c>
      <c r="BY10" s="65" t="s">
        <v>9</v>
      </c>
      <c r="BZ10" s="65" t="s">
        <v>8</v>
      </c>
      <c r="CA10" s="65" t="s">
        <v>8</v>
      </c>
      <c r="CB10" s="65" t="s">
        <v>10</v>
      </c>
      <c r="CC10" s="65" t="s">
        <v>8</v>
      </c>
      <c r="CD10" s="65" t="s">
        <v>8</v>
      </c>
      <c r="CE10" s="65" t="s">
        <v>11</v>
      </c>
      <c r="CF10" s="65" t="s">
        <v>8</v>
      </c>
      <c r="CG10" s="65" t="s">
        <v>8</v>
      </c>
      <c r="CH10" s="65" t="s">
        <v>10</v>
      </c>
      <c r="CI10" s="65" t="s">
        <v>8</v>
      </c>
      <c r="CJ10" s="65" t="s">
        <v>8</v>
      </c>
      <c r="CK10" s="65" t="s">
        <v>9</v>
      </c>
      <c r="CL10" s="65" t="s">
        <v>8</v>
      </c>
      <c r="CM10" s="65" t="s">
        <v>8</v>
      </c>
      <c r="CN10" s="65" t="s">
        <v>10</v>
      </c>
      <c r="CO10" s="65" t="s">
        <v>8</v>
      </c>
      <c r="CP10" s="65" t="s">
        <v>8</v>
      </c>
      <c r="CQ10" s="65" t="s">
        <v>9</v>
      </c>
      <c r="CR10" s="65" t="s">
        <v>8</v>
      </c>
      <c r="CS10" s="65" t="s">
        <v>8</v>
      </c>
      <c r="CT10" s="65" t="s">
        <v>10</v>
      </c>
      <c r="CU10" s="65" t="s">
        <v>8</v>
      </c>
      <c r="CV10" s="65" t="s">
        <v>8</v>
      </c>
      <c r="CW10" s="65" t="s">
        <v>11</v>
      </c>
      <c r="CX10" s="65" t="s">
        <v>8</v>
      </c>
      <c r="CY10" s="65" t="s">
        <v>8</v>
      </c>
      <c r="CZ10" s="65" t="s">
        <v>9</v>
      </c>
      <c r="DA10" s="65" t="s">
        <v>8</v>
      </c>
      <c r="DB10" s="65" t="s">
        <v>8</v>
      </c>
      <c r="DC10" s="65" t="s">
        <v>10</v>
      </c>
      <c r="DD10" s="65" t="s">
        <v>8</v>
      </c>
      <c r="DE10" s="65" t="s">
        <v>8</v>
      </c>
      <c r="DF10" s="65" t="s">
        <v>9</v>
      </c>
    </row>
    <row r="11" spans="1:111" x14ac:dyDescent="0.25">
      <c r="A11" s="66" t="s">
        <v>393</v>
      </c>
      <c r="B11" s="64" t="s">
        <v>77</v>
      </c>
      <c r="C11" s="65">
        <v>10000</v>
      </c>
      <c r="D11" s="65">
        <v>20000</v>
      </c>
      <c r="E11" s="65">
        <v>30000</v>
      </c>
      <c r="F11" s="65">
        <v>40000</v>
      </c>
      <c r="G11" s="65">
        <v>50000</v>
      </c>
      <c r="H11" s="65">
        <v>60000</v>
      </c>
      <c r="I11" s="65">
        <v>70000</v>
      </c>
      <c r="J11" s="65">
        <v>80000</v>
      </c>
      <c r="K11" s="65">
        <v>90000</v>
      </c>
      <c r="L11" s="65">
        <v>100000</v>
      </c>
      <c r="M11" s="65">
        <v>110000</v>
      </c>
      <c r="N11" s="65">
        <v>120000</v>
      </c>
      <c r="O11" s="65">
        <v>130000</v>
      </c>
      <c r="P11" s="65">
        <v>140000</v>
      </c>
      <c r="Q11" s="65">
        <v>150000</v>
      </c>
      <c r="R11" s="65">
        <v>160000</v>
      </c>
      <c r="S11" s="65">
        <v>170000</v>
      </c>
      <c r="T11" s="65">
        <v>180000</v>
      </c>
      <c r="U11" s="65">
        <v>190000</v>
      </c>
      <c r="V11" s="65">
        <v>200000</v>
      </c>
      <c r="W11" s="65">
        <v>210000</v>
      </c>
      <c r="X11" s="65">
        <v>220000</v>
      </c>
      <c r="Y11" s="65">
        <v>230000</v>
      </c>
      <c r="Z11" s="65">
        <v>240000</v>
      </c>
      <c r="AA11" s="65">
        <v>250000</v>
      </c>
      <c r="AB11" s="65">
        <v>260000</v>
      </c>
      <c r="AC11" s="65">
        <v>270000</v>
      </c>
      <c r="AD11" s="65">
        <v>280000</v>
      </c>
      <c r="AE11" s="65">
        <v>290000</v>
      </c>
      <c r="AF11" s="65">
        <v>300000</v>
      </c>
      <c r="AG11" s="65">
        <v>310000</v>
      </c>
      <c r="AH11" s="65">
        <v>320000</v>
      </c>
      <c r="AI11" s="65">
        <v>330000</v>
      </c>
      <c r="AJ11" s="65">
        <v>340000</v>
      </c>
      <c r="AK11" s="65">
        <v>350000</v>
      </c>
      <c r="AL11" s="65">
        <v>360000</v>
      </c>
      <c r="AM11" s="65">
        <v>370000</v>
      </c>
      <c r="AN11" s="65">
        <v>380000</v>
      </c>
      <c r="AO11" s="65">
        <v>390000</v>
      </c>
      <c r="AP11" s="65">
        <v>400000</v>
      </c>
      <c r="AQ11" s="65">
        <v>410000</v>
      </c>
      <c r="AR11" s="65">
        <v>420000</v>
      </c>
      <c r="AS11" s="65">
        <v>430000</v>
      </c>
      <c r="AT11" s="65">
        <v>440000</v>
      </c>
      <c r="AU11" s="65">
        <v>450000</v>
      </c>
      <c r="AV11" s="65">
        <v>460000</v>
      </c>
      <c r="AW11" s="65">
        <v>470000</v>
      </c>
      <c r="AX11" s="65">
        <v>480000</v>
      </c>
      <c r="AY11" s="65">
        <v>490000</v>
      </c>
      <c r="AZ11" s="65">
        <v>500000</v>
      </c>
      <c r="BA11" s="65">
        <v>510000</v>
      </c>
      <c r="BB11" s="65">
        <v>520000</v>
      </c>
      <c r="BC11" s="65">
        <v>530000</v>
      </c>
      <c r="BD11" s="65">
        <v>540000</v>
      </c>
      <c r="BE11" s="65">
        <v>550000</v>
      </c>
      <c r="BF11" s="65">
        <v>560000</v>
      </c>
      <c r="BG11" s="65">
        <v>570000</v>
      </c>
      <c r="BH11" s="65">
        <v>580000</v>
      </c>
      <c r="BI11" s="65">
        <v>590000</v>
      </c>
      <c r="BJ11" s="65">
        <v>600000</v>
      </c>
      <c r="BK11" s="65">
        <v>610000</v>
      </c>
      <c r="BL11" s="65">
        <v>620000</v>
      </c>
      <c r="BM11" s="65">
        <v>630000</v>
      </c>
      <c r="BN11" s="65">
        <v>640000</v>
      </c>
      <c r="BO11" s="65">
        <v>650000</v>
      </c>
      <c r="BP11" s="65">
        <v>660000</v>
      </c>
      <c r="BQ11" s="65">
        <v>670000</v>
      </c>
      <c r="BR11" s="65">
        <v>680000</v>
      </c>
      <c r="BS11" s="65">
        <v>690000</v>
      </c>
      <c r="BT11" s="65">
        <v>700000</v>
      </c>
      <c r="BU11" s="65">
        <v>710000</v>
      </c>
      <c r="BV11" s="65">
        <v>720000</v>
      </c>
      <c r="BW11" s="65">
        <v>730000</v>
      </c>
      <c r="BX11" s="65">
        <v>740000</v>
      </c>
      <c r="BY11" s="65">
        <v>750000</v>
      </c>
      <c r="BZ11" s="65">
        <v>760000</v>
      </c>
      <c r="CA11" s="65">
        <v>770000</v>
      </c>
      <c r="CB11" s="65">
        <v>780000</v>
      </c>
      <c r="CC11" s="65">
        <v>790000</v>
      </c>
      <c r="CD11" s="65">
        <v>800000</v>
      </c>
      <c r="CE11" s="65">
        <v>810000</v>
      </c>
      <c r="CF11" s="65">
        <v>820000</v>
      </c>
      <c r="CG11" s="65">
        <v>830000</v>
      </c>
      <c r="CH11" s="65">
        <v>840000</v>
      </c>
      <c r="CI11" s="65">
        <v>850000</v>
      </c>
      <c r="CJ11" s="65">
        <v>860000</v>
      </c>
      <c r="CK11" s="65">
        <v>870000</v>
      </c>
      <c r="CL11" s="65">
        <v>880000</v>
      </c>
      <c r="CM11" s="65">
        <v>890000</v>
      </c>
      <c r="CN11" s="65">
        <v>900000</v>
      </c>
      <c r="CO11" s="65">
        <v>910000</v>
      </c>
      <c r="CP11" s="65">
        <v>920000</v>
      </c>
      <c r="CQ11" s="65">
        <v>930000</v>
      </c>
      <c r="CR11" s="65">
        <v>940000</v>
      </c>
      <c r="CS11" s="65">
        <v>950000</v>
      </c>
      <c r="CT11" s="65">
        <v>960000</v>
      </c>
      <c r="CU11" s="65">
        <v>970000</v>
      </c>
      <c r="CV11" s="65">
        <v>980000</v>
      </c>
      <c r="CW11" s="65">
        <v>990000</v>
      </c>
      <c r="CX11" s="65">
        <v>1000000</v>
      </c>
      <c r="CY11" s="65">
        <v>1010000</v>
      </c>
      <c r="CZ11" s="65">
        <v>1020000</v>
      </c>
      <c r="DA11" s="65">
        <v>1030000</v>
      </c>
      <c r="DB11" s="65">
        <v>1040000</v>
      </c>
      <c r="DC11" s="65">
        <v>1050000</v>
      </c>
      <c r="DD11" s="65">
        <v>1060000</v>
      </c>
      <c r="DE11" s="65">
        <v>1070000</v>
      </c>
      <c r="DF11" s="65">
        <v>1080000</v>
      </c>
    </row>
    <row r="12" spans="1:111" x14ac:dyDescent="0.25">
      <c r="A12" s="63" t="s">
        <v>423</v>
      </c>
      <c r="B12" s="64" t="str">
        <f>"'PARÁMETROS MANT.'!C13:CY13"</f>
        <v>'PARÁMETROS MANT.'!C13:CY13</v>
      </c>
      <c r="C12" s="65" t="s">
        <v>430</v>
      </c>
      <c r="D12" s="65" t="s">
        <v>221</v>
      </c>
      <c r="E12" s="65" t="s">
        <v>382</v>
      </c>
      <c r="F12" s="65" t="s">
        <v>221</v>
      </c>
      <c r="G12" s="65" t="s">
        <v>222</v>
      </c>
      <c r="H12" s="65" t="s">
        <v>221</v>
      </c>
      <c r="I12" s="65" t="s">
        <v>382</v>
      </c>
      <c r="J12" s="65" t="s">
        <v>221</v>
      </c>
      <c r="K12" s="65" t="s">
        <v>222</v>
      </c>
      <c r="L12" s="65" t="s">
        <v>221</v>
      </c>
      <c r="M12" s="65" t="s">
        <v>382</v>
      </c>
      <c r="N12" s="65" t="s">
        <v>221</v>
      </c>
      <c r="O12" s="65" t="s">
        <v>222</v>
      </c>
      <c r="P12" s="65" t="s">
        <v>221</v>
      </c>
      <c r="Q12" s="65" t="s">
        <v>382</v>
      </c>
      <c r="R12" s="65" t="s">
        <v>221</v>
      </c>
      <c r="S12" s="65" t="s">
        <v>222</v>
      </c>
      <c r="T12" s="65" t="s">
        <v>221</v>
      </c>
      <c r="U12" s="65" t="s">
        <v>382</v>
      </c>
      <c r="V12" s="65" t="s">
        <v>221</v>
      </c>
      <c r="W12" s="65" t="s">
        <v>222</v>
      </c>
      <c r="X12" s="65" t="s">
        <v>221</v>
      </c>
      <c r="Y12" s="65" t="s">
        <v>382</v>
      </c>
      <c r="Z12" s="65" t="s">
        <v>221</v>
      </c>
      <c r="AA12" s="65" t="s">
        <v>222</v>
      </c>
      <c r="AB12" s="65" t="s">
        <v>221</v>
      </c>
      <c r="AC12" s="65" t="s">
        <v>382</v>
      </c>
      <c r="AD12" s="65" t="s">
        <v>221</v>
      </c>
      <c r="AE12" s="65" t="s">
        <v>222</v>
      </c>
      <c r="AF12" s="65" t="s">
        <v>221</v>
      </c>
      <c r="AG12" s="65" t="s">
        <v>382</v>
      </c>
      <c r="AH12" s="65" t="s">
        <v>221</v>
      </c>
      <c r="AI12" s="65" t="s">
        <v>222</v>
      </c>
      <c r="AJ12" s="65" t="s">
        <v>221</v>
      </c>
      <c r="AK12" s="65" t="s">
        <v>382</v>
      </c>
      <c r="AL12" s="65" t="s">
        <v>221</v>
      </c>
      <c r="AM12" s="65" t="s">
        <v>222</v>
      </c>
      <c r="AN12" s="65" t="s">
        <v>221</v>
      </c>
      <c r="AO12" s="65" t="s">
        <v>382</v>
      </c>
      <c r="AP12" s="65" t="s">
        <v>221</v>
      </c>
      <c r="AQ12" s="65" t="s">
        <v>222</v>
      </c>
      <c r="AR12" s="65" t="s">
        <v>221</v>
      </c>
      <c r="AS12" s="65" t="s">
        <v>382</v>
      </c>
      <c r="AT12" s="65" t="s">
        <v>221</v>
      </c>
      <c r="AU12" s="65" t="s">
        <v>222</v>
      </c>
      <c r="AV12" s="65" t="s">
        <v>221</v>
      </c>
      <c r="AW12" s="65" t="s">
        <v>382</v>
      </c>
      <c r="AX12" s="65" t="s">
        <v>221</v>
      </c>
      <c r="AY12" s="65" t="s">
        <v>222</v>
      </c>
      <c r="AZ12" s="65" t="s">
        <v>221</v>
      </c>
      <c r="BA12" s="65" t="s">
        <v>382</v>
      </c>
      <c r="BB12" s="65" t="s">
        <v>221</v>
      </c>
      <c r="BC12" s="65" t="s">
        <v>222</v>
      </c>
      <c r="BD12" s="65" t="s">
        <v>221</v>
      </c>
      <c r="BE12" s="65" t="s">
        <v>382</v>
      </c>
      <c r="BF12" s="65" t="s">
        <v>221</v>
      </c>
      <c r="BG12" s="65" t="s">
        <v>222</v>
      </c>
      <c r="BH12" s="65" t="s">
        <v>221</v>
      </c>
      <c r="BI12" s="65" t="s">
        <v>382</v>
      </c>
      <c r="BJ12" s="65" t="s">
        <v>221</v>
      </c>
      <c r="BK12" s="65" t="s">
        <v>222</v>
      </c>
      <c r="BL12" s="65" t="s">
        <v>221</v>
      </c>
      <c r="BM12" s="65" t="s">
        <v>382</v>
      </c>
      <c r="BN12" s="65" t="s">
        <v>221</v>
      </c>
      <c r="BO12" s="65" t="s">
        <v>222</v>
      </c>
      <c r="BP12" s="65" t="s">
        <v>221</v>
      </c>
      <c r="BQ12" s="65" t="s">
        <v>382</v>
      </c>
      <c r="BR12" s="65" t="s">
        <v>221</v>
      </c>
      <c r="BS12" s="65" t="s">
        <v>222</v>
      </c>
      <c r="BT12" s="65" t="s">
        <v>221</v>
      </c>
      <c r="BU12" s="65" t="s">
        <v>382</v>
      </c>
      <c r="BV12" s="65" t="s">
        <v>221</v>
      </c>
      <c r="BW12" s="65" t="s">
        <v>222</v>
      </c>
      <c r="BX12" s="65" t="s">
        <v>221</v>
      </c>
      <c r="BY12" s="65" t="s">
        <v>382</v>
      </c>
      <c r="BZ12" s="65" t="s">
        <v>221</v>
      </c>
      <c r="CA12" s="65" t="s">
        <v>222</v>
      </c>
      <c r="CB12" s="65" t="s">
        <v>221</v>
      </c>
      <c r="CC12" s="65" t="s">
        <v>382</v>
      </c>
      <c r="CD12" s="65" t="s">
        <v>221</v>
      </c>
      <c r="CE12" s="65" t="s">
        <v>222</v>
      </c>
      <c r="CF12" s="65" t="s">
        <v>221</v>
      </c>
      <c r="CG12" s="65" t="s">
        <v>382</v>
      </c>
      <c r="CH12" s="65" t="s">
        <v>221</v>
      </c>
      <c r="CI12" s="65" t="s">
        <v>222</v>
      </c>
      <c r="CJ12" s="65" t="s">
        <v>221</v>
      </c>
      <c r="CK12" s="65" t="s">
        <v>382</v>
      </c>
      <c r="CL12" s="65" t="s">
        <v>221</v>
      </c>
      <c r="CM12" s="65" t="s">
        <v>222</v>
      </c>
      <c r="CN12" s="65" t="s">
        <v>221</v>
      </c>
      <c r="CO12" s="65" t="s">
        <v>382</v>
      </c>
      <c r="CP12" s="65" t="s">
        <v>221</v>
      </c>
      <c r="CQ12" s="65" t="s">
        <v>222</v>
      </c>
      <c r="CR12" s="65" t="s">
        <v>221</v>
      </c>
      <c r="CS12" s="65" t="s">
        <v>382</v>
      </c>
      <c r="CT12" s="65" t="s">
        <v>221</v>
      </c>
      <c r="CU12" s="65" t="s">
        <v>222</v>
      </c>
      <c r="CV12" s="65" t="s">
        <v>221</v>
      </c>
      <c r="CW12" s="65" t="s">
        <v>382</v>
      </c>
      <c r="CX12" s="65" t="s">
        <v>221</v>
      </c>
      <c r="CY12" s="65" t="s">
        <v>222</v>
      </c>
      <c r="CZ12" s="65" t="s">
        <v>221</v>
      </c>
      <c r="DA12" s="65" t="s">
        <v>222</v>
      </c>
      <c r="DB12" s="65" t="s">
        <v>221</v>
      </c>
      <c r="DC12" s="65" t="s">
        <v>382</v>
      </c>
      <c r="DD12" s="65" t="s">
        <v>221</v>
      </c>
      <c r="DE12" s="65" t="s">
        <v>222</v>
      </c>
      <c r="DF12" s="65" t="s">
        <v>221</v>
      </c>
      <c r="DG12" s="65" t="s">
        <v>222</v>
      </c>
    </row>
    <row r="13" spans="1:111" x14ac:dyDescent="0.25">
      <c r="A13" s="66" t="s">
        <v>426</v>
      </c>
      <c r="B13" s="64"/>
      <c r="C13" s="65">
        <v>5000</v>
      </c>
      <c r="D13" s="65">
        <v>30000</v>
      </c>
      <c r="E13" s="65">
        <v>60000</v>
      </c>
      <c r="F13" s="65">
        <v>90000</v>
      </c>
      <c r="G13" s="65">
        <v>120000</v>
      </c>
      <c r="H13" s="65">
        <v>150000</v>
      </c>
      <c r="I13" s="65">
        <v>180000</v>
      </c>
      <c r="J13" s="65">
        <v>210000</v>
      </c>
      <c r="K13" s="65">
        <v>240000</v>
      </c>
      <c r="L13" s="65">
        <v>270000</v>
      </c>
      <c r="M13" s="65">
        <v>300000</v>
      </c>
      <c r="N13" s="65">
        <v>330000</v>
      </c>
      <c r="O13" s="65">
        <v>360000</v>
      </c>
      <c r="P13" s="65">
        <v>390000</v>
      </c>
      <c r="Q13" s="65">
        <v>420000</v>
      </c>
      <c r="R13" s="65">
        <v>450000</v>
      </c>
      <c r="S13" s="65">
        <v>480000</v>
      </c>
      <c r="T13" s="65">
        <v>510000</v>
      </c>
      <c r="U13" s="65">
        <v>540000</v>
      </c>
      <c r="V13" s="65">
        <v>570000</v>
      </c>
      <c r="W13" s="65">
        <v>600000</v>
      </c>
      <c r="X13" s="65">
        <v>630000</v>
      </c>
      <c r="Y13" s="65">
        <v>660000</v>
      </c>
      <c r="Z13" s="65">
        <v>690000</v>
      </c>
      <c r="AA13" s="65">
        <v>720000</v>
      </c>
      <c r="AB13" s="65">
        <v>750000</v>
      </c>
      <c r="AC13" s="65">
        <v>780000</v>
      </c>
      <c r="AD13" s="65">
        <v>810000</v>
      </c>
      <c r="AE13" s="65">
        <v>840000</v>
      </c>
      <c r="AF13" s="65">
        <v>870000</v>
      </c>
      <c r="AG13" s="65">
        <v>900000</v>
      </c>
      <c r="AH13" s="65">
        <v>930000</v>
      </c>
      <c r="AI13" s="65">
        <v>960000</v>
      </c>
      <c r="AJ13" s="65">
        <v>990000</v>
      </c>
      <c r="AK13" s="65">
        <v>1020000</v>
      </c>
      <c r="AL13" s="65">
        <v>1050000</v>
      </c>
      <c r="AM13" s="65">
        <v>1080000</v>
      </c>
      <c r="AN13" s="65">
        <v>1110000</v>
      </c>
      <c r="AO13" s="65">
        <v>1140000</v>
      </c>
      <c r="AP13" s="65">
        <v>1170000</v>
      </c>
      <c r="AQ13" s="65">
        <v>1200000</v>
      </c>
      <c r="AR13" s="65">
        <v>1230000</v>
      </c>
      <c r="AS13" s="65">
        <v>1260000</v>
      </c>
      <c r="AT13" s="65">
        <v>1290000</v>
      </c>
      <c r="AU13" s="65">
        <v>1320000</v>
      </c>
      <c r="AV13" s="65">
        <v>1350000</v>
      </c>
      <c r="AW13" s="65">
        <v>1380000</v>
      </c>
      <c r="AX13" s="65">
        <v>1410000</v>
      </c>
      <c r="AY13" s="65">
        <v>1440000</v>
      </c>
      <c r="AZ13" s="65">
        <v>1470000</v>
      </c>
      <c r="BA13" s="65">
        <v>1500000</v>
      </c>
      <c r="BB13" s="65">
        <v>1530000</v>
      </c>
      <c r="BC13" s="65">
        <v>1560000</v>
      </c>
      <c r="BD13" s="65">
        <v>1590000</v>
      </c>
      <c r="BE13" s="65">
        <v>1620000</v>
      </c>
      <c r="BF13" s="65">
        <v>1650000</v>
      </c>
      <c r="BG13" s="65">
        <v>1680000</v>
      </c>
      <c r="BH13" s="65">
        <v>1710000</v>
      </c>
      <c r="BI13" s="65">
        <v>1740000</v>
      </c>
      <c r="BJ13" s="65">
        <v>1770000</v>
      </c>
      <c r="BK13" s="65">
        <v>1800000</v>
      </c>
      <c r="BL13" s="65">
        <v>1830000</v>
      </c>
      <c r="BM13" s="65">
        <v>1860000</v>
      </c>
      <c r="BN13" s="65">
        <v>1890000</v>
      </c>
      <c r="BO13" s="65">
        <v>1920000</v>
      </c>
      <c r="BP13" s="65">
        <v>1950000</v>
      </c>
      <c r="BQ13" s="65">
        <v>1980000</v>
      </c>
      <c r="BR13" s="65">
        <v>2010000</v>
      </c>
      <c r="BS13" s="65">
        <v>2040000</v>
      </c>
      <c r="BT13" s="65">
        <v>2070000</v>
      </c>
      <c r="BU13" s="65">
        <v>2100000</v>
      </c>
      <c r="BV13" s="65">
        <v>2130000</v>
      </c>
      <c r="BW13" s="65">
        <v>2160000</v>
      </c>
      <c r="BX13" s="65">
        <v>2190000</v>
      </c>
      <c r="BY13" s="65">
        <v>2220000</v>
      </c>
      <c r="BZ13" s="65">
        <v>2250000</v>
      </c>
      <c r="CA13" s="65">
        <v>2280000</v>
      </c>
      <c r="CB13" s="65">
        <v>2310000</v>
      </c>
      <c r="CC13" s="65">
        <v>2340000</v>
      </c>
      <c r="CD13" s="65">
        <v>2370000</v>
      </c>
      <c r="CE13" s="65">
        <v>2400000</v>
      </c>
      <c r="CF13" s="65">
        <v>2430000</v>
      </c>
      <c r="CG13" s="65">
        <v>2460000</v>
      </c>
      <c r="CH13" s="65">
        <v>2490000</v>
      </c>
      <c r="CI13" s="65">
        <v>2520000</v>
      </c>
      <c r="CJ13" s="65">
        <v>2550000</v>
      </c>
      <c r="CK13" s="65">
        <v>2580000</v>
      </c>
      <c r="CL13" s="65">
        <v>2610000</v>
      </c>
      <c r="CM13" s="65">
        <v>2640000</v>
      </c>
      <c r="CN13" s="65">
        <v>2670000</v>
      </c>
      <c r="CO13" s="65">
        <v>2700000</v>
      </c>
      <c r="CP13" s="65">
        <v>2730000</v>
      </c>
      <c r="CQ13" s="65">
        <v>2760000</v>
      </c>
      <c r="CR13" s="65">
        <v>2790000</v>
      </c>
      <c r="CS13" s="65">
        <v>2820000</v>
      </c>
      <c r="CT13" s="65">
        <v>2850000</v>
      </c>
      <c r="CU13" s="65">
        <v>2880000</v>
      </c>
      <c r="CV13" s="65">
        <v>2910000</v>
      </c>
      <c r="CW13" s="65">
        <v>2940000</v>
      </c>
      <c r="CX13" s="65">
        <v>2970000</v>
      </c>
      <c r="CY13" s="65">
        <v>3000000</v>
      </c>
      <c r="CZ13" s="65">
        <v>3030000</v>
      </c>
      <c r="DA13" s="65">
        <v>3060000</v>
      </c>
      <c r="DB13" s="65">
        <v>3090000</v>
      </c>
      <c r="DC13" s="65">
        <v>3120000</v>
      </c>
      <c r="DD13" s="65">
        <v>3150000</v>
      </c>
      <c r="DE13" s="65">
        <v>3180000</v>
      </c>
      <c r="DF13" s="65">
        <v>3210000</v>
      </c>
      <c r="DG13" s="65">
        <v>3240000</v>
      </c>
    </row>
    <row r="14" spans="1:111" x14ac:dyDescent="0.25">
      <c r="A14" s="63" t="s">
        <v>228</v>
      </c>
      <c r="B14" s="64" t="str">
        <f>"'PARÁMETROS MANT.'!C15:GY15"</f>
        <v>'PARÁMETROS MANT.'!C15:GY15</v>
      </c>
      <c r="C14" s="65" t="s">
        <v>430</v>
      </c>
      <c r="D14" s="65" t="s">
        <v>221</v>
      </c>
      <c r="E14" s="65" t="s">
        <v>382</v>
      </c>
      <c r="F14" s="65" t="s">
        <v>221</v>
      </c>
      <c r="G14" s="65" t="s">
        <v>222</v>
      </c>
      <c r="H14" s="65" t="s">
        <v>221</v>
      </c>
      <c r="I14" s="65" t="s">
        <v>382</v>
      </c>
      <c r="J14" s="65" t="s">
        <v>221</v>
      </c>
      <c r="K14" s="65" t="s">
        <v>222</v>
      </c>
      <c r="L14" s="65" t="s">
        <v>221</v>
      </c>
      <c r="M14" s="65" t="s">
        <v>382</v>
      </c>
      <c r="N14" s="65" t="s">
        <v>221</v>
      </c>
      <c r="O14" s="65" t="s">
        <v>222</v>
      </c>
      <c r="P14" s="65" t="s">
        <v>221</v>
      </c>
      <c r="Q14" s="65" t="s">
        <v>382</v>
      </c>
      <c r="R14" s="65" t="s">
        <v>221</v>
      </c>
      <c r="S14" s="65" t="s">
        <v>222</v>
      </c>
      <c r="T14" s="65" t="s">
        <v>221</v>
      </c>
      <c r="U14" s="65" t="s">
        <v>382</v>
      </c>
      <c r="V14" s="65" t="s">
        <v>221</v>
      </c>
      <c r="W14" s="65" t="s">
        <v>222</v>
      </c>
      <c r="X14" s="65" t="s">
        <v>221</v>
      </c>
      <c r="Y14" s="65" t="s">
        <v>382</v>
      </c>
      <c r="Z14" s="65" t="s">
        <v>221</v>
      </c>
      <c r="AA14" s="65" t="s">
        <v>222</v>
      </c>
      <c r="AB14" s="65" t="s">
        <v>221</v>
      </c>
      <c r="AC14" s="65" t="s">
        <v>382</v>
      </c>
      <c r="AD14" s="65" t="s">
        <v>221</v>
      </c>
      <c r="AE14" s="65" t="s">
        <v>222</v>
      </c>
      <c r="AF14" s="65" t="s">
        <v>221</v>
      </c>
      <c r="AG14" s="65" t="s">
        <v>382</v>
      </c>
      <c r="AH14" s="65" t="s">
        <v>221</v>
      </c>
      <c r="AI14" s="65" t="s">
        <v>222</v>
      </c>
      <c r="AJ14" s="65" t="s">
        <v>221</v>
      </c>
      <c r="AK14" s="65" t="s">
        <v>382</v>
      </c>
      <c r="AL14" s="65" t="s">
        <v>221</v>
      </c>
      <c r="AM14" s="65" t="s">
        <v>222</v>
      </c>
      <c r="AN14" s="65" t="s">
        <v>221</v>
      </c>
      <c r="AO14" s="65" t="s">
        <v>382</v>
      </c>
      <c r="AP14" s="65" t="s">
        <v>221</v>
      </c>
      <c r="AQ14" s="65" t="s">
        <v>222</v>
      </c>
      <c r="AR14" s="65" t="s">
        <v>221</v>
      </c>
      <c r="AS14" s="65" t="s">
        <v>382</v>
      </c>
      <c r="AT14" s="65" t="s">
        <v>221</v>
      </c>
      <c r="AU14" s="65" t="s">
        <v>222</v>
      </c>
      <c r="AV14" s="65" t="s">
        <v>221</v>
      </c>
      <c r="AW14" s="65" t="s">
        <v>382</v>
      </c>
      <c r="AX14" s="65" t="s">
        <v>221</v>
      </c>
      <c r="AY14" s="65" t="s">
        <v>222</v>
      </c>
      <c r="AZ14" s="65" t="s">
        <v>221</v>
      </c>
      <c r="BA14" s="65" t="s">
        <v>382</v>
      </c>
      <c r="BB14" s="65" t="s">
        <v>221</v>
      </c>
      <c r="BC14" s="65" t="s">
        <v>222</v>
      </c>
      <c r="BD14" s="65" t="s">
        <v>221</v>
      </c>
      <c r="BE14" s="65" t="s">
        <v>382</v>
      </c>
      <c r="BF14" s="65" t="s">
        <v>221</v>
      </c>
      <c r="BG14" s="65" t="s">
        <v>222</v>
      </c>
      <c r="BH14" s="65" t="s">
        <v>221</v>
      </c>
      <c r="BI14" s="65" t="s">
        <v>382</v>
      </c>
      <c r="BJ14" s="65" t="s">
        <v>221</v>
      </c>
      <c r="BK14" s="65" t="s">
        <v>222</v>
      </c>
      <c r="BL14" s="65" t="s">
        <v>221</v>
      </c>
      <c r="BM14" s="65" t="s">
        <v>382</v>
      </c>
      <c r="BN14" s="65" t="s">
        <v>221</v>
      </c>
      <c r="BO14" s="65" t="s">
        <v>222</v>
      </c>
      <c r="BP14" s="65" t="s">
        <v>221</v>
      </c>
      <c r="BQ14" s="65" t="s">
        <v>382</v>
      </c>
      <c r="BR14" s="65" t="s">
        <v>221</v>
      </c>
      <c r="BS14" s="65" t="s">
        <v>222</v>
      </c>
      <c r="BT14" s="65" t="s">
        <v>221</v>
      </c>
      <c r="BU14" s="65" t="s">
        <v>382</v>
      </c>
      <c r="BV14" s="65" t="s">
        <v>221</v>
      </c>
      <c r="BW14" s="65" t="s">
        <v>222</v>
      </c>
      <c r="BX14" s="65" t="s">
        <v>221</v>
      </c>
      <c r="BY14" s="65" t="s">
        <v>382</v>
      </c>
      <c r="BZ14" s="65" t="s">
        <v>221</v>
      </c>
      <c r="CA14" s="65" t="s">
        <v>222</v>
      </c>
      <c r="CB14" s="65" t="s">
        <v>221</v>
      </c>
      <c r="CC14" s="65" t="s">
        <v>382</v>
      </c>
      <c r="CD14" s="65" t="s">
        <v>221</v>
      </c>
      <c r="CE14" s="65" t="s">
        <v>222</v>
      </c>
      <c r="CF14" s="65" t="s">
        <v>221</v>
      </c>
      <c r="CG14" s="65" t="s">
        <v>382</v>
      </c>
      <c r="CH14" s="65" t="s">
        <v>221</v>
      </c>
      <c r="CI14" s="65" t="s">
        <v>222</v>
      </c>
      <c r="CJ14" s="65" t="s">
        <v>221</v>
      </c>
      <c r="CK14" s="65" t="s">
        <v>382</v>
      </c>
      <c r="CL14" s="65" t="s">
        <v>221</v>
      </c>
      <c r="CM14" s="65" t="s">
        <v>222</v>
      </c>
      <c r="CN14" s="65" t="s">
        <v>221</v>
      </c>
      <c r="CO14" s="65" t="s">
        <v>382</v>
      </c>
      <c r="CP14" s="65" t="s">
        <v>221</v>
      </c>
      <c r="CQ14" s="65" t="s">
        <v>222</v>
      </c>
      <c r="CR14" s="65" t="s">
        <v>221</v>
      </c>
      <c r="CS14" s="65" t="s">
        <v>382</v>
      </c>
      <c r="CT14" s="65" t="s">
        <v>221</v>
      </c>
      <c r="CU14" s="65" t="s">
        <v>222</v>
      </c>
      <c r="CV14" s="65" t="s">
        <v>221</v>
      </c>
      <c r="CW14" s="65" t="s">
        <v>382</v>
      </c>
      <c r="CX14" s="65" t="s">
        <v>221</v>
      </c>
      <c r="CY14" s="65" t="s">
        <v>222</v>
      </c>
      <c r="CZ14" s="65" t="s">
        <v>221</v>
      </c>
      <c r="DA14" s="65" t="s">
        <v>222</v>
      </c>
      <c r="DB14" s="65" t="s">
        <v>221</v>
      </c>
      <c r="DC14" s="65" t="s">
        <v>382</v>
      </c>
      <c r="DD14" s="65" t="s">
        <v>221</v>
      </c>
      <c r="DE14" s="65" t="s">
        <v>222</v>
      </c>
      <c r="DF14" s="65" t="s">
        <v>221</v>
      </c>
      <c r="DG14" s="65" t="s">
        <v>222</v>
      </c>
    </row>
    <row r="15" spans="1:111" x14ac:dyDescent="0.25">
      <c r="A15" s="66" t="s">
        <v>392</v>
      </c>
      <c r="B15" s="64"/>
      <c r="C15" s="65">
        <v>5000</v>
      </c>
      <c r="D15" s="65">
        <v>30000</v>
      </c>
      <c r="E15" s="65">
        <v>60000</v>
      </c>
      <c r="F15" s="65">
        <v>90000</v>
      </c>
      <c r="G15" s="65">
        <v>120000</v>
      </c>
      <c r="H15" s="65">
        <v>150000</v>
      </c>
      <c r="I15" s="65">
        <v>180000</v>
      </c>
      <c r="J15" s="65">
        <v>210000</v>
      </c>
      <c r="K15" s="65">
        <v>240000</v>
      </c>
      <c r="L15" s="65">
        <v>270000</v>
      </c>
      <c r="M15" s="65">
        <v>300000</v>
      </c>
      <c r="N15" s="65">
        <v>330000</v>
      </c>
      <c r="O15" s="65">
        <v>360000</v>
      </c>
      <c r="P15" s="65">
        <v>390000</v>
      </c>
      <c r="Q15" s="65">
        <v>420000</v>
      </c>
      <c r="R15" s="65">
        <v>450000</v>
      </c>
      <c r="S15" s="65">
        <v>480000</v>
      </c>
      <c r="T15" s="65">
        <v>510000</v>
      </c>
      <c r="U15" s="65">
        <v>540000</v>
      </c>
      <c r="V15" s="65">
        <v>570000</v>
      </c>
      <c r="W15" s="65">
        <v>600000</v>
      </c>
      <c r="X15" s="65">
        <v>630000</v>
      </c>
      <c r="Y15" s="65">
        <v>660000</v>
      </c>
      <c r="Z15" s="65">
        <v>690000</v>
      </c>
      <c r="AA15" s="65">
        <v>720000</v>
      </c>
      <c r="AB15" s="65">
        <v>750000</v>
      </c>
      <c r="AC15" s="65">
        <v>780000</v>
      </c>
      <c r="AD15" s="65">
        <v>810000</v>
      </c>
      <c r="AE15" s="65">
        <v>840000</v>
      </c>
      <c r="AF15" s="65">
        <v>870000</v>
      </c>
      <c r="AG15" s="65">
        <v>900000</v>
      </c>
      <c r="AH15" s="65">
        <v>930000</v>
      </c>
      <c r="AI15" s="65">
        <v>960000</v>
      </c>
      <c r="AJ15" s="65">
        <v>990000</v>
      </c>
      <c r="AK15" s="65">
        <v>1020000</v>
      </c>
      <c r="AL15" s="65">
        <v>1050000</v>
      </c>
      <c r="AM15" s="65">
        <v>1080000</v>
      </c>
      <c r="AN15" s="65">
        <v>1110000</v>
      </c>
      <c r="AO15" s="65">
        <v>1140000</v>
      </c>
      <c r="AP15" s="65">
        <v>1170000</v>
      </c>
      <c r="AQ15" s="65">
        <v>1200000</v>
      </c>
      <c r="AR15" s="65">
        <v>1230000</v>
      </c>
      <c r="AS15" s="65">
        <v>1260000</v>
      </c>
      <c r="AT15" s="65">
        <v>1290000</v>
      </c>
      <c r="AU15" s="65">
        <v>1320000</v>
      </c>
      <c r="AV15" s="65">
        <v>1350000</v>
      </c>
      <c r="AW15" s="65">
        <v>1380000</v>
      </c>
      <c r="AX15" s="65">
        <v>1410000</v>
      </c>
      <c r="AY15" s="65">
        <v>1440000</v>
      </c>
      <c r="AZ15" s="65">
        <v>1470000</v>
      </c>
      <c r="BA15" s="65">
        <v>1500000</v>
      </c>
      <c r="BB15" s="65">
        <v>1530000</v>
      </c>
      <c r="BC15" s="65">
        <v>1560000</v>
      </c>
      <c r="BD15" s="65">
        <v>1590000</v>
      </c>
      <c r="BE15" s="65">
        <v>1620000</v>
      </c>
      <c r="BF15" s="65">
        <v>1650000</v>
      </c>
      <c r="BG15" s="65">
        <v>1680000</v>
      </c>
      <c r="BH15" s="65">
        <v>1710000</v>
      </c>
      <c r="BI15" s="65">
        <v>1740000</v>
      </c>
      <c r="BJ15" s="65">
        <v>1770000</v>
      </c>
      <c r="BK15" s="65">
        <v>1800000</v>
      </c>
      <c r="BL15" s="65">
        <v>1830000</v>
      </c>
      <c r="BM15" s="65">
        <v>1860000</v>
      </c>
      <c r="BN15" s="65">
        <v>1890000</v>
      </c>
      <c r="BO15" s="65">
        <v>1920000</v>
      </c>
      <c r="BP15" s="65">
        <v>1950000</v>
      </c>
      <c r="BQ15" s="65">
        <v>1980000</v>
      </c>
      <c r="BR15" s="65">
        <v>2010000</v>
      </c>
      <c r="BS15" s="65">
        <v>2040000</v>
      </c>
      <c r="BT15" s="65">
        <v>2070000</v>
      </c>
      <c r="BU15" s="65">
        <v>2100000</v>
      </c>
      <c r="BV15" s="65">
        <v>2130000</v>
      </c>
      <c r="BW15" s="65">
        <v>2160000</v>
      </c>
      <c r="BX15" s="65">
        <v>2190000</v>
      </c>
      <c r="BY15" s="65">
        <v>2220000</v>
      </c>
      <c r="BZ15" s="65">
        <v>2250000</v>
      </c>
      <c r="CA15" s="65">
        <v>2280000</v>
      </c>
      <c r="CB15" s="65">
        <v>2310000</v>
      </c>
      <c r="CC15" s="65">
        <v>2340000</v>
      </c>
      <c r="CD15" s="65">
        <v>2370000</v>
      </c>
      <c r="CE15" s="65">
        <v>2400000</v>
      </c>
      <c r="CF15" s="65">
        <v>2430000</v>
      </c>
      <c r="CG15" s="65">
        <v>2460000</v>
      </c>
      <c r="CH15" s="65">
        <v>2490000</v>
      </c>
      <c r="CI15" s="65">
        <v>2520000</v>
      </c>
      <c r="CJ15" s="65">
        <v>2550000</v>
      </c>
      <c r="CK15" s="65">
        <v>2580000</v>
      </c>
      <c r="CL15" s="65">
        <v>2610000</v>
      </c>
      <c r="CM15" s="65">
        <v>2640000</v>
      </c>
      <c r="CN15" s="65">
        <v>2670000</v>
      </c>
      <c r="CO15" s="65">
        <v>2700000</v>
      </c>
      <c r="CP15" s="65">
        <v>2730000</v>
      </c>
      <c r="CQ15" s="65">
        <v>2760000</v>
      </c>
      <c r="CR15" s="65">
        <v>2790000</v>
      </c>
      <c r="CS15" s="65">
        <v>2820000</v>
      </c>
      <c r="CT15" s="65">
        <v>2850000</v>
      </c>
      <c r="CU15" s="65">
        <v>2880000</v>
      </c>
      <c r="CV15" s="65">
        <v>2910000</v>
      </c>
      <c r="CW15" s="65">
        <v>2940000</v>
      </c>
      <c r="CX15" s="65">
        <v>2970000</v>
      </c>
      <c r="CY15" s="65">
        <v>3000000</v>
      </c>
      <c r="CZ15" s="65">
        <v>3030000</v>
      </c>
      <c r="DA15" s="65">
        <v>3060000</v>
      </c>
      <c r="DB15" s="65">
        <v>3090000</v>
      </c>
      <c r="DC15" s="65">
        <v>3120000</v>
      </c>
      <c r="DD15" s="65">
        <v>3150000</v>
      </c>
      <c r="DE15" s="65">
        <v>3180000</v>
      </c>
      <c r="DF15" s="65">
        <v>3210000</v>
      </c>
      <c r="DG15" s="65">
        <v>3240000</v>
      </c>
    </row>
    <row r="16" spans="1:111" x14ac:dyDescent="0.25">
      <c r="A16" s="63" t="s">
        <v>420</v>
      </c>
      <c r="B16" s="64" t="str">
        <f>"'PARÁMETROS MANT.'!C17:CY17"</f>
        <v>'PARÁMETROS MANT.'!C17:CY17</v>
      </c>
      <c r="C16" s="65" t="s">
        <v>430</v>
      </c>
      <c r="D16" s="65" t="s">
        <v>221</v>
      </c>
      <c r="E16" s="65" t="s">
        <v>382</v>
      </c>
      <c r="F16" s="65" t="s">
        <v>221</v>
      </c>
      <c r="G16" s="65" t="s">
        <v>222</v>
      </c>
      <c r="H16" s="65" t="s">
        <v>221</v>
      </c>
      <c r="I16" s="65" t="s">
        <v>382</v>
      </c>
      <c r="J16" s="65" t="s">
        <v>221</v>
      </c>
      <c r="K16" s="65" t="s">
        <v>222</v>
      </c>
      <c r="L16" s="65" t="s">
        <v>221</v>
      </c>
      <c r="M16" s="65" t="s">
        <v>382</v>
      </c>
      <c r="N16" s="65" t="s">
        <v>221</v>
      </c>
      <c r="O16" s="65" t="s">
        <v>222</v>
      </c>
      <c r="P16" s="65" t="s">
        <v>221</v>
      </c>
      <c r="Q16" s="65" t="s">
        <v>382</v>
      </c>
      <c r="R16" s="65" t="s">
        <v>221</v>
      </c>
      <c r="S16" s="65" t="s">
        <v>222</v>
      </c>
      <c r="T16" s="65" t="s">
        <v>221</v>
      </c>
      <c r="U16" s="65" t="s">
        <v>382</v>
      </c>
      <c r="V16" s="65" t="s">
        <v>221</v>
      </c>
      <c r="W16" s="65" t="s">
        <v>222</v>
      </c>
      <c r="X16" s="65" t="s">
        <v>221</v>
      </c>
      <c r="Y16" s="65" t="s">
        <v>382</v>
      </c>
      <c r="Z16" s="65" t="s">
        <v>221</v>
      </c>
      <c r="AA16" s="65" t="s">
        <v>222</v>
      </c>
      <c r="AB16" s="65" t="s">
        <v>221</v>
      </c>
      <c r="AC16" s="65" t="s">
        <v>382</v>
      </c>
      <c r="AD16" s="65" t="s">
        <v>221</v>
      </c>
      <c r="AE16" s="65" t="s">
        <v>222</v>
      </c>
      <c r="AF16" s="65" t="s">
        <v>221</v>
      </c>
      <c r="AG16" s="65" t="s">
        <v>382</v>
      </c>
      <c r="AH16" s="65" t="s">
        <v>221</v>
      </c>
      <c r="AI16" s="65" t="s">
        <v>222</v>
      </c>
      <c r="AJ16" s="65" t="s">
        <v>221</v>
      </c>
      <c r="AK16" s="65" t="s">
        <v>382</v>
      </c>
      <c r="AL16" s="65" t="s">
        <v>221</v>
      </c>
      <c r="AM16" s="65" t="s">
        <v>222</v>
      </c>
      <c r="AN16" s="65" t="s">
        <v>221</v>
      </c>
      <c r="AO16" s="65" t="s">
        <v>382</v>
      </c>
      <c r="AP16" s="65" t="s">
        <v>221</v>
      </c>
      <c r="AQ16" s="65" t="s">
        <v>222</v>
      </c>
      <c r="AR16" s="65" t="s">
        <v>221</v>
      </c>
      <c r="AS16" s="65" t="s">
        <v>382</v>
      </c>
      <c r="AT16" s="65" t="s">
        <v>221</v>
      </c>
      <c r="AU16" s="65" t="s">
        <v>222</v>
      </c>
      <c r="AV16" s="65" t="s">
        <v>221</v>
      </c>
      <c r="AW16" s="65" t="s">
        <v>382</v>
      </c>
      <c r="AX16" s="65" t="s">
        <v>221</v>
      </c>
      <c r="AY16" s="65" t="s">
        <v>222</v>
      </c>
      <c r="AZ16" s="65" t="s">
        <v>221</v>
      </c>
      <c r="BA16" s="65" t="s">
        <v>382</v>
      </c>
      <c r="BB16" s="65" t="s">
        <v>221</v>
      </c>
      <c r="BC16" s="65" t="s">
        <v>222</v>
      </c>
      <c r="BD16" s="65" t="s">
        <v>221</v>
      </c>
      <c r="BE16" s="65" t="s">
        <v>382</v>
      </c>
      <c r="BF16" s="65" t="s">
        <v>221</v>
      </c>
      <c r="BG16" s="65" t="s">
        <v>222</v>
      </c>
      <c r="BH16" s="65" t="s">
        <v>221</v>
      </c>
      <c r="BI16" s="65" t="s">
        <v>382</v>
      </c>
      <c r="BJ16" s="65" t="s">
        <v>221</v>
      </c>
      <c r="BK16" s="65" t="s">
        <v>222</v>
      </c>
      <c r="BL16" s="65" t="s">
        <v>221</v>
      </c>
      <c r="BM16" s="65" t="s">
        <v>382</v>
      </c>
      <c r="BN16" s="65" t="s">
        <v>221</v>
      </c>
      <c r="BO16" s="65" t="s">
        <v>222</v>
      </c>
      <c r="BP16" s="65" t="s">
        <v>221</v>
      </c>
      <c r="BQ16" s="65" t="s">
        <v>382</v>
      </c>
      <c r="BR16" s="65" t="s">
        <v>221</v>
      </c>
      <c r="BS16" s="65" t="s">
        <v>222</v>
      </c>
      <c r="BT16" s="65" t="s">
        <v>221</v>
      </c>
      <c r="BU16" s="65" t="s">
        <v>382</v>
      </c>
      <c r="BV16" s="65" t="s">
        <v>221</v>
      </c>
      <c r="BW16" s="65" t="s">
        <v>222</v>
      </c>
      <c r="BX16" s="65" t="s">
        <v>221</v>
      </c>
      <c r="BY16" s="65" t="s">
        <v>382</v>
      </c>
      <c r="BZ16" s="65" t="s">
        <v>221</v>
      </c>
      <c r="CA16" s="65" t="s">
        <v>222</v>
      </c>
      <c r="CB16" s="65" t="s">
        <v>221</v>
      </c>
      <c r="CC16" s="65" t="s">
        <v>382</v>
      </c>
      <c r="CD16" s="65" t="s">
        <v>221</v>
      </c>
      <c r="CE16" s="65" t="s">
        <v>222</v>
      </c>
      <c r="CF16" s="65" t="s">
        <v>221</v>
      </c>
      <c r="CG16" s="65" t="s">
        <v>382</v>
      </c>
      <c r="CH16" s="65" t="s">
        <v>221</v>
      </c>
      <c r="CI16" s="65" t="s">
        <v>222</v>
      </c>
      <c r="CJ16" s="65" t="s">
        <v>221</v>
      </c>
      <c r="CK16" s="65" t="s">
        <v>382</v>
      </c>
      <c r="CL16" s="65" t="s">
        <v>221</v>
      </c>
      <c r="CM16" s="65" t="s">
        <v>222</v>
      </c>
      <c r="CN16" s="65" t="s">
        <v>221</v>
      </c>
      <c r="CO16" s="65" t="s">
        <v>382</v>
      </c>
      <c r="CP16" s="65" t="s">
        <v>221</v>
      </c>
      <c r="CQ16" s="65" t="s">
        <v>222</v>
      </c>
      <c r="CR16" s="65" t="s">
        <v>221</v>
      </c>
      <c r="CS16" s="65" t="s">
        <v>382</v>
      </c>
      <c r="CT16" s="65" t="s">
        <v>221</v>
      </c>
      <c r="CU16" s="65" t="s">
        <v>222</v>
      </c>
      <c r="CV16" s="65" t="s">
        <v>221</v>
      </c>
      <c r="CW16" s="65" t="s">
        <v>382</v>
      </c>
      <c r="CX16" s="65" t="s">
        <v>221</v>
      </c>
      <c r="CY16" s="65" t="s">
        <v>222</v>
      </c>
      <c r="CZ16" s="65" t="s">
        <v>221</v>
      </c>
      <c r="DA16" s="65" t="s">
        <v>222</v>
      </c>
      <c r="DB16" s="65" t="s">
        <v>221</v>
      </c>
      <c r="DC16" s="65" t="s">
        <v>382</v>
      </c>
      <c r="DD16" s="65" t="s">
        <v>221</v>
      </c>
      <c r="DE16" s="65" t="s">
        <v>222</v>
      </c>
      <c r="DF16" s="65" t="s">
        <v>221</v>
      </c>
      <c r="DG16" s="65" t="s">
        <v>222</v>
      </c>
    </row>
    <row r="17" spans="1:111" x14ac:dyDescent="0.25">
      <c r="A17" s="66" t="s">
        <v>427</v>
      </c>
      <c r="B17" s="64"/>
      <c r="C17" s="65">
        <v>5000</v>
      </c>
      <c r="D17" s="65">
        <v>30000</v>
      </c>
      <c r="E17" s="65">
        <v>60000</v>
      </c>
      <c r="F17" s="65">
        <v>90000</v>
      </c>
      <c r="G17" s="65">
        <v>120000</v>
      </c>
      <c r="H17" s="65">
        <v>150000</v>
      </c>
      <c r="I17" s="65">
        <v>180000</v>
      </c>
      <c r="J17" s="65">
        <v>210000</v>
      </c>
      <c r="K17" s="65">
        <v>240000</v>
      </c>
      <c r="L17" s="65">
        <v>270000</v>
      </c>
      <c r="M17" s="65">
        <v>300000</v>
      </c>
      <c r="N17" s="65">
        <v>330000</v>
      </c>
      <c r="O17" s="65">
        <v>360000</v>
      </c>
      <c r="P17" s="65">
        <v>390000</v>
      </c>
      <c r="Q17" s="65">
        <v>420000</v>
      </c>
      <c r="R17" s="65">
        <v>450000</v>
      </c>
      <c r="S17" s="65">
        <v>480000</v>
      </c>
      <c r="T17" s="65">
        <v>510000</v>
      </c>
      <c r="U17" s="65">
        <v>540000</v>
      </c>
      <c r="V17" s="65">
        <v>570000</v>
      </c>
      <c r="W17" s="65">
        <v>600000</v>
      </c>
      <c r="X17" s="65">
        <v>630000</v>
      </c>
      <c r="Y17" s="65">
        <v>660000</v>
      </c>
      <c r="Z17" s="65">
        <v>690000</v>
      </c>
      <c r="AA17" s="65">
        <v>720000</v>
      </c>
      <c r="AB17" s="65">
        <v>750000</v>
      </c>
      <c r="AC17" s="65">
        <v>780000</v>
      </c>
      <c r="AD17" s="65">
        <v>810000</v>
      </c>
      <c r="AE17" s="65">
        <v>840000</v>
      </c>
      <c r="AF17" s="65">
        <v>870000</v>
      </c>
      <c r="AG17" s="65">
        <v>900000</v>
      </c>
      <c r="AH17" s="65">
        <v>930000</v>
      </c>
      <c r="AI17" s="65">
        <v>960000</v>
      </c>
      <c r="AJ17" s="65">
        <v>990000</v>
      </c>
      <c r="AK17" s="65">
        <v>1020000</v>
      </c>
      <c r="AL17" s="65">
        <v>1050000</v>
      </c>
      <c r="AM17" s="65">
        <v>1080000</v>
      </c>
      <c r="AN17" s="65">
        <v>1110000</v>
      </c>
      <c r="AO17" s="65">
        <v>1140000</v>
      </c>
      <c r="AP17" s="65">
        <v>1170000</v>
      </c>
      <c r="AQ17" s="65">
        <v>1200000</v>
      </c>
      <c r="AR17" s="65">
        <v>1230000</v>
      </c>
      <c r="AS17" s="65">
        <v>1260000</v>
      </c>
      <c r="AT17" s="65">
        <v>1290000</v>
      </c>
      <c r="AU17" s="65">
        <v>1320000</v>
      </c>
      <c r="AV17" s="65">
        <v>1350000</v>
      </c>
      <c r="AW17" s="65">
        <v>1380000</v>
      </c>
      <c r="AX17" s="65">
        <v>1410000</v>
      </c>
      <c r="AY17" s="65">
        <v>1440000</v>
      </c>
      <c r="AZ17" s="65">
        <v>1470000</v>
      </c>
      <c r="BA17" s="65">
        <v>1500000</v>
      </c>
      <c r="BB17" s="65">
        <v>1530000</v>
      </c>
      <c r="BC17" s="65">
        <v>1560000</v>
      </c>
      <c r="BD17" s="65">
        <v>1590000</v>
      </c>
      <c r="BE17" s="65">
        <v>1620000</v>
      </c>
      <c r="BF17" s="65">
        <v>1650000</v>
      </c>
      <c r="BG17" s="65">
        <v>1680000</v>
      </c>
      <c r="BH17" s="65">
        <v>1710000</v>
      </c>
      <c r="BI17" s="65">
        <v>1740000</v>
      </c>
      <c r="BJ17" s="65">
        <v>1770000</v>
      </c>
      <c r="BK17" s="65">
        <v>1800000</v>
      </c>
      <c r="BL17" s="65">
        <v>1830000</v>
      </c>
      <c r="BM17" s="65">
        <v>1860000</v>
      </c>
      <c r="BN17" s="65">
        <v>1890000</v>
      </c>
      <c r="BO17" s="65">
        <v>1920000</v>
      </c>
      <c r="BP17" s="65">
        <v>1950000</v>
      </c>
      <c r="BQ17" s="65">
        <v>1980000</v>
      </c>
      <c r="BR17" s="65">
        <v>2010000</v>
      </c>
      <c r="BS17" s="65">
        <v>2040000</v>
      </c>
      <c r="BT17" s="65">
        <v>2070000</v>
      </c>
      <c r="BU17" s="65">
        <v>2100000</v>
      </c>
      <c r="BV17" s="65">
        <v>2130000</v>
      </c>
      <c r="BW17" s="65">
        <v>2160000</v>
      </c>
      <c r="BX17" s="65">
        <v>2190000</v>
      </c>
      <c r="BY17" s="65">
        <v>2220000</v>
      </c>
      <c r="BZ17" s="65">
        <v>2250000</v>
      </c>
      <c r="CA17" s="65">
        <v>2280000</v>
      </c>
      <c r="CB17" s="65">
        <v>2310000</v>
      </c>
      <c r="CC17" s="65">
        <v>2340000</v>
      </c>
      <c r="CD17" s="65">
        <v>2370000</v>
      </c>
      <c r="CE17" s="65">
        <v>2400000</v>
      </c>
      <c r="CF17" s="65">
        <v>2430000</v>
      </c>
      <c r="CG17" s="65">
        <v>2460000</v>
      </c>
      <c r="CH17" s="65">
        <v>2490000</v>
      </c>
      <c r="CI17" s="65">
        <v>2520000</v>
      </c>
      <c r="CJ17" s="65">
        <v>2550000</v>
      </c>
      <c r="CK17" s="65">
        <v>2580000</v>
      </c>
      <c r="CL17" s="65">
        <v>2610000</v>
      </c>
      <c r="CM17" s="65">
        <v>2640000</v>
      </c>
      <c r="CN17" s="65">
        <v>2670000</v>
      </c>
      <c r="CO17" s="65">
        <v>2700000</v>
      </c>
      <c r="CP17" s="65">
        <v>2730000</v>
      </c>
      <c r="CQ17" s="65">
        <v>2760000</v>
      </c>
      <c r="CR17" s="65">
        <v>2790000</v>
      </c>
      <c r="CS17" s="65">
        <v>2820000</v>
      </c>
      <c r="CT17" s="65">
        <v>2850000</v>
      </c>
      <c r="CU17" s="65">
        <v>2880000</v>
      </c>
      <c r="CV17" s="65">
        <v>2910000</v>
      </c>
      <c r="CW17" s="65">
        <v>2940000</v>
      </c>
      <c r="CX17" s="65">
        <v>2970000</v>
      </c>
      <c r="CY17" s="65">
        <v>3000000</v>
      </c>
      <c r="CZ17" s="65">
        <v>3030000</v>
      </c>
      <c r="DA17" s="65">
        <v>3060000</v>
      </c>
      <c r="DB17" s="65">
        <v>3090000</v>
      </c>
      <c r="DC17" s="65">
        <v>3120000</v>
      </c>
      <c r="DD17" s="65">
        <v>3150000</v>
      </c>
      <c r="DE17" s="65">
        <v>3180000</v>
      </c>
      <c r="DF17" s="65">
        <v>3210000</v>
      </c>
      <c r="DG17" s="65">
        <v>3240000</v>
      </c>
    </row>
    <row r="18" spans="1:111" x14ac:dyDescent="0.25">
      <c r="A18" s="63" t="s">
        <v>2</v>
      </c>
      <c r="B18" s="64" t="str">
        <f>"'PARÁMETROS MANT.'!C19:GY19"</f>
        <v>'PARÁMETROS MANT.'!C19:GY19</v>
      </c>
      <c r="C18" s="65" t="s">
        <v>14</v>
      </c>
      <c r="D18" s="65" t="s">
        <v>15</v>
      </c>
      <c r="E18" s="65" t="s">
        <v>16</v>
      </c>
      <c r="F18" s="65" t="s">
        <v>17</v>
      </c>
      <c r="G18" s="65" t="s">
        <v>18</v>
      </c>
      <c r="H18" s="65" t="s">
        <v>19</v>
      </c>
      <c r="I18" s="65" t="s">
        <v>20</v>
      </c>
      <c r="J18" s="65" t="s">
        <v>21</v>
      </c>
      <c r="K18" s="65" t="s">
        <v>22</v>
      </c>
      <c r="L18" s="65" t="s">
        <v>23</v>
      </c>
      <c r="M18" s="65" t="s">
        <v>24</v>
      </c>
      <c r="N18" s="65" t="s">
        <v>25</v>
      </c>
      <c r="O18" s="65" t="s">
        <v>26</v>
      </c>
      <c r="P18" s="65" t="s">
        <v>27</v>
      </c>
      <c r="Q18" s="65" t="s">
        <v>28</v>
      </c>
      <c r="R18" s="65" t="s">
        <v>29</v>
      </c>
      <c r="S18" s="65" t="s">
        <v>30</v>
      </c>
      <c r="T18" s="65" t="s">
        <v>31</v>
      </c>
      <c r="U18" s="65" t="s">
        <v>32</v>
      </c>
      <c r="V18" s="65" t="s">
        <v>33</v>
      </c>
      <c r="W18" s="65" t="s">
        <v>34</v>
      </c>
      <c r="X18" s="65" t="s">
        <v>35</v>
      </c>
      <c r="Y18" s="65" t="s">
        <v>36</v>
      </c>
      <c r="Z18" s="65" t="s">
        <v>37</v>
      </c>
      <c r="AA18" s="65" t="s">
        <v>38</v>
      </c>
      <c r="AB18" s="65" t="s">
        <v>39</v>
      </c>
      <c r="AC18" s="65" t="s">
        <v>40</v>
      </c>
      <c r="AD18" s="65" t="s">
        <v>41</v>
      </c>
      <c r="AE18" s="65" t="s">
        <v>42</v>
      </c>
      <c r="AF18" s="65" t="s">
        <v>43</v>
      </c>
      <c r="AG18" s="65" t="s">
        <v>44</v>
      </c>
      <c r="AH18" s="65" t="s">
        <v>45</v>
      </c>
      <c r="AI18" s="65" t="s">
        <v>46</v>
      </c>
      <c r="AJ18" s="65" t="s">
        <v>47</v>
      </c>
      <c r="AK18" s="65" t="s">
        <v>48</v>
      </c>
      <c r="AL18" s="65" t="s">
        <v>49</v>
      </c>
      <c r="AM18" s="65" t="s">
        <v>50</v>
      </c>
      <c r="AN18" s="65" t="s">
        <v>51</v>
      </c>
      <c r="AO18" s="65" t="s">
        <v>52</v>
      </c>
      <c r="AP18" s="65" t="s">
        <v>53</v>
      </c>
      <c r="AQ18" s="65" t="s">
        <v>54</v>
      </c>
      <c r="AR18" s="65" t="s">
        <v>55</v>
      </c>
      <c r="AS18" s="65" t="s">
        <v>56</v>
      </c>
      <c r="AT18" s="65" t="s">
        <v>57</v>
      </c>
      <c r="AU18" s="65" t="s">
        <v>58</v>
      </c>
      <c r="AV18" s="65" t="s">
        <v>59</v>
      </c>
      <c r="AW18" s="65" t="s">
        <v>60</v>
      </c>
      <c r="AX18" s="65" t="s">
        <v>61</v>
      </c>
      <c r="AY18" s="65" t="s">
        <v>62</v>
      </c>
      <c r="AZ18" s="65" t="s">
        <v>63</v>
      </c>
      <c r="BA18" s="65" t="s">
        <v>64</v>
      </c>
      <c r="BB18" s="65" t="s">
        <v>65</v>
      </c>
      <c r="BC18" s="65" t="s">
        <v>66</v>
      </c>
      <c r="BD18" s="65" t="s">
        <v>67</v>
      </c>
      <c r="BE18" s="65" t="s">
        <v>68</v>
      </c>
      <c r="BF18" s="65" t="s">
        <v>69</v>
      </c>
      <c r="BG18" s="65" t="s">
        <v>70</v>
      </c>
      <c r="BH18" s="65" t="s">
        <v>283</v>
      </c>
      <c r="BI18" s="65" t="s">
        <v>284</v>
      </c>
      <c r="BJ18" s="65" t="s">
        <v>285</v>
      </c>
      <c r="BK18" s="65" t="s">
        <v>286</v>
      </c>
      <c r="BL18" s="65" t="s">
        <v>287</v>
      </c>
      <c r="BM18" s="65" t="s">
        <v>288</v>
      </c>
      <c r="BN18" s="65" t="s">
        <v>289</v>
      </c>
      <c r="BO18" s="65" t="s">
        <v>290</v>
      </c>
      <c r="BP18" s="65" t="s">
        <v>291</v>
      </c>
      <c r="BQ18" s="65" t="s">
        <v>292</v>
      </c>
      <c r="BR18" s="65" t="s">
        <v>293</v>
      </c>
      <c r="BS18" s="65" t="s">
        <v>294</v>
      </c>
      <c r="BT18" s="65" t="s">
        <v>295</v>
      </c>
      <c r="BU18" s="65" t="s">
        <v>296</v>
      </c>
      <c r="BV18" s="65" t="s">
        <v>297</v>
      </c>
      <c r="BW18" s="65" t="s">
        <v>298</v>
      </c>
      <c r="BX18" s="65" t="s">
        <v>299</v>
      </c>
      <c r="BY18" s="65" t="s">
        <v>300</v>
      </c>
      <c r="BZ18" s="65" t="s">
        <v>301</v>
      </c>
      <c r="CA18" s="65" t="s">
        <v>302</v>
      </c>
      <c r="CB18" s="65" t="s">
        <v>303</v>
      </c>
      <c r="CC18" s="65" t="s">
        <v>304</v>
      </c>
      <c r="CD18" s="65" t="s">
        <v>305</v>
      </c>
      <c r="CE18" s="65" t="s">
        <v>306</v>
      </c>
      <c r="CF18" s="65" t="s">
        <v>307</v>
      </c>
      <c r="CG18" s="65" t="s">
        <v>308</v>
      </c>
      <c r="CH18" s="65" t="s">
        <v>309</v>
      </c>
      <c r="CI18" s="65" t="s">
        <v>310</v>
      </c>
      <c r="CJ18" s="65" t="s">
        <v>311</v>
      </c>
      <c r="CK18" s="65" t="s">
        <v>312</v>
      </c>
      <c r="CL18" s="65" t="s">
        <v>313</v>
      </c>
      <c r="CM18" s="65" t="s">
        <v>314</v>
      </c>
      <c r="CN18" s="65" t="s">
        <v>315</v>
      </c>
      <c r="CO18" s="65" t="s">
        <v>316</v>
      </c>
      <c r="CP18" s="65" t="s">
        <v>317</v>
      </c>
      <c r="CQ18" s="65" t="s">
        <v>318</v>
      </c>
      <c r="CR18" s="65" t="s">
        <v>319</v>
      </c>
      <c r="CS18" s="65" t="s">
        <v>320</v>
      </c>
      <c r="CT18" s="65" t="s">
        <v>321</v>
      </c>
      <c r="CU18" s="65" t="s">
        <v>322</v>
      </c>
      <c r="CV18" s="65" t="s">
        <v>323</v>
      </c>
      <c r="CW18" s="65" t="s">
        <v>324</v>
      </c>
      <c r="CX18" s="65" t="s">
        <v>325</v>
      </c>
      <c r="CY18" s="65" t="s">
        <v>326</v>
      </c>
      <c r="CZ18" s="65" t="s">
        <v>403</v>
      </c>
      <c r="DA18" s="65" t="s">
        <v>404</v>
      </c>
      <c r="DB18" s="65" t="s">
        <v>405</v>
      </c>
      <c r="DC18" s="65" t="s">
        <v>406</v>
      </c>
      <c r="DD18" s="65" t="s">
        <v>407</v>
      </c>
      <c r="DE18" s="65" t="s">
        <v>408</v>
      </c>
      <c r="DF18" s="65" t="s">
        <v>409</v>
      </c>
    </row>
    <row r="19" spans="1:111" x14ac:dyDescent="0.25">
      <c r="A19" s="67" t="s">
        <v>391</v>
      </c>
      <c r="B19" s="64" t="s">
        <v>77</v>
      </c>
      <c r="C19" s="65">
        <v>10000</v>
      </c>
      <c r="D19" s="65">
        <v>20000</v>
      </c>
      <c r="E19" s="65">
        <v>30000</v>
      </c>
      <c r="F19" s="65">
        <v>40000</v>
      </c>
      <c r="G19" s="65">
        <v>50000</v>
      </c>
      <c r="H19" s="65">
        <v>60000</v>
      </c>
      <c r="I19" s="65">
        <v>70000</v>
      </c>
      <c r="J19" s="65">
        <v>80000</v>
      </c>
      <c r="K19" s="65">
        <v>90000</v>
      </c>
      <c r="L19" s="65">
        <v>100000</v>
      </c>
      <c r="M19" s="65">
        <v>110000</v>
      </c>
      <c r="N19" s="65">
        <v>120000</v>
      </c>
      <c r="O19" s="65">
        <v>130000</v>
      </c>
      <c r="P19" s="65">
        <v>140000</v>
      </c>
      <c r="Q19" s="65">
        <v>150000</v>
      </c>
      <c r="R19" s="65">
        <v>160000</v>
      </c>
      <c r="S19" s="65">
        <v>170000</v>
      </c>
      <c r="T19" s="65">
        <v>180000</v>
      </c>
      <c r="U19" s="65">
        <v>190000</v>
      </c>
      <c r="V19" s="65">
        <v>200000</v>
      </c>
      <c r="W19" s="65">
        <v>210000</v>
      </c>
      <c r="X19" s="65">
        <v>220000</v>
      </c>
      <c r="Y19" s="65">
        <v>230000</v>
      </c>
      <c r="Z19" s="65">
        <v>240000</v>
      </c>
      <c r="AA19" s="65">
        <v>250000</v>
      </c>
      <c r="AB19" s="65">
        <v>260000</v>
      </c>
      <c r="AC19" s="65">
        <v>270000</v>
      </c>
      <c r="AD19" s="65">
        <v>280000</v>
      </c>
      <c r="AE19" s="65">
        <v>290000</v>
      </c>
      <c r="AF19" s="65">
        <v>300000</v>
      </c>
      <c r="AG19" s="65">
        <v>310000</v>
      </c>
      <c r="AH19" s="65">
        <v>320000</v>
      </c>
      <c r="AI19" s="65">
        <v>330000</v>
      </c>
      <c r="AJ19" s="65">
        <v>340000</v>
      </c>
      <c r="AK19" s="65">
        <v>350000</v>
      </c>
      <c r="AL19" s="65">
        <v>360000</v>
      </c>
      <c r="AM19" s="65">
        <v>370000</v>
      </c>
      <c r="AN19" s="65">
        <v>380000</v>
      </c>
      <c r="AO19" s="65">
        <v>390000</v>
      </c>
      <c r="AP19" s="65">
        <v>400000</v>
      </c>
      <c r="AQ19" s="65">
        <v>410000</v>
      </c>
      <c r="AR19" s="65">
        <v>420000</v>
      </c>
      <c r="AS19" s="65">
        <v>430000</v>
      </c>
      <c r="AT19" s="65">
        <v>440000</v>
      </c>
      <c r="AU19" s="65">
        <v>450000</v>
      </c>
      <c r="AV19" s="65">
        <v>460000</v>
      </c>
      <c r="AW19" s="65">
        <v>470000</v>
      </c>
      <c r="AX19" s="65">
        <v>480000</v>
      </c>
      <c r="AY19" s="65">
        <v>490000</v>
      </c>
      <c r="AZ19" s="65">
        <v>500000</v>
      </c>
      <c r="BA19" s="65">
        <v>510000</v>
      </c>
      <c r="BB19" s="65">
        <v>520000</v>
      </c>
      <c r="BC19" s="65">
        <v>530000</v>
      </c>
      <c r="BD19" s="65">
        <v>540000</v>
      </c>
      <c r="BE19" s="65">
        <v>550000</v>
      </c>
      <c r="BF19" s="65">
        <v>560000</v>
      </c>
      <c r="BG19" s="65">
        <v>570000</v>
      </c>
      <c r="BH19" s="65">
        <v>580000</v>
      </c>
      <c r="BI19" s="65">
        <v>590000</v>
      </c>
      <c r="BJ19" s="65">
        <v>600000</v>
      </c>
      <c r="BK19" s="65">
        <v>610000</v>
      </c>
      <c r="BL19" s="65">
        <v>620000</v>
      </c>
      <c r="BM19" s="65">
        <v>630000</v>
      </c>
      <c r="BN19" s="65">
        <v>640000</v>
      </c>
      <c r="BO19" s="65">
        <v>650000</v>
      </c>
      <c r="BP19" s="65">
        <v>660000</v>
      </c>
      <c r="BQ19" s="65">
        <v>670000</v>
      </c>
      <c r="BR19" s="65">
        <v>680000</v>
      </c>
      <c r="BS19" s="65">
        <v>690000</v>
      </c>
      <c r="BT19" s="65">
        <v>700000</v>
      </c>
      <c r="BU19" s="65">
        <v>710000</v>
      </c>
      <c r="BV19" s="65">
        <v>720000</v>
      </c>
      <c r="BW19" s="65">
        <v>730000</v>
      </c>
      <c r="BX19" s="65">
        <v>740000</v>
      </c>
      <c r="BY19" s="65">
        <v>750000</v>
      </c>
      <c r="BZ19" s="65">
        <v>760000</v>
      </c>
      <c r="CA19" s="65">
        <v>770000</v>
      </c>
      <c r="CB19" s="65">
        <v>780000</v>
      </c>
      <c r="CC19" s="65">
        <v>790000</v>
      </c>
      <c r="CD19" s="65">
        <v>800000</v>
      </c>
      <c r="CE19" s="65">
        <v>810000</v>
      </c>
      <c r="CF19" s="65">
        <v>820000</v>
      </c>
      <c r="CG19" s="65">
        <v>830000</v>
      </c>
      <c r="CH19" s="65">
        <v>840000</v>
      </c>
      <c r="CI19" s="65">
        <v>850000</v>
      </c>
      <c r="CJ19" s="65">
        <v>860000</v>
      </c>
      <c r="CK19" s="65">
        <v>870000</v>
      </c>
      <c r="CL19" s="65">
        <v>880000</v>
      </c>
      <c r="CM19" s="65">
        <v>890000</v>
      </c>
      <c r="CN19" s="65">
        <v>900000</v>
      </c>
      <c r="CO19" s="65">
        <v>910000</v>
      </c>
      <c r="CP19" s="65">
        <v>920000</v>
      </c>
      <c r="CQ19" s="65">
        <v>930000</v>
      </c>
      <c r="CR19" s="65">
        <v>940000</v>
      </c>
      <c r="CS19" s="65">
        <v>950000</v>
      </c>
      <c r="CT19" s="65">
        <v>960000</v>
      </c>
      <c r="CU19" s="65">
        <v>970000</v>
      </c>
      <c r="CV19" s="65">
        <v>980000</v>
      </c>
      <c r="CW19" s="65">
        <v>990000</v>
      </c>
      <c r="CX19" s="65">
        <v>1000000</v>
      </c>
      <c r="CY19" s="65">
        <v>1010000</v>
      </c>
      <c r="CZ19" s="65">
        <v>1020000</v>
      </c>
      <c r="DA19" s="65">
        <v>1030000</v>
      </c>
      <c r="DB19" s="65">
        <v>1040000</v>
      </c>
      <c r="DC19" s="65">
        <v>1050000</v>
      </c>
      <c r="DD19" s="65">
        <v>1060000</v>
      </c>
      <c r="DE19" s="65">
        <v>1070000</v>
      </c>
      <c r="DF19" s="65">
        <v>1080000</v>
      </c>
    </row>
    <row r="20" spans="1:111" x14ac:dyDescent="0.25">
      <c r="A20" s="63" t="s">
        <v>71</v>
      </c>
      <c r="B20" s="64" t="str">
        <f>"'PARÁMETROS MANT.'!C21:GY21"</f>
        <v>'PARÁMETROS MANT.'!C21:GY21</v>
      </c>
      <c r="C20" s="65" t="s">
        <v>72</v>
      </c>
      <c r="D20" s="65" t="s">
        <v>8</v>
      </c>
      <c r="E20" s="65" t="s">
        <v>73</v>
      </c>
      <c r="F20" s="65" t="s">
        <v>9</v>
      </c>
      <c r="G20" s="65" t="s">
        <v>73</v>
      </c>
      <c r="H20" s="65" t="s">
        <v>8</v>
      </c>
      <c r="I20" s="65" t="s">
        <v>73</v>
      </c>
      <c r="J20" s="65" t="s">
        <v>9</v>
      </c>
      <c r="K20" s="65" t="s">
        <v>73</v>
      </c>
      <c r="L20" s="65" t="s">
        <v>8</v>
      </c>
      <c r="M20" s="65" t="s">
        <v>73</v>
      </c>
      <c r="N20" s="65" t="s">
        <v>10</v>
      </c>
      <c r="O20" s="65" t="s">
        <v>73</v>
      </c>
      <c r="P20" s="65" t="s">
        <v>8</v>
      </c>
      <c r="Q20" s="65" t="s">
        <v>73</v>
      </c>
      <c r="R20" s="65" t="s">
        <v>9</v>
      </c>
      <c r="S20" s="65" t="s">
        <v>73</v>
      </c>
      <c r="T20" s="65" t="s">
        <v>8</v>
      </c>
      <c r="U20" s="65" t="s">
        <v>73</v>
      </c>
      <c r="V20" s="65" t="s">
        <v>9</v>
      </c>
      <c r="W20" s="65" t="s">
        <v>73</v>
      </c>
      <c r="X20" s="65" t="s">
        <v>8</v>
      </c>
      <c r="Y20" s="65" t="s">
        <v>73</v>
      </c>
      <c r="Z20" s="65" t="s">
        <v>10</v>
      </c>
      <c r="AA20" s="65" t="s">
        <v>73</v>
      </c>
      <c r="AB20" s="65" t="s">
        <v>8</v>
      </c>
      <c r="AC20" s="65" t="s">
        <v>73</v>
      </c>
      <c r="AD20" s="65" t="s">
        <v>9</v>
      </c>
      <c r="AE20" s="65" t="s">
        <v>73</v>
      </c>
      <c r="AF20" s="65" t="s">
        <v>8</v>
      </c>
      <c r="AG20" s="65" t="s">
        <v>73</v>
      </c>
      <c r="AH20" s="65" t="s">
        <v>9</v>
      </c>
      <c r="AI20" s="65" t="s">
        <v>73</v>
      </c>
      <c r="AJ20" s="65" t="s">
        <v>8</v>
      </c>
      <c r="AK20" s="65" t="s">
        <v>73</v>
      </c>
      <c r="AL20" s="65" t="s">
        <v>10</v>
      </c>
      <c r="AM20" s="65" t="s">
        <v>73</v>
      </c>
      <c r="AN20" s="65" t="s">
        <v>8</v>
      </c>
      <c r="AO20" s="65" t="s">
        <v>73</v>
      </c>
      <c r="AP20" s="65" t="s">
        <v>9</v>
      </c>
      <c r="AQ20" s="65" t="s">
        <v>73</v>
      </c>
      <c r="AR20" s="65" t="s">
        <v>8</v>
      </c>
      <c r="AS20" s="65" t="s">
        <v>73</v>
      </c>
      <c r="AT20" s="65" t="s">
        <v>9</v>
      </c>
      <c r="AU20" s="65" t="s">
        <v>73</v>
      </c>
      <c r="AV20" s="65" t="s">
        <v>8</v>
      </c>
      <c r="AW20" s="65" t="s">
        <v>73</v>
      </c>
      <c r="AX20" s="65" t="s">
        <v>10</v>
      </c>
      <c r="AY20" s="65" t="s">
        <v>73</v>
      </c>
      <c r="AZ20" s="65" t="s">
        <v>8</v>
      </c>
      <c r="BA20" s="65" t="s">
        <v>73</v>
      </c>
      <c r="BB20" s="65" t="s">
        <v>9</v>
      </c>
      <c r="BC20" s="65" t="s">
        <v>73</v>
      </c>
      <c r="BD20" s="65" t="s">
        <v>8</v>
      </c>
      <c r="BE20" s="65" t="s">
        <v>73</v>
      </c>
      <c r="BF20" s="65" t="s">
        <v>9</v>
      </c>
      <c r="BG20" s="65" t="s">
        <v>73</v>
      </c>
      <c r="BH20" s="65" t="s">
        <v>8</v>
      </c>
      <c r="BI20" s="65" t="s">
        <v>73</v>
      </c>
      <c r="BJ20" s="65" t="s">
        <v>10</v>
      </c>
      <c r="BK20" s="65" t="s">
        <v>73</v>
      </c>
      <c r="BL20" s="65" t="s">
        <v>8</v>
      </c>
      <c r="BM20" s="65" t="s">
        <v>73</v>
      </c>
      <c r="BN20" s="65" t="s">
        <v>9</v>
      </c>
      <c r="BO20" s="65" t="s">
        <v>73</v>
      </c>
      <c r="BP20" s="65" t="s">
        <v>8</v>
      </c>
      <c r="BQ20" s="65" t="s">
        <v>73</v>
      </c>
      <c r="BR20" s="65" t="s">
        <v>9</v>
      </c>
      <c r="BS20" s="65" t="s">
        <v>73</v>
      </c>
      <c r="BT20" s="65" t="s">
        <v>8</v>
      </c>
      <c r="BU20" s="65" t="s">
        <v>73</v>
      </c>
      <c r="BV20" s="65" t="s">
        <v>10</v>
      </c>
      <c r="BW20" s="65" t="s">
        <v>73</v>
      </c>
      <c r="BX20" s="65" t="s">
        <v>8</v>
      </c>
      <c r="BY20" s="65" t="s">
        <v>73</v>
      </c>
      <c r="BZ20" s="65" t="s">
        <v>9</v>
      </c>
      <c r="CA20" s="65" t="s">
        <v>73</v>
      </c>
      <c r="CB20" s="65" t="s">
        <v>8</v>
      </c>
      <c r="CC20" s="65" t="s">
        <v>73</v>
      </c>
      <c r="CD20" s="65" t="s">
        <v>9</v>
      </c>
      <c r="CE20" s="65" t="s">
        <v>73</v>
      </c>
      <c r="CF20" s="65" t="s">
        <v>8</v>
      </c>
      <c r="CG20" s="65" t="s">
        <v>73</v>
      </c>
      <c r="CH20" s="65" t="s">
        <v>10</v>
      </c>
      <c r="CI20" s="65" t="s">
        <v>73</v>
      </c>
      <c r="CJ20" s="65" t="s">
        <v>8</v>
      </c>
      <c r="CK20" s="65" t="s">
        <v>73</v>
      </c>
      <c r="CL20" s="65" t="s">
        <v>9</v>
      </c>
      <c r="CM20" s="65" t="s">
        <v>73</v>
      </c>
      <c r="CN20" s="65" t="s">
        <v>8</v>
      </c>
      <c r="CO20" s="65" t="s">
        <v>73</v>
      </c>
      <c r="CP20" s="65" t="s">
        <v>9</v>
      </c>
      <c r="CQ20" s="65" t="s">
        <v>73</v>
      </c>
      <c r="CR20" s="65" t="s">
        <v>8</v>
      </c>
      <c r="CS20" s="65" t="s">
        <v>73</v>
      </c>
      <c r="CT20" s="65" t="s">
        <v>10</v>
      </c>
      <c r="CU20" s="65" t="s">
        <v>73</v>
      </c>
      <c r="CV20" s="65" t="s">
        <v>8</v>
      </c>
      <c r="CW20" s="65" t="s">
        <v>73</v>
      </c>
      <c r="CX20" s="65" t="s">
        <v>9</v>
      </c>
      <c r="CY20" s="65" t="s">
        <v>73</v>
      </c>
      <c r="CZ20" s="65" t="s">
        <v>8</v>
      </c>
      <c r="DA20" s="65" t="s">
        <v>73</v>
      </c>
      <c r="DB20" s="65" t="s">
        <v>9</v>
      </c>
      <c r="DC20" s="65" t="s">
        <v>73</v>
      </c>
      <c r="DD20" s="65" t="s">
        <v>8</v>
      </c>
      <c r="DE20" s="65" t="s">
        <v>73</v>
      </c>
      <c r="DF20" s="65" t="s">
        <v>10</v>
      </c>
    </row>
    <row r="21" spans="1:111" x14ac:dyDescent="0.25">
      <c r="A21" s="67" t="s">
        <v>390</v>
      </c>
      <c r="B21" s="64" t="s">
        <v>77</v>
      </c>
      <c r="C21" s="65">
        <v>10000</v>
      </c>
      <c r="D21" s="65">
        <v>20000</v>
      </c>
      <c r="E21" s="65">
        <v>30000</v>
      </c>
      <c r="F21" s="65">
        <v>40000</v>
      </c>
      <c r="G21" s="65">
        <v>50000</v>
      </c>
      <c r="H21" s="65">
        <v>60000</v>
      </c>
      <c r="I21" s="65">
        <v>70000</v>
      </c>
      <c r="J21" s="65">
        <v>80000</v>
      </c>
      <c r="K21" s="65">
        <v>90000</v>
      </c>
      <c r="L21" s="65">
        <v>100000</v>
      </c>
      <c r="M21" s="65">
        <v>110000</v>
      </c>
      <c r="N21" s="65">
        <v>120000</v>
      </c>
      <c r="O21" s="65">
        <v>130000</v>
      </c>
      <c r="P21" s="65">
        <v>140000</v>
      </c>
      <c r="Q21" s="65">
        <v>150000</v>
      </c>
      <c r="R21" s="65">
        <v>160000</v>
      </c>
      <c r="S21" s="65">
        <v>170000</v>
      </c>
      <c r="T21" s="65">
        <v>180000</v>
      </c>
      <c r="U21" s="65">
        <v>190000</v>
      </c>
      <c r="V21" s="65">
        <v>200000</v>
      </c>
      <c r="W21" s="65">
        <v>210000</v>
      </c>
      <c r="X21" s="65">
        <v>220000</v>
      </c>
      <c r="Y21" s="65">
        <v>230000</v>
      </c>
      <c r="Z21" s="65">
        <v>240000</v>
      </c>
      <c r="AA21" s="65">
        <v>250000</v>
      </c>
      <c r="AB21" s="65">
        <v>260000</v>
      </c>
      <c r="AC21" s="65">
        <v>270000</v>
      </c>
      <c r="AD21" s="65">
        <v>280000</v>
      </c>
      <c r="AE21" s="65">
        <v>290000</v>
      </c>
      <c r="AF21" s="65">
        <v>300000</v>
      </c>
      <c r="AG21" s="65">
        <v>310000</v>
      </c>
      <c r="AH21" s="65">
        <v>320000</v>
      </c>
      <c r="AI21" s="65">
        <v>330000</v>
      </c>
      <c r="AJ21" s="65">
        <v>340000</v>
      </c>
      <c r="AK21" s="65">
        <v>350000</v>
      </c>
      <c r="AL21" s="65">
        <v>360000</v>
      </c>
      <c r="AM21" s="65">
        <v>370000</v>
      </c>
      <c r="AN21" s="65">
        <v>380000</v>
      </c>
      <c r="AO21" s="65">
        <v>390000</v>
      </c>
      <c r="AP21" s="65">
        <v>400000</v>
      </c>
      <c r="AQ21" s="65">
        <v>410000</v>
      </c>
      <c r="AR21" s="65">
        <v>420000</v>
      </c>
      <c r="AS21" s="65">
        <v>430000</v>
      </c>
      <c r="AT21" s="65">
        <v>440000</v>
      </c>
      <c r="AU21" s="65">
        <v>450000</v>
      </c>
      <c r="AV21" s="65">
        <v>460000</v>
      </c>
      <c r="AW21" s="65">
        <v>470000</v>
      </c>
      <c r="AX21" s="65">
        <v>480000</v>
      </c>
      <c r="AY21" s="65">
        <v>490000</v>
      </c>
      <c r="AZ21" s="65">
        <v>500000</v>
      </c>
      <c r="BA21" s="65">
        <v>510000</v>
      </c>
      <c r="BB21" s="65">
        <v>520000</v>
      </c>
      <c r="BC21" s="65">
        <v>530000</v>
      </c>
      <c r="BD21" s="65">
        <v>540000</v>
      </c>
      <c r="BE21" s="65">
        <v>550000</v>
      </c>
      <c r="BF21" s="65">
        <v>560000</v>
      </c>
      <c r="BG21" s="65">
        <v>570000</v>
      </c>
      <c r="BH21" s="65">
        <v>580000</v>
      </c>
      <c r="BI21" s="65">
        <v>590000</v>
      </c>
      <c r="BJ21" s="65">
        <v>600000</v>
      </c>
      <c r="BK21" s="65">
        <v>610000</v>
      </c>
      <c r="BL21" s="65">
        <v>620000</v>
      </c>
      <c r="BM21" s="65">
        <v>630000</v>
      </c>
      <c r="BN21" s="65">
        <v>640000</v>
      </c>
      <c r="BO21" s="65">
        <v>650000</v>
      </c>
      <c r="BP21" s="65">
        <v>660000</v>
      </c>
      <c r="BQ21" s="65">
        <v>670000</v>
      </c>
      <c r="BR21" s="65">
        <v>680000</v>
      </c>
      <c r="BS21" s="65">
        <v>690000</v>
      </c>
      <c r="BT21" s="65">
        <v>700000</v>
      </c>
      <c r="BU21" s="65">
        <v>710000</v>
      </c>
      <c r="BV21" s="65">
        <v>720000</v>
      </c>
      <c r="BW21" s="65">
        <v>730000</v>
      </c>
      <c r="BX21" s="65">
        <v>740000</v>
      </c>
      <c r="BY21" s="65">
        <v>750000</v>
      </c>
      <c r="BZ21" s="65">
        <v>760000</v>
      </c>
      <c r="CA21" s="65">
        <v>770000</v>
      </c>
      <c r="CB21" s="65">
        <v>780000</v>
      </c>
      <c r="CC21" s="65">
        <v>790000</v>
      </c>
      <c r="CD21" s="65">
        <v>800000</v>
      </c>
      <c r="CE21" s="65">
        <v>810000</v>
      </c>
      <c r="CF21" s="65">
        <v>820000</v>
      </c>
      <c r="CG21" s="65">
        <v>830000</v>
      </c>
      <c r="CH21" s="65">
        <v>840000</v>
      </c>
      <c r="CI21" s="65">
        <v>850000</v>
      </c>
      <c r="CJ21" s="65">
        <v>860000</v>
      </c>
      <c r="CK21" s="65">
        <v>870000</v>
      </c>
      <c r="CL21" s="65">
        <v>880000</v>
      </c>
      <c r="CM21" s="65">
        <v>890000</v>
      </c>
      <c r="CN21" s="65">
        <v>900000</v>
      </c>
      <c r="CO21" s="65">
        <v>910000</v>
      </c>
      <c r="CP21" s="65">
        <v>920000</v>
      </c>
      <c r="CQ21" s="65">
        <v>930000</v>
      </c>
      <c r="CR21" s="65">
        <v>940000</v>
      </c>
      <c r="CS21" s="65">
        <v>950000</v>
      </c>
      <c r="CT21" s="65">
        <v>960000</v>
      </c>
      <c r="CU21" s="65">
        <v>970000</v>
      </c>
      <c r="CV21" s="65">
        <v>980000</v>
      </c>
      <c r="CW21" s="65">
        <v>990000</v>
      </c>
      <c r="CX21" s="65">
        <v>1000000</v>
      </c>
      <c r="CY21" s="65">
        <v>1010000</v>
      </c>
      <c r="CZ21" s="65">
        <v>1020000</v>
      </c>
      <c r="DA21" s="65">
        <v>1030000</v>
      </c>
      <c r="DB21" s="65">
        <v>1040000</v>
      </c>
      <c r="DC21" s="65">
        <v>1050000</v>
      </c>
      <c r="DD21" s="65">
        <v>1060000</v>
      </c>
      <c r="DE21" s="65">
        <v>1070000</v>
      </c>
      <c r="DF21" s="65">
        <v>1080000</v>
      </c>
    </row>
    <row r="22" spans="1:111" x14ac:dyDescent="0.25">
      <c r="A22" s="63" t="s">
        <v>74</v>
      </c>
      <c r="B22" s="64" t="str">
        <f>"'PARÁMETROS MANT.'!C23:GY23"</f>
        <v>'PARÁMETROS MANT.'!C23:GY23</v>
      </c>
      <c r="C22" s="65" t="s">
        <v>72</v>
      </c>
      <c r="D22" s="65" t="s">
        <v>8</v>
      </c>
      <c r="E22" s="65" t="s">
        <v>9</v>
      </c>
      <c r="F22" s="65" t="s">
        <v>8</v>
      </c>
      <c r="G22" s="65" t="s">
        <v>10</v>
      </c>
      <c r="H22" s="65" t="s">
        <v>8</v>
      </c>
      <c r="I22" s="65" t="s">
        <v>11</v>
      </c>
      <c r="J22" s="65" t="s">
        <v>8</v>
      </c>
      <c r="K22" s="65" t="s">
        <v>10</v>
      </c>
      <c r="L22" s="65" t="s">
        <v>8</v>
      </c>
      <c r="M22" s="65" t="s">
        <v>9</v>
      </c>
      <c r="N22" s="65" t="s">
        <v>8</v>
      </c>
      <c r="O22" s="65" t="s">
        <v>12</v>
      </c>
      <c r="P22" s="65" t="s">
        <v>8</v>
      </c>
      <c r="Q22" s="65" t="s">
        <v>9</v>
      </c>
      <c r="R22" s="65" t="s">
        <v>8</v>
      </c>
      <c r="S22" s="65" t="s">
        <v>10</v>
      </c>
      <c r="T22" s="65" t="s">
        <v>8</v>
      </c>
      <c r="U22" s="65" t="s">
        <v>11</v>
      </c>
      <c r="V22" s="65" t="s">
        <v>8</v>
      </c>
      <c r="W22" s="65" t="s">
        <v>10</v>
      </c>
      <c r="X22" s="65" t="s">
        <v>8</v>
      </c>
      <c r="Y22" s="65" t="s">
        <v>9</v>
      </c>
      <c r="Z22" s="65" t="s">
        <v>8</v>
      </c>
      <c r="AA22" s="65" t="s">
        <v>12</v>
      </c>
      <c r="AB22" s="65" t="s">
        <v>8</v>
      </c>
      <c r="AC22" s="65" t="s">
        <v>9</v>
      </c>
      <c r="AD22" s="65" t="s">
        <v>8</v>
      </c>
      <c r="AE22" s="65" t="s">
        <v>10</v>
      </c>
      <c r="AF22" s="65" t="s">
        <v>8</v>
      </c>
      <c r="AG22" s="65" t="s">
        <v>11</v>
      </c>
      <c r="AH22" s="65" t="s">
        <v>8</v>
      </c>
      <c r="AI22" s="65" t="s">
        <v>10</v>
      </c>
      <c r="AJ22" s="65" t="s">
        <v>8</v>
      </c>
      <c r="AK22" s="65" t="s">
        <v>9</v>
      </c>
      <c r="AL22" s="65" t="s">
        <v>8</v>
      </c>
      <c r="AM22" s="65" t="s">
        <v>12</v>
      </c>
      <c r="AN22" s="65" t="s">
        <v>8</v>
      </c>
      <c r="AO22" s="65" t="s">
        <v>9</v>
      </c>
      <c r="AP22" s="65" t="s">
        <v>8</v>
      </c>
      <c r="AQ22" s="65" t="s">
        <v>10</v>
      </c>
      <c r="AR22" s="65" t="s">
        <v>8</v>
      </c>
      <c r="AS22" s="65" t="s">
        <v>11</v>
      </c>
      <c r="AT22" s="65" t="s">
        <v>8</v>
      </c>
      <c r="AU22" s="65" t="s">
        <v>10</v>
      </c>
      <c r="AV22" s="65" t="s">
        <v>8</v>
      </c>
      <c r="AW22" s="65" t="s">
        <v>9</v>
      </c>
      <c r="AX22" s="65" t="s">
        <v>8</v>
      </c>
      <c r="AY22" s="65" t="s">
        <v>12</v>
      </c>
      <c r="AZ22" s="65" t="s">
        <v>8</v>
      </c>
      <c r="BA22" s="65" t="s">
        <v>9</v>
      </c>
      <c r="BB22" s="65" t="s">
        <v>8</v>
      </c>
      <c r="BC22" s="65" t="s">
        <v>10</v>
      </c>
      <c r="BD22" s="65" t="s">
        <v>8</v>
      </c>
      <c r="BE22" s="65" t="s">
        <v>11</v>
      </c>
      <c r="BF22" s="65" t="s">
        <v>8</v>
      </c>
      <c r="BG22" s="65" t="s">
        <v>10</v>
      </c>
      <c r="BH22" s="65" t="s">
        <v>8</v>
      </c>
      <c r="BI22" s="65" t="s">
        <v>9</v>
      </c>
      <c r="BJ22" s="65" t="s">
        <v>8</v>
      </c>
      <c r="BK22" s="65" t="s">
        <v>12</v>
      </c>
      <c r="BL22" s="65" t="s">
        <v>8</v>
      </c>
      <c r="BM22" s="65" t="s">
        <v>9</v>
      </c>
      <c r="BN22" s="65" t="s">
        <v>8</v>
      </c>
      <c r="BO22" s="65" t="s">
        <v>10</v>
      </c>
      <c r="BP22" s="65" t="s">
        <v>8</v>
      </c>
      <c r="BQ22" s="65" t="s">
        <v>11</v>
      </c>
      <c r="BR22" s="65" t="s">
        <v>8</v>
      </c>
      <c r="BS22" s="65" t="s">
        <v>10</v>
      </c>
      <c r="BT22" s="65" t="s">
        <v>8</v>
      </c>
      <c r="BU22" s="65" t="s">
        <v>9</v>
      </c>
      <c r="BV22" s="65" t="s">
        <v>8</v>
      </c>
      <c r="BW22" s="65" t="s">
        <v>12</v>
      </c>
      <c r="BX22" s="65" t="s">
        <v>8</v>
      </c>
      <c r="BY22" s="65" t="s">
        <v>9</v>
      </c>
      <c r="BZ22" s="65" t="s">
        <v>8</v>
      </c>
      <c r="CA22" s="65" t="s">
        <v>10</v>
      </c>
      <c r="CB22" s="65" t="s">
        <v>8</v>
      </c>
      <c r="CC22" s="65" t="s">
        <v>11</v>
      </c>
      <c r="CD22" s="65" t="s">
        <v>8</v>
      </c>
      <c r="CE22" s="65" t="s">
        <v>10</v>
      </c>
      <c r="CF22" s="65" t="s">
        <v>8</v>
      </c>
      <c r="CG22" s="65" t="s">
        <v>9</v>
      </c>
      <c r="CH22" s="65" t="s">
        <v>8</v>
      </c>
      <c r="CI22" s="65" t="s">
        <v>12</v>
      </c>
      <c r="CJ22" s="65" t="s">
        <v>8</v>
      </c>
      <c r="CK22" s="65" t="s">
        <v>9</v>
      </c>
      <c r="CL22" s="65" t="s">
        <v>8</v>
      </c>
      <c r="CM22" s="65" t="s">
        <v>10</v>
      </c>
      <c r="CN22" s="65" t="s">
        <v>8</v>
      </c>
      <c r="CO22" s="65" t="s">
        <v>11</v>
      </c>
      <c r="CP22" s="65" t="s">
        <v>8</v>
      </c>
      <c r="CQ22" s="65" t="s">
        <v>10</v>
      </c>
      <c r="CR22" s="65" t="s">
        <v>8</v>
      </c>
      <c r="CS22" s="65" t="s">
        <v>9</v>
      </c>
      <c r="CT22" s="65" t="s">
        <v>8</v>
      </c>
      <c r="CU22" s="65" t="s">
        <v>12</v>
      </c>
      <c r="CV22" s="65" t="s">
        <v>8</v>
      </c>
      <c r="CW22" s="65" t="s">
        <v>9</v>
      </c>
      <c r="CX22" s="65" t="s">
        <v>8</v>
      </c>
      <c r="CY22" s="65" t="s">
        <v>10</v>
      </c>
      <c r="CZ22" s="65" t="s">
        <v>8</v>
      </c>
      <c r="DA22" s="65" t="s">
        <v>11</v>
      </c>
      <c r="DB22" s="65" t="s">
        <v>8</v>
      </c>
      <c r="DC22" s="65" t="s">
        <v>10</v>
      </c>
      <c r="DD22" s="65" t="s">
        <v>8</v>
      </c>
      <c r="DE22" s="65" t="s">
        <v>9</v>
      </c>
      <c r="DF22" s="65" t="s">
        <v>8</v>
      </c>
    </row>
    <row r="23" spans="1:111" x14ac:dyDescent="0.25">
      <c r="A23" s="67" t="s">
        <v>398</v>
      </c>
      <c r="B23" s="64" t="s">
        <v>77</v>
      </c>
      <c r="C23" s="65">
        <v>5000</v>
      </c>
      <c r="D23" s="65">
        <v>30000</v>
      </c>
      <c r="E23" s="65">
        <v>60000</v>
      </c>
      <c r="F23" s="65">
        <v>90000</v>
      </c>
      <c r="G23" s="65">
        <v>120000</v>
      </c>
      <c r="H23" s="65">
        <v>150000</v>
      </c>
      <c r="I23" s="65">
        <v>180000</v>
      </c>
      <c r="J23" s="65">
        <v>210000</v>
      </c>
      <c r="K23" s="65">
        <v>240000</v>
      </c>
      <c r="L23" s="65">
        <v>270000</v>
      </c>
      <c r="M23" s="65">
        <v>300000</v>
      </c>
      <c r="N23" s="65">
        <v>330000</v>
      </c>
      <c r="O23" s="65">
        <v>360000</v>
      </c>
      <c r="P23" s="65">
        <v>390000</v>
      </c>
      <c r="Q23" s="65">
        <v>420000</v>
      </c>
      <c r="R23" s="65">
        <v>450000</v>
      </c>
      <c r="S23" s="65">
        <v>480000</v>
      </c>
      <c r="T23" s="65">
        <v>510000</v>
      </c>
      <c r="U23" s="65">
        <v>540000</v>
      </c>
      <c r="V23" s="65">
        <v>570000</v>
      </c>
      <c r="W23" s="65">
        <v>600000</v>
      </c>
      <c r="X23" s="65">
        <v>630000</v>
      </c>
      <c r="Y23" s="65">
        <v>660000</v>
      </c>
      <c r="Z23" s="65">
        <v>690000</v>
      </c>
      <c r="AA23" s="65">
        <v>720000</v>
      </c>
      <c r="AB23" s="65">
        <v>750000</v>
      </c>
      <c r="AC23" s="65">
        <v>780000</v>
      </c>
      <c r="AD23" s="65">
        <v>810000</v>
      </c>
      <c r="AE23" s="65">
        <v>840000</v>
      </c>
      <c r="AF23" s="65">
        <v>870000</v>
      </c>
      <c r="AG23" s="65">
        <v>900000</v>
      </c>
      <c r="AH23" s="65">
        <v>930000</v>
      </c>
      <c r="AI23" s="65">
        <v>960000</v>
      </c>
      <c r="AJ23" s="65">
        <v>990000</v>
      </c>
      <c r="AK23" s="65">
        <v>1020000</v>
      </c>
      <c r="AL23" s="65">
        <v>1050000</v>
      </c>
      <c r="AM23" s="65">
        <v>1080000</v>
      </c>
      <c r="AN23" s="65">
        <v>1110000</v>
      </c>
      <c r="AO23" s="65">
        <v>1140000</v>
      </c>
      <c r="AP23" s="65">
        <v>1170000</v>
      </c>
      <c r="AQ23" s="65">
        <v>1200000</v>
      </c>
      <c r="AR23" s="65">
        <v>1230000</v>
      </c>
      <c r="AS23" s="65">
        <v>1260000</v>
      </c>
      <c r="AT23" s="65">
        <v>1290000</v>
      </c>
      <c r="AU23" s="65">
        <v>1320000</v>
      </c>
      <c r="AV23" s="65">
        <v>1350000</v>
      </c>
      <c r="AW23" s="65">
        <v>1380000</v>
      </c>
      <c r="AX23" s="65">
        <v>1410000</v>
      </c>
      <c r="AY23" s="65">
        <v>1440000</v>
      </c>
      <c r="AZ23" s="65">
        <v>1470000</v>
      </c>
      <c r="BA23" s="65">
        <v>1500000</v>
      </c>
      <c r="BB23" s="65">
        <v>1530000</v>
      </c>
      <c r="BC23" s="65">
        <v>1560000</v>
      </c>
      <c r="BD23" s="65">
        <v>1590000</v>
      </c>
      <c r="BE23" s="65">
        <v>1620000</v>
      </c>
      <c r="BF23" s="65">
        <v>1650000</v>
      </c>
      <c r="BG23" s="65">
        <v>1680000</v>
      </c>
      <c r="BH23" s="65">
        <v>1710000</v>
      </c>
      <c r="BI23" s="65">
        <v>1740000</v>
      </c>
      <c r="BJ23" s="65">
        <v>1770000</v>
      </c>
      <c r="BK23" s="65">
        <v>1800000</v>
      </c>
      <c r="BL23" s="65">
        <v>1830000</v>
      </c>
      <c r="BM23" s="65">
        <v>1860000</v>
      </c>
      <c r="BN23" s="65">
        <v>1890000</v>
      </c>
      <c r="BO23" s="65">
        <v>1920000</v>
      </c>
      <c r="BP23" s="65">
        <v>1950000</v>
      </c>
      <c r="BQ23" s="65">
        <v>1980000</v>
      </c>
      <c r="BR23" s="65">
        <v>2010000</v>
      </c>
      <c r="BS23" s="65">
        <v>2040000</v>
      </c>
      <c r="BT23" s="65">
        <v>2070000</v>
      </c>
      <c r="BU23" s="65">
        <v>2100000</v>
      </c>
      <c r="BV23" s="65">
        <v>2130000</v>
      </c>
      <c r="BW23" s="65">
        <v>2160000</v>
      </c>
      <c r="BX23" s="65">
        <v>2190000</v>
      </c>
      <c r="BY23" s="65">
        <v>2220000</v>
      </c>
      <c r="BZ23" s="65">
        <v>2250000</v>
      </c>
      <c r="CA23" s="65">
        <v>2280000</v>
      </c>
      <c r="CB23" s="65">
        <v>2310000</v>
      </c>
      <c r="CC23" s="65">
        <v>2340000</v>
      </c>
      <c r="CD23" s="65">
        <v>2370000</v>
      </c>
      <c r="CE23" s="65">
        <v>2400000</v>
      </c>
      <c r="CF23" s="65">
        <v>2430000</v>
      </c>
      <c r="CG23" s="65">
        <v>2460000</v>
      </c>
      <c r="CH23" s="65">
        <v>2490000</v>
      </c>
      <c r="CI23" s="65">
        <v>2520000</v>
      </c>
      <c r="CJ23" s="65">
        <v>2550000</v>
      </c>
      <c r="CK23" s="65">
        <v>2580000</v>
      </c>
      <c r="CL23" s="65">
        <v>2610000</v>
      </c>
      <c r="CM23" s="65">
        <v>2640000</v>
      </c>
      <c r="CN23" s="65">
        <v>2670000</v>
      </c>
      <c r="CO23" s="65">
        <v>2700000</v>
      </c>
      <c r="CP23" s="65">
        <v>2730000</v>
      </c>
      <c r="CQ23" s="65">
        <v>2760000</v>
      </c>
      <c r="CR23" s="65">
        <v>2790000</v>
      </c>
      <c r="CS23" s="65">
        <v>2820000</v>
      </c>
      <c r="CT23" s="65">
        <v>2850000</v>
      </c>
      <c r="CU23" s="65">
        <v>2880000</v>
      </c>
      <c r="CV23" s="65">
        <v>2910000</v>
      </c>
      <c r="CW23" s="65">
        <v>2940000</v>
      </c>
      <c r="CX23" s="65">
        <v>2970000</v>
      </c>
      <c r="CY23" s="65">
        <v>3000000</v>
      </c>
      <c r="CZ23" s="65">
        <v>3030000</v>
      </c>
      <c r="DA23" s="65">
        <v>3060000</v>
      </c>
      <c r="DB23" s="65">
        <v>3090000</v>
      </c>
      <c r="DC23" s="65">
        <v>3120000</v>
      </c>
      <c r="DD23" s="65">
        <v>3150000</v>
      </c>
      <c r="DE23" s="65">
        <v>3180000</v>
      </c>
      <c r="DF23" s="65">
        <v>3210000</v>
      </c>
    </row>
    <row r="24" spans="1:111" ht="13.5" customHeight="1" x14ac:dyDescent="0.25">
      <c r="A24" s="63" t="s">
        <v>75</v>
      </c>
      <c r="B24" s="64" t="str">
        <f>"'PARÁMETROS MANT.'!C25:DF25"</f>
        <v>'PARÁMETROS MANT.'!C25:DF25</v>
      </c>
      <c r="C24" s="65" t="s">
        <v>72</v>
      </c>
      <c r="D24" s="65" t="s">
        <v>8</v>
      </c>
      <c r="E24" s="65" t="s">
        <v>9</v>
      </c>
      <c r="F24" s="65" t="s">
        <v>10</v>
      </c>
      <c r="G24" s="65" t="s">
        <v>9</v>
      </c>
      <c r="H24" s="65" t="s">
        <v>8</v>
      </c>
      <c r="I24" s="65" t="s">
        <v>11</v>
      </c>
      <c r="J24" s="65" t="s">
        <v>8</v>
      </c>
      <c r="K24" s="65" t="s">
        <v>9</v>
      </c>
      <c r="L24" s="65" t="s">
        <v>10</v>
      </c>
      <c r="M24" s="65" t="s">
        <v>9</v>
      </c>
      <c r="N24" s="65" t="s">
        <v>8</v>
      </c>
      <c r="O24" s="65" t="s">
        <v>11</v>
      </c>
      <c r="P24" s="65" t="s">
        <v>8</v>
      </c>
      <c r="Q24" s="65" t="s">
        <v>9</v>
      </c>
      <c r="R24" s="65" t="s">
        <v>10</v>
      </c>
      <c r="S24" s="65" t="s">
        <v>9</v>
      </c>
      <c r="T24" s="65" t="s">
        <v>8</v>
      </c>
      <c r="U24" s="65" t="s">
        <v>11</v>
      </c>
      <c r="V24" s="65" t="s">
        <v>8</v>
      </c>
      <c r="W24" s="65" t="s">
        <v>9</v>
      </c>
      <c r="X24" s="65" t="s">
        <v>10</v>
      </c>
      <c r="Y24" s="65" t="s">
        <v>9</v>
      </c>
      <c r="Z24" s="65" t="s">
        <v>8</v>
      </c>
      <c r="AA24" s="65" t="s">
        <v>11</v>
      </c>
      <c r="AB24" s="65" t="s">
        <v>8</v>
      </c>
      <c r="AC24" s="65" t="s">
        <v>9</v>
      </c>
      <c r="AD24" s="65" t="s">
        <v>10</v>
      </c>
      <c r="AE24" s="65" t="s">
        <v>9</v>
      </c>
      <c r="AF24" s="65" t="s">
        <v>8</v>
      </c>
      <c r="AG24" s="65" t="s">
        <v>11</v>
      </c>
      <c r="AH24" s="65" t="s">
        <v>8</v>
      </c>
      <c r="AI24" s="65" t="s">
        <v>9</v>
      </c>
      <c r="AJ24" s="65" t="s">
        <v>10</v>
      </c>
      <c r="AK24" s="65" t="s">
        <v>9</v>
      </c>
      <c r="AL24" s="65" t="s">
        <v>8</v>
      </c>
      <c r="AM24" s="65" t="s">
        <v>11</v>
      </c>
      <c r="AN24" s="65" t="s">
        <v>8</v>
      </c>
      <c r="AO24" s="65" t="s">
        <v>9</v>
      </c>
      <c r="AP24" s="65" t="s">
        <v>10</v>
      </c>
      <c r="AQ24" s="65" t="s">
        <v>9</v>
      </c>
      <c r="AR24" s="65" t="s">
        <v>8</v>
      </c>
      <c r="AS24" s="65" t="s">
        <v>11</v>
      </c>
      <c r="AT24" s="65" t="s">
        <v>8</v>
      </c>
      <c r="AU24" s="65" t="s">
        <v>9</v>
      </c>
      <c r="AV24" s="65" t="s">
        <v>10</v>
      </c>
      <c r="AW24" s="65" t="s">
        <v>9</v>
      </c>
      <c r="AX24" s="65" t="s">
        <v>8</v>
      </c>
      <c r="AY24" s="65" t="s">
        <v>11</v>
      </c>
      <c r="AZ24" s="65" t="s">
        <v>8</v>
      </c>
      <c r="BA24" s="65" t="s">
        <v>9</v>
      </c>
      <c r="BB24" s="65" t="s">
        <v>10</v>
      </c>
      <c r="BC24" s="65" t="s">
        <v>9</v>
      </c>
      <c r="BD24" s="65" t="s">
        <v>8</v>
      </c>
      <c r="BE24" s="65" t="s">
        <v>11</v>
      </c>
      <c r="BF24" s="65" t="s">
        <v>8</v>
      </c>
      <c r="BG24" s="65" t="s">
        <v>9</v>
      </c>
      <c r="BH24" s="65" t="s">
        <v>10</v>
      </c>
      <c r="BI24" s="65" t="s">
        <v>9</v>
      </c>
      <c r="BJ24" s="65" t="s">
        <v>8</v>
      </c>
      <c r="BK24" s="65" t="s">
        <v>11</v>
      </c>
      <c r="BL24" s="65" t="s">
        <v>8</v>
      </c>
      <c r="BM24" s="65" t="s">
        <v>9</v>
      </c>
      <c r="BN24" s="65" t="s">
        <v>10</v>
      </c>
      <c r="BO24" s="65" t="s">
        <v>9</v>
      </c>
      <c r="BP24" s="65" t="s">
        <v>8</v>
      </c>
      <c r="BQ24" s="65" t="s">
        <v>11</v>
      </c>
      <c r="BR24" s="65" t="s">
        <v>8</v>
      </c>
      <c r="BS24" s="65" t="s">
        <v>9</v>
      </c>
      <c r="BT24" s="65" t="s">
        <v>10</v>
      </c>
      <c r="BU24" s="65" t="s">
        <v>9</v>
      </c>
      <c r="BV24" s="65" t="s">
        <v>8</v>
      </c>
      <c r="BW24" s="65" t="s">
        <v>11</v>
      </c>
      <c r="BX24" s="65" t="s">
        <v>8</v>
      </c>
      <c r="BY24" s="65" t="s">
        <v>9</v>
      </c>
      <c r="BZ24" s="65" t="s">
        <v>10</v>
      </c>
      <c r="CA24" s="65" t="s">
        <v>9</v>
      </c>
      <c r="CB24" s="65" t="s">
        <v>8</v>
      </c>
      <c r="CC24" s="65" t="s">
        <v>11</v>
      </c>
      <c r="CD24" s="65" t="s">
        <v>8</v>
      </c>
      <c r="CE24" s="65" t="s">
        <v>9</v>
      </c>
      <c r="CF24" s="65" t="s">
        <v>10</v>
      </c>
      <c r="CG24" s="65" t="s">
        <v>9</v>
      </c>
      <c r="CH24" s="65" t="s">
        <v>8</v>
      </c>
      <c r="CI24" s="65" t="s">
        <v>11</v>
      </c>
      <c r="CJ24" s="65" t="s">
        <v>8</v>
      </c>
      <c r="CK24" s="65" t="s">
        <v>9</v>
      </c>
      <c r="CL24" s="65" t="s">
        <v>10</v>
      </c>
      <c r="CM24" s="65" t="s">
        <v>9</v>
      </c>
      <c r="CN24" s="65" t="s">
        <v>8</v>
      </c>
      <c r="CO24" s="65" t="s">
        <v>11</v>
      </c>
      <c r="CP24" s="65" t="s">
        <v>8</v>
      </c>
      <c r="CQ24" s="65" t="s">
        <v>9</v>
      </c>
      <c r="CR24" s="65" t="s">
        <v>10</v>
      </c>
      <c r="CS24" s="65" t="s">
        <v>9</v>
      </c>
      <c r="CT24" s="65" t="s">
        <v>8</v>
      </c>
      <c r="CU24" s="65" t="s">
        <v>11</v>
      </c>
      <c r="CV24" s="65" t="s">
        <v>8</v>
      </c>
      <c r="CW24" s="65" t="s">
        <v>9</v>
      </c>
      <c r="CX24" s="65" t="s">
        <v>10</v>
      </c>
      <c r="CY24" s="65" t="s">
        <v>9</v>
      </c>
      <c r="CZ24" s="65" t="s">
        <v>8</v>
      </c>
      <c r="DA24" s="65" t="s">
        <v>11</v>
      </c>
      <c r="DB24" s="65" t="s">
        <v>8</v>
      </c>
      <c r="DC24" s="65" t="s">
        <v>9</v>
      </c>
      <c r="DD24" s="65" t="s">
        <v>10</v>
      </c>
      <c r="DE24" s="65" t="s">
        <v>9</v>
      </c>
      <c r="DF24" s="65" t="s">
        <v>8</v>
      </c>
    </row>
    <row r="25" spans="1:111" x14ac:dyDescent="0.25">
      <c r="A25" s="67" t="s">
        <v>399</v>
      </c>
      <c r="B25" s="64" t="s">
        <v>77</v>
      </c>
      <c r="C25" s="65">
        <v>5000</v>
      </c>
      <c r="D25" s="65">
        <v>20000</v>
      </c>
      <c r="E25" s="65">
        <v>40000</v>
      </c>
      <c r="F25" s="65">
        <v>60000</v>
      </c>
      <c r="G25" s="65">
        <v>80000</v>
      </c>
      <c r="H25" s="65">
        <v>100000</v>
      </c>
      <c r="I25" s="65">
        <v>120000</v>
      </c>
      <c r="J25" s="65">
        <v>140000</v>
      </c>
      <c r="K25" s="65">
        <v>160000</v>
      </c>
      <c r="L25" s="65">
        <v>180000</v>
      </c>
      <c r="M25" s="65">
        <v>200000</v>
      </c>
      <c r="N25" s="65">
        <v>220000</v>
      </c>
      <c r="O25" s="65">
        <v>240000</v>
      </c>
      <c r="P25" s="65">
        <v>260000</v>
      </c>
      <c r="Q25" s="65">
        <v>280000</v>
      </c>
      <c r="R25" s="65">
        <v>300000</v>
      </c>
      <c r="S25" s="65">
        <v>320000</v>
      </c>
      <c r="T25" s="65">
        <v>340000</v>
      </c>
      <c r="U25" s="65">
        <v>360000</v>
      </c>
      <c r="V25" s="65">
        <v>380000</v>
      </c>
      <c r="W25" s="65">
        <v>400000</v>
      </c>
      <c r="X25" s="65">
        <v>420000</v>
      </c>
      <c r="Y25" s="65">
        <v>440000</v>
      </c>
      <c r="Z25" s="65">
        <v>460000</v>
      </c>
      <c r="AA25" s="65">
        <v>480000</v>
      </c>
      <c r="AB25" s="65">
        <v>500000</v>
      </c>
      <c r="AC25" s="65">
        <v>520000</v>
      </c>
      <c r="AD25" s="65">
        <v>540000</v>
      </c>
      <c r="AE25" s="65">
        <v>560000</v>
      </c>
      <c r="AF25" s="65">
        <v>580000</v>
      </c>
      <c r="AG25" s="65">
        <v>600000</v>
      </c>
      <c r="AH25" s="65">
        <v>620000</v>
      </c>
      <c r="AI25" s="65">
        <v>640000</v>
      </c>
      <c r="AJ25" s="65">
        <v>660000</v>
      </c>
      <c r="AK25" s="65">
        <v>680000</v>
      </c>
      <c r="AL25" s="65">
        <v>700000</v>
      </c>
      <c r="AM25" s="65">
        <v>720000</v>
      </c>
      <c r="AN25" s="65">
        <v>740000</v>
      </c>
      <c r="AO25" s="65">
        <v>760000</v>
      </c>
      <c r="AP25" s="65">
        <v>780000</v>
      </c>
      <c r="AQ25" s="65">
        <v>800000</v>
      </c>
      <c r="AR25" s="65">
        <v>820000</v>
      </c>
      <c r="AS25" s="65">
        <v>840000</v>
      </c>
      <c r="AT25" s="65">
        <v>860000</v>
      </c>
      <c r="AU25" s="65">
        <v>880000</v>
      </c>
      <c r="AV25" s="65">
        <v>900000</v>
      </c>
      <c r="AW25" s="65">
        <v>920000</v>
      </c>
      <c r="AX25" s="65">
        <v>940000</v>
      </c>
      <c r="AY25" s="65">
        <v>960000</v>
      </c>
      <c r="AZ25" s="65">
        <v>980000</v>
      </c>
      <c r="BA25" s="65">
        <v>1000000</v>
      </c>
      <c r="BB25" s="65">
        <v>1020000</v>
      </c>
      <c r="BC25" s="65">
        <v>1040000</v>
      </c>
      <c r="BD25" s="65">
        <v>1060000</v>
      </c>
      <c r="BE25" s="65">
        <v>1080000</v>
      </c>
      <c r="BF25" s="65">
        <v>1100000</v>
      </c>
      <c r="BG25" s="65">
        <v>1120000</v>
      </c>
      <c r="BH25" s="65">
        <v>1140000</v>
      </c>
      <c r="BI25" s="65">
        <v>1160000</v>
      </c>
      <c r="BJ25" s="65">
        <v>1180000</v>
      </c>
      <c r="BK25" s="65">
        <v>1200000</v>
      </c>
      <c r="BL25" s="65">
        <v>1220000</v>
      </c>
      <c r="BM25" s="65">
        <v>1240000</v>
      </c>
      <c r="BN25" s="65">
        <v>1260000</v>
      </c>
      <c r="BO25" s="65">
        <v>1280000</v>
      </c>
      <c r="BP25" s="65">
        <v>1300000</v>
      </c>
      <c r="BQ25" s="65">
        <v>1320000</v>
      </c>
      <c r="BR25" s="65">
        <v>1340000</v>
      </c>
      <c r="BS25" s="65">
        <v>1360000</v>
      </c>
      <c r="BT25" s="65">
        <v>1380000</v>
      </c>
      <c r="BU25" s="65">
        <v>1400000</v>
      </c>
      <c r="BV25" s="65">
        <v>1420000</v>
      </c>
      <c r="BW25" s="65">
        <v>1440000</v>
      </c>
      <c r="BX25" s="65">
        <v>1460000</v>
      </c>
      <c r="BY25" s="65">
        <v>1480000</v>
      </c>
      <c r="BZ25" s="65">
        <v>1500000</v>
      </c>
      <c r="CA25" s="65">
        <v>1520000</v>
      </c>
      <c r="CB25" s="65">
        <v>1540000</v>
      </c>
      <c r="CC25" s="65">
        <v>1560000</v>
      </c>
      <c r="CD25" s="65">
        <v>1580000</v>
      </c>
      <c r="CE25" s="65">
        <v>1600000</v>
      </c>
      <c r="CF25" s="65">
        <v>1620000</v>
      </c>
      <c r="CG25" s="65">
        <v>1640000</v>
      </c>
      <c r="CH25" s="65">
        <v>1660000</v>
      </c>
      <c r="CI25" s="65">
        <v>1680000</v>
      </c>
      <c r="CJ25" s="65">
        <v>1700000</v>
      </c>
      <c r="CK25" s="65">
        <v>1720000</v>
      </c>
      <c r="CL25" s="65">
        <v>1740000</v>
      </c>
      <c r="CM25" s="65">
        <v>1760000</v>
      </c>
      <c r="CN25" s="65">
        <v>1780000</v>
      </c>
      <c r="CO25" s="65">
        <v>1800000</v>
      </c>
      <c r="CP25" s="65">
        <v>1820000</v>
      </c>
      <c r="CQ25" s="65">
        <v>1840000</v>
      </c>
      <c r="CR25" s="65">
        <v>1860000</v>
      </c>
      <c r="CS25" s="65">
        <v>1880000</v>
      </c>
      <c r="CT25" s="65">
        <v>1900000</v>
      </c>
      <c r="CU25" s="65">
        <v>1920000</v>
      </c>
      <c r="CV25" s="65">
        <v>1940000</v>
      </c>
      <c r="CW25" s="65">
        <v>1960000</v>
      </c>
      <c r="CX25" s="65">
        <v>1980000</v>
      </c>
      <c r="CY25" s="65">
        <v>2000000</v>
      </c>
      <c r="CZ25" s="65">
        <v>2020000</v>
      </c>
      <c r="DA25" s="65">
        <v>2040000</v>
      </c>
      <c r="DB25" s="65">
        <v>2060000</v>
      </c>
      <c r="DC25" s="65">
        <v>2080000</v>
      </c>
      <c r="DD25" s="65">
        <v>2100000</v>
      </c>
      <c r="DE25" s="65">
        <v>2120000</v>
      </c>
      <c r="DF25" s="65">
        <v>2140000</v>
      </c>
    </row>
    <row r="26" spans="1:111" x14ac:dyDescent="0.25">
      <c r="A26" s="63" t="s">
        <v>76</v>
      </c>
      <c r="B26" s="64" t="str">
        <f>"'PARÁMETROS MANT.'!C27:DF27"</f>
        <v>'PARÁMETROS MANT.'!C27:DF27</v>
      </c>
      <c r="C26" s="65" t="s">
        <v>8</v>
      </c>
      <c r="D26" s="65" t="s">
        <v>9</v>
      </c>
      <c r="E26" s="65" t="s">
        <v>8</v>
      </c>
      <c r="F26" s="65" t="s">
        <v>10</v>
      </c>
      <c r="G26" s="65" t="s">
        <v>8</v>
      </c>
      <c r="H26" s="65" t="s">
        <v>9</v>
      </c>
      <c r="I26" s="65" t="s">
        <v>8</v>
      </c>
      <c r="J26" s="65" t="s">
        <v>11</v>
      </c>
      <c r="K26" s="65" t="s">
        <v>8</v>
      </c>
      <c r="L26" s="65" t="s">
        <v>9</v>
      </c>
      <c r="M26" s="65" t="s">
        <v>8</v>
      </c>
      <c r="N26" s="65" t="s">
        <v>10</v>
      </c>
      <c r="O26" s="65" t="s">
        <v>8</v>
      </c>
      <c r="P26" s="65" t="s">
        <v>9</v>
      </c>
      <c r="Q26" s="65" t="s">
        <v>8</v>
      </c>
      <c r="R26" s="65" t="s">
        <v>11</v>
      </c>
      <c r="S26" s="65" t="s">
        <v>8</v>
      </c>
      <c r="T26" s="65" t="s">
        <v>9</v>
      </c>
      <c r="U26" s="65" t="s">
        <v>8</v>
      </c>
      <c r="V26" s="65" t="s">
        <v>10</v>
      </c>
      <c r="W26" s="65" t="s">
        <v>8</v>
      </c>
      <c r="X26" s="65" t="s">
        <v>9</v>
      </c>
      <c r="Y26" s="65" t="s">
        <v>8</v>
      </c>
      <c r="Z26" s="65" t="s">
        <v>11</v>
      </c>
      <c r="AA26" s="65" t="s">
        <v>8</v>
      </c>
      <c r="AB26" s="65" t="s">
        <v>9</v>
      </c>
      <c r="AC26" s="65" t="s">
        <v>8</v>
      </c>
      <c r="AD26" s="65" t="s">
        <v>10</v>
      </c>
      <c r="AE26" s="65" t="s">
        <v>8</v>
      </c>
      <c r="AF26" s="65" t="s">
        <v>9</v>
      </c>
      <c r="AG26" s="65" t="s">
        <v>8</v>
      </c>
      <c r="AH26" s="65" t="s">
        <v>11</v>
      </c>
      <c r="AI26" s="65" t="s">
        <v>8</v>
      </c>
      <c r="AJ26" s="65" t="s">
        <v>9</v>
      </c>
      <c r="AK26" s="65" t="s">
        <v>8</v>
      </c>
      <c r="AL26" s="65" t="s">
        <v>10</v>
      </c>
      <c r="AM26" s="65" t="s">
        <v>8</v>
      </c>
      <c r="AN26" s="65" t="s">
        <v>9</v>
      </c>
      <c r="AO26" s="65" t="s">
        <v>8</v>
      </c>
      <c r="AP26" s="65" t="s">
        <v>11</v>
      </c>
      <c r="AQ26" s="65" t="s">
        <v>8</v>
      </c>
      <c r="AR26" s="65" t="s">
        <v>9</v>
      </c>
      <c r="AS26" s="65" t="s">
        <v>8</v>
      </c>
      <c r="AT26" s="65" t="s">
        <v>10</v>
      </c>
      <c r="AU26" s="65" t="s">
        <v>8</v>
      </c>
      <c r="AV26" s="65" t="s">
        <v>9</v>
      </c>
      <c r="AW26" s="65" t="s">
        <v>8</v>
      </c>
      <c r="AX26" s="65" t="s">
        <v>11</v>
      </c>
      <c r="AY26" s="65" t="s">
        <v>8</v>
      </c>
      <c r="AZ26" s="65" t="s">
        <v>9</v>
      </c>
      <c r="BA26" s="65" t="s">
        <v>8</v>
      </c>
      <c r="BB26" s="65" t="s">
        <v>10</v>
      </c>
      <c r="BC26" s="65" t="s">
        <v>8</v>
      </c>
      <c r="BD26" s="65" t="s">
        <v>9</v>
      </c>
      <c r="BE26" s="65" t="s">
        <v>8</v>
      </c>
      <c r="BF26" s="65" t="s">
        <v>11</v>
      </c>
      <c r="BG26" s="65" t="s">
        <v>8</v>
      </c>
      <c r="BH26" s="65" t="s">
        <v>10</v>
      </c>
      <c r="BI26" s="65" t="s">
        <v>8</v>
      </c>
      <c r="BJ26" s="65" t="s">
        <v>9</v>
      </c>
      <c r="BK26" s="65" t="s">
        <v>8</v>
      </c>
      <c r="BL26" s="65" t="s">
        <v>11</v>
      </c>
      <c r="BM26" s="65" t="s">
        <v>8</v>
      </c>
      <c r="BN26" s="65" t="s">
        <v>9</v>
      </c>
      <c r="BO26" s="65" t="s">
        <v>8</v>
      </c>
      <c r="BP26" s="65" t="s">
        <v>10</v>
      </c>
      <c r="BQ26" s="65" t="s">
        <v>8</v>
      </c>
      <c r="BR26" s="65" t="s">
        <v>9</v>
      </c>
      <c r="BS26" s="65" t="s">
        <v>8</v>
      </c>
      <c r="BT26" s="65" t="s">
        <v>11</v>
      </c>
      <c r="BU26" s="65" t="s">
        <v>8</v>
      </c>
      <c r="BV26" s="65" t="s">
        <v>10</v>
      </c>
      <c r="BW26" s="65" t="s">
        <v>8</v>
      </c>
      <c r="BX26" s="65" t="s">
        <v>9</v>
      </c>
      <c r="BY26" s="65" t="s">
        <v>8</v>
      </c>
      <c r="BZ26" s="65" t="s">
        <v>11</v>
      </c>
      <c r="CA26" s="65" t="s">
        <v>8</v>
      </c>
      <c r="CB26" s="65" t="s">
        <v>9</v>
      </c>
      <c r="CC26" s="65" t="s">
        <v>8</v>
      </c>
      <c r="CD26" s="65" t="s">
        <v>10</v>
      </c>
      <c r="CE26" s="65" t="s">
        <v>8</v>
      </c>
      <c r="CF26" s="65" t="s">
        <v>9</v>
      </c>
      <c r="CG26" s="65" t="s">
        <v>8</v>
      </c>
      <c r="CH26" s="65" t="s">
        <v>11</v>
      </c>
      <c r="CI26" s="65" t="s">
        <v>8</v>
      </c>
      <c r="CJ26" s="65" t="s">
        <v>10</v>
      </c>
      <c r="CK26" s="65" t="s">
        <v>8</v>
      </c>
      <c r="CL26" s="65" t="s">
        <v>9</v>
      </c>
      <c r="CM26" s="65" t="s">
        <v>8</v>
      </c>
      <c r="CN26" s="65" t="s">
        <v>11</v>
      </c>
      <c r="CO26" s="65" t="s">
        <v>8</v>
      </c>
      <c r="CP26" s="65" t="s">
        <v>9</v>
      </c>
      <c r="CQ26" s="65" t="s">
        <v>8</v>
      </c>
      <c r="CR26" s="65" t="s">
        <v>10</v>
      </c>
      <c r="CS26" s="65" t="s">
        <v>8</v>
      </c>
      <c r="CT26" s="65" t="s">
        <v>9</v>
      </c>
      <c r="CU26" s="65" t="s">
        <v>8</v>
      </c>
      <c r="CV26" s="65" t="s">
        <v>11</v>
      </c>
      <c r="CW26" s="65" t="s">
        <v>8</v>
      </c>
      <c r="CX26" s="65" t="s">
        <v>10</v>
      </c>
      <c r="CY26" s="65" t="s">
        <v>8</v>
      </c>
      <c r="CZ26" s="65" t="s">
        <v>9</v>
      </c>
      <c r="DA26" s="65" t="s">
        <v>8</v>
      </c>
      <c r="DB26" s="65" t="s">
        <v>11</v>
      </c>
      <c r="DC26" s="65" t="s">
        <v>8</v>
      </c>
      <c r="DD26" s="65" t="s">
        <v>9</v>
      </c>
      <c r="DE26" s="65" t="s">
        <v>8</v>
      </c>
      <c r="DF26" s="65" t="s">
        <v>10</v>
      </c>
    </row>
    <row r="27" spans="1:111" x14ac:dyDescent="0.25">
      <c r="A27" s="67" t="s">
        <v>13</v>
      </c>
      <c r="B27" s="64" t="s">
        <v>77</v>
      </c>
      <c r="C27" s="65">
        <v>5000</v>
      </c>
      <c r="D27" s="65">
        <v>30000</v>
      </c>
      <c r="E27" s="65">
        <v>60000</v>
      </c>
      <c r="F27" s="65">
        <v>90000</v>
      </c>
      <c r="G27" s="65">
        <v>120000</v>
      </c>
      <c r="H27" s="65">
        <v>150000</v>
      </c>
      <c r="I27" s="65">
        <v>180000</v>
      </c>
      <c r="J27" s="65">
        <v>210000</v>
      </c>
      <c r="K27" s="65">
        <v>240000</v>
      </c>
      <c r="L27" s="65">
        <v>270000</v>
      </c>
      <c r="M27" s="65">
        <v>300000</v>
      </c>
      <c r="N27" s="65">
        <v>330000</v>
      </c>
      <c r="O27" s="65">
        <v>360000</v>
      </c>
      <c r="P27" s="65">
        <v>390000</v>
      </c>
      <c r="Q27" s="65">
        <v>420000</v>
      </c>
      <c r="R27" s="65">
        <v>450000</v>
      </c>
      <c r="S27" s="65">
        <v>480000</v>
      </c>
      <c r="T27" s="65">
        <v>510000</v>
      </c>
      <c r="U27" s="65">
        <v>540000</v>
      </c>
      <c r="V27" s="65">
        <v>570000</v>
      </c>
      <c r="W27" s="65">
        <v>600000</v>
      </c>
      <c r="X27" s="65">
        <v>630000</v>
      </c>
      <c r="Y27" s="65">
        <v>660000</v>
      </c>
      <c r="Z27" s="65">
        <v>690000</v>
      </c>
      <c r="AA27" s="65">
        <v>720000</v>
      </c>
      <c r="AB27" s="65">
        <v>750000</v>
      </c>
      <c r="AC27" s="65">
        <v>780000</v>
      </c>
      <c r="AD27" s="65">
        <v>810000</v>
      </c>
      <c r="AE27" s="65">
        <v>840000</v>
      </c>
      <c r="AF27" s="65">
        <v>870000</v>
      </c>
      <c r="AG27" s="65">
        <v>900000</v>
      </c>
      <c r="AH27" s="65">
        <v>930000</v>
      </c>
      <c r="AI27" s="65">
        <v>960000</v>
      </c>
      <c r="AJ27" s="65">
        <v>990000</v>
      </c>
      <c r="AK27" s="65">
        <v>1020000</v>
      </c>
      <c r="AL27" s="65">
        <v>1050000</v>
      </c>
      <c r="AM27" s="65">
        <v>1080000</v>
      </c>
      <c r="AN27" s="65">
        <v>1110000</v>
      </c>
      <c r="AO27" s="65">
        <v>1140000</v>
      </c>
      <c r="AP27" s="65">
        <v>1170000</v>
      </c>
      <c r="AQ27" s="65">
        <v>1200000</v>
      </c>
      <c r="AR27" s="65">
        <v>1230000</v>
      </c>
      <c r="AS27" s="65">
        <v>1260000</v>
      </c>
      <c r="AT27" s="65">
        <v>1290000</v>
      </c>
      <c r="AU27" s="65">
        <v>1320000</v>
      </c>
      <c r="AV27" s="65">
        <v>1350000</v>
      </c>
      <c r="AW27" s="65">
        <v>1380000</v>
      </c>
      <c r="AX27" s="65">
        <v>1410000</v>
      </c>
      <c r="AY27" s="65">
        <v>1440000</v>
      </c>
      <c r="AZ27" s="65">
        <v>1470000</v>
      </c>
      <c r="BA27" s="65">
        <v>1500000</v>
      </c>
      <c r="BB27" s="65">
        <v>1530000</v>
      </c>
      <c r="BC27" s="65">
        <v>1560000</v>
      </c>
      <c r="BD27" s="65">
        <v>1590000</v>
      </c>
      <c r="BE27" s="65">
        <v>1620000</v>
      </c>
      <c r="BF27" s="65">
        <v>1650000</v>
      </c>
      <c r="BG27" s="65">
        <v>1680000</v>
      </c>
      <c r="BH27" s="65">
        <v>1710000</v>
      </c>
      <c r="BI27" s="65">
        <v>1740000</v>
      </c>
      <c r="BJ27" s="65">
        <v>1770000</v>
      </c>
      <c r="BK27" s="65">
        <v>1800000</v>
      </c>
      <c r="BL27" s="65">
        <v>1830000</v>
      </c>
      <c r="BM27" s="65">
        <v>1860000</v>
      </c>
      <c r="BN27" s="65">
        <v>1890000</v>
      </c>
      <c r="BO27" s="65">
        <v>1920000</v>
      </c>
      <c r="BP27" s="65">
        <v>1950000</v>
      </c>
      <c r="BQ27" s="65">
        <v>1980000</v>
      </c>
      <c r="BR27" s="65">
        <v>2010000</v>
      </c>
      <c r="BS27" s="65">
        <v>2040000</v>
      </c>
      <c r="BT27" s="65">
        <v>2070000</v>
      </c>
      <c r="BU27" s="65">
        <v>2100000</v>
      </c>
      <c r="BV27" s="65">
        <v>2130000</v>
      </c>
      <c r="BW27" s="65">
        <v>2160000</v>
      </c>
      <c r="BX27" s="65">
        <v>2190000</v>
      </c>
      <c r="BY27" s="65">
        <v>2220000</v>
      </c>
      <c r="BZ27" s="65">
        <v>2250000</v>
      </c>
      <c r="CA27" s="65">
        <v>2280000</v>
      </c>
      <c r="CB27" s="65">
        <v>2310000</v>
      </c>
      <c r="CC27" s="65">
        <v>2340000</v>
      </c>
      <c r="CD27" s="65">
        <v>2370000</v>
      </c>
      <c r="CE27" s="65">
        <v>2400000</v>
      </c>
      <c r="CF27" s="65">
        <v>2430000</v>
      </c>
      <c r="CG27" s="65">
        <v>2460000</v>
      </c>
      <c r="CH27" s="65">
        <v>2490000</v>
      </c>
      <c r="CI27" s="65">
        <v>2520000</v>
      </c>
      <c r="CJ27" s="65">
        <v>2550000</v>
      </c>
      <c r="CK27" s="65">
        <v>2580000</v>
      </c>
      <c r="CL27" s="65">
        <v>2610000</v>
      </c>
      <c r="CM27" s="65">
        <v>2640000</v>
      </c>
      <c r="CN27" s="65">
        <v>2670000</v>
      </c>
      <c r="CO27" s="65">
        <v>2700000</v>
      </c>
      <c r="CP27" s="65">
        <v>2730000</v>
      </c>
      <c r="CQ27" s="65">
        <v>2760000</v>
      </c>
      <c r="CR27" s="65">
        <v>2790000</v>
      </c>
      <c r="CS27" s="65">
        <v>2820000</v>
      </c>
      <c r="CT27" s="65">
        <v>2850000</v>
      </c>
      <c r="CU27" s="65">
        <v>2880000</v>
      </c>
      <c r="CV27" s="65">
        <v>2910000</v>
      </c>
      <c r="CW27" s="65">
        <v>2940000</v>
      </c>
      <c r="CX27" s="65">
        <v>2970000</v>
      </c>
      <c r="CY27" s="65">
        <v>3000000</v>
      </c>
      <c r="CZ27" s="65">
        <v>3030000</v>
      </c>
      <c r="DA27" s="65">
        <v>3060000</v>
      </c>
      <c r="DB27" s="65">
        <v>3090000</v>
      </c>
      <c r="DC27" s="65">
        <v>3120000</v>
      </c>
      <c r="DD27" s="65">
        <v>3150000</v>
      </c>
      <c r="DE27" s="65">
        <v>3180000</v>
      </c>
      <c r="DF27" s="65">
        <v>3210000</v>
      </c>
      <c r="DG27" s="65">
        <v>2160000</v>
      </c>
    </row>
    <row r="28" spans="1:111" x14ac:dyDescent="0.25">
      <c r="A28" s="63" t="s">
        <v>446</v>
      </c>
      <c r="B28" s="64" t="str">
        <f>"'PARÁMETROS MANT.'!C29:DF29"</f>
        <v>'PARÁMETROS MANT.'!C29:DF29</v>
      </c>
      <c r="C28" s="65" t="s">
        <v>8</v>
      </c>
      <c r="D28" s="65" t="s">
        <v>9</v>
      </c>
      <c r="E28" s="65" t="s">
        <v>10</v>
      </c>
      <c r="F28" s="65" t="s">
        <v>9</v>
      </c>
      <c r="G28" s="65" t="s">
        <v>8</v>
      </c>
      <c r="H28" s="65" t="s">
        <v>11</v>
      </c>
      <c r="I28" s="65" t="s">
        <v>8</v>
      </c>
      <c r="J28" s="65" t="s">
        <v>9</v>
      </c>
      <c r="K28" s="65" t="s">
        <v>10</v>
      </c>
      <c r="L28" s="65" t="s">
        <v>9</v>
      </c>
      <c r="M28" s="65" t="s">
        <v>8</v>
      </c>
      <c r="N28" s="65" t="s">
        <v>12</v>
      </c>
      <c r="O28" s="65" t="s">
        <v>8</v>
      </c>
      <c r="P28" s="65" t="s">
        <v>9</v>
      </c>
      <c r="Q28" s="65" t="s">
        <v>10</v>
      </c>
      <c r="R28" s="65" t="s">
        <v>9</v>
      </c>
      <c r="S28" s="65" t="s">
        <v>8</v>
      </c>
      <c r="T28" s="65" t="s">
        <v>11</v>
      </c>
      <c r="U28" s="65" t="s">
        <v>8</v>
      </c>
      <c r="V28" s="65" t="s">
        <v>9</v>
      </c>
      <c r="W28" s="65" t="s">
        <v>10</v>
      </c>
      <c r="X28" s="65" t="s">
        <v>9</v>
      </c>
      <c r="Y28" s="65" t="s">
        <v>8</v>
      </c>
      <c r="Z28" s="65" t="s">
        <v>12</v>
      </c>
      <c r="AA28" s="65" t="s">
        <v>8</v>
      </c>
      <c r="AB28" s="65" t="s">
        <v>9</v>
      </c>
      <c r="AC28" s="65" t="s">
        <v>10</v>
      </c>
      <c r="AD28" s="65" t="s">
        <v>9</v>
      </c>
      <c r="AE28" s="65" t="s">
        <v>8</v>
      </c>
      <c r="AF28" s="65" t="s">
        <v>11</v>
      </c>
      <c r="AG28" s="65" t="s">
        <v>8</v>
      </c>
      <c r="AH28" s="65" t="s">
        <v>9</v>
      </c>
      <c r="AI28" s="65" t="s">
        <v>10</v>
      </c>
      <c r="AJ28" s="65" t="s">
        <v>9</v>
      </c>
      <c r="AK28" s="65" t="s">
        <v>8</v>
      </c>
      <c r="AL28" s="65" t="s">
        <v>12</v>
      </c>
      <c r="AM28" s="65" t="s">
        <v>8</v>
      </c>
      <c r="AN28" s="65" t="s">
        <v>9</v>
      </c>
      <c r="AO28" s="65" t="s">
        <v>10</v>
      </c>
      <c r="AP28" s="65" t="s">
        <v>9</v>
      </c>
      <c r="AQ28" s="65" t="s">
        <v>8</v>
      </c>
      <c r="AR28" s="65" t="s">
        <v>11</v>
      </c>
      <c r="AS28" s="65" t="s">
        <v>8</v>
      </c>
      <c r="AT28" s="65" t="s">
        <v>9</v>
      </c>
      <c r="AU28" s="65" t="s">
        <v>10</v>
      </c>
      <c r="AV28" s="65" t="s">
        <v>9</v>
      </c>
      <c r="AW28" s="65" t="s">
        <v>8</v>
      </c>
      <c r="AX28" s="65" t="s">
        <v>12</v>
      </c>
      <c r="AY28" s="65" t="s">
        <v>8</v>
      </c>
      <c r="AZ28" s="65" t="s">
        <v>9</v>
      </c>
      <c r="BA28" s="65" t="s">
        <v>10</v>
      </c>
      <c r="BB28" s="65" t="s">
        <v>9</v>
      </c>
      <c r="BC28" s="65" t="s">
        <v>8</v>
      </c>
      <c r="BD28" s="65" t="s">
        <v>11</v>
      </c>
      <c r="BE28" s="65" t="s">
        <v>8</v>
      </c>
      <c r="BF28" s="65" t="s">
        <v>9</v>
      </c>
      <c r="BG28" s="65" t="s">
        <v>10</v>
      </c>
      <c r="BH28" s="65" t="s">
        <v>9</v>
      </c>
      <c r="BI28" s="65" t="s">
        <v>8</v>
      </c>
      <c r="BJ28" s="65" t="s">
        <v>12</v>
      </c>
      <c r="BK28" s="65" t="s">
        <v>8</v>
      </c>
      <c r="BL28" s="65" t="s">
        <v>9</v>
      </c>
      <c r="BM28" s="65" t="s">
        <v>10</v>
      </c>
      <c r="BN28" s="65" t="s">
        <v>9</v>
      </c>
      <c r="BO28" s="65" t="s">
        <v>8</v>
      </c>
      <c r="BP28" s="65" t="s">
        <v>11</v>
      </c>
      <c r="BQ28" s="65" t="s">
        <v>8</v>
      </c>
      <c r="BR28" s="65" t="s">
        <v>9</v>
      </c>
      <c r="BS28" s="65" t="s">
        <v>10</v>
      </c>
      <c r="BT28" s="65" t="s">
        <v>9</v>
      </c>
      <c r="BU28" s="65" t="s">
        <v>8</v>
      </c>
      <c r="BV28" s="65" t="s">
        <v>12</v>
      </c>
      <c r="BW28" s="65" t="s">
        <v>8</v>
      </c>
      <c r="BX28" s="65" t="s">
        <v>9</v>
      </c>
      <c r="BY28" s="65" t="s">
        <v>10</v>
      </c>
      <c r="BZ28" s="65" t="s">
        <v>9</v>
      </c>
      <c r="CA28" s="65" t="s">
        <v>8</v>
      </c>
      <c r="CB28" s="65" t="s">
        <v>11</v>
      </c>
      <c r="CC28" s="65" t="s">
        <v>8</v>
      </c>
      <c r="CD28" s="65" t="s">
        <v>9</v>
      </c>
      <c r="CE28" s="65" t="s">
        <v>10</v>
      </c>
      <c r="CF28" s="65" t="s">
        <v>9</v>
      </c>
      <c r="CG28" s="65" t="s">
        <v>8</v>
      </c>
      <c r="CH28" s="65" t="s">
        <v>12</v>
      </c>
      <c r="CI28" s="65" t="s">
        <v>8</v>
      </c>
      <c r="CJ28" s="65" t="s">
        <v>9</v>
      </c>
      <c r="CK28" s="65" t="s">
        <v>10</v>
      </c>
      <c r="CL28" s="65" t="s">
        <v>9</v>
      </c>
      <c r="CM28" s="65" t="s">
        <v>8</v>
      </c>
      <c r="CN28" s="65" t="s">
        <v>11</v>
      </c>
      <c r="CO28" s="65" t="s">
        <v>8</v>
      </c>
      <c r="CP28" s="65" t="s">
        <v>9</v>
      </c>
      <c r="CQ28" s="65" t="s">
        <v>10</v>
      </c>
      <c r="CR28" s="65" t="s">
        <v>9</v>
      </c>
      <c r="CS28" s="65" t="s">
        <v>8</v>
      </c>
      <c r="CT28" s="65" t="s">
        <v>12</v>
      </c>
      <c r="CU28" s="65" t="s">
        <v>8</v>
      </c>
      <c r="CV28" s="65" t="s">
        <v>9</v>
      </c>
      <c r="CW28" s="65" t="s">
        <v>10</v>
      </c>
      <c r="CX28" s="65" t="s">
        <v>9</v>
      </c>
      <c r="CY28" s="65" t="s">
        <v>8</v>
      </c>
      <c r="CZ28" s="65" t="s">
        <v>11</v>
      </c>
      <c r="DA28" s="65" t="s">
        <v>8</v>
      </c>
      <c r="DB28" s="65" t="s">
        <v>9</v>
      </c>
      <c r="DC28" s="65" t="s">
        <v>10</v>
      </c>
      <c r="DD28" s="65" t="s">
        <v>9</v>
      </c>
      <c r="DE28" s="65" t="s">
        <v>8</v>
      </c>
      <c r="DF28" s="65" t="s">
        <v>12</v>
      </c>
      <c r="DG28" s="65" t="s">
        <v>12</v>
      </c>
    </row>
    <row r="29" spans="1:111" x14ac:dyDescent="0.25">
      <c r="A29" s="67" t="s">
        <v>453</v>
      </c>
      <c r="B29" s="64" t="s">
        <v>77</v>
      </c>
      <c r="C29" s="65">
        <v>40000</v>
      </c>
      <c r="D29" s="65">
        <v>80000</v>
      </c>
      <c r="E29" s="65">
        <v>120000</v>
      </c>
      <c r="F29" s="65">
        <v>160000</v>
      </c>
      <c r="G29" s="65">
        <v>200000</v>
      </c>
      <c r="H29" s="65">
        <v>240000</v>
      </c>
      <c r="I29" s="65">
        <v>280000</v>
      </c>
      <c r="J29" s="65">
        <v>320000</v>
      </c>
      <c r="K29" s="65">
        <v>360000</v>
      </c>
      <c r="L29" s="65">
        <v>400000</v>
      </c>
      <c r="M29" s="65">
        <v>440000</v>
      </c>
      <c r="N29" s="65">
        <v>480000</v>
      </c>
      <c r="O29" s="65">
        <v>520000</v>
      </c>
      <c r="P29" s="65">
        <v>560000</v>
      </c>
      <c r="Q29" s="65">
        <v>600000</v>
      </c>
      <c r="R29" s="65">
        <v>640000</v>
      </c>
      <c r="S29" s="65">
        <v>680000</v>
      </c>
      <c r="T29" s="65">
        <v>720000</v>
      </c>
      <c r="U29" s="65">
        <v>760000</v>
      </c>
      <c r="V29" s="65">
        <v>800000</v>
      </c>
      <c r="W29" s="65">
        <v>840000</v>
      </c>
      <c r="X29" s="65">
        <v>880000</v>
      </c>
      <c r="Y29" s="65">
        <v>920000</v>
      </c>
      <c r="Z29" s="65">
        <v>960000</v>
      </c>
      <c r="AA29" s="65">
        <v>1000000</v>
      </c>
      <c r="AB29" s="65">
        <v>1040000</v>
      </c>
      <c r="AC29" s="65">
        <v>1080000</v>
      </c>
      <c r="AD29" s="65">
        <v>1120000</v>
      </c>
      <c r="AE29" s="65">
        <v>1160000</v>
      </c>
      <c r="AF29" s="65">
        <v>1200000</v>
      </c>
      <c r="AG29" s="65">
        <v>1240000</v>
      </c>
      <c r="AH29" s="65">
        <v>1280000</v>
      </c>
      <c r="AI29" s="65">
        <v>1320000</v>
      </c>
      <c r="AJ29" s="65">
        <v>1360000</v>
      </c>
      <c r="AK29" s="65">
        <v>1400000</v>
      </c>
      <c r="AL29" s="65">
        <v>1440000</v>
      </c>
      <c r="AM29" s="65">
        <v>1480000</v>
      </c>
      <c r="AN29" s="65">
        <v>1520000</v>
      </c>
      <c r="AO29" s="65">
        <v>1560000</v>
      </c>
      <c r="AP29" s="65">
        <v>1600000</v>
      </c>
      <c r="AQ29" s="65">
        <v>1640000</v>
      </c>
      <c r="AR29" s="65">
        <v>1680000</v>
      </c>
      <c r="AS29" s="65">
        <v>1720000</v>
      </c>
      <c r="AT29" s="65">
        <v>1760000</v>
      </c>
      <c r="AU29" s="65">
        <v>1800000</v>
      </c>
      <c r="AV29" s="65">
        <v>1840000</v>
      </c>
      <c r="AW29" s="65">
        <v>1880000</v>
      </c>
      <c r="AX29" s="65">
        <v>1920000</v>
      </c>
      <c r="AY29" s="65">
        <v>1960000</v>
      </c>
      <c r="AZ29" s="65">
        <v>2000000</v>
      </c>
      <c r="BA29" s="65">
        <v>2040000</v>
      </c>
      <c r="BB29" s="65">
        <v>2080000</v>
      </c>
      <c r="BC29" s="65">
        <v>2120000</v>
      </c>
      <c r="BD29" s="65">
        <v>2160000</v>
      </c>
      <c r="BE29" s="65">
        <v>2200000</v>
      </c>
      <c r="BF29" s="65">
        <v>2240000</v>
      </c>
      <c r="BG29" s="65">
        <v>2280000</v>
      </c>
      <c r="BH29" s="65">
        <v>2320000</v>
      </c>
      <c r="BI29" s="65">
        <v>2360000</v>
      </c>
      <c r="BJ29" s="65">
        <v>2400000</v>
      </c>
      <c r="BK29" s="65">
        <v>2440000</v>
      </c>
      <c r="BL29" s="65">
        <v>2480000</v>
      </c>
      <c r="BM29" s="65">
        <v>2520000</v>
      </c>
      <c r="BN29" s="65">
        <v>2560000</v>
      </c>
      <c r="BO29" s="65">
        <v>2600000</v>
      </c>
      <c r="BP29" s="65">
        <v>2640000</v>
      </c>
      <c r="BQ29" s="65">
        <v>2680000</v>
      </c>
      <c r="BR29" s="65">
        <v>2720000</v>
      </c>
      <c r="BS29" s="65">
        <v>2760000</v>
      </c>
      <c r="BT29" s="65">
        <v>2800000</v>
      </c>
      <c r="BU29" s="65">
        <v>2840000</v>
      </c>
      <c r="BV29" s="65">
        <v>2880000</v>
      </c>
      <c r="BW29" s="65">
        <v>2920000</v>
      </c>
      <c r="BX29" s="65">
        <v>2960000</v>
      </c>
      <c r="BY29" s="65">
        <v>3000000</v>
      </c>
      <c r="BZ29" s="65">
        <v>3040000</v>
      </c>
      <c r="CA29" s="65">
        <v>3080000</v>
      </c>
      <c r="CB29" s="65">
        <v>3120000</v>
      </c>
      <c r="CC29" s="65">
        <v>3160000</v>
      </c>
      <c r="CD29" s="65">
        <v>3200000</v>
      </c>
      <c r="CE29" s="65">
        <v>3240000</v>
      </c>
      <c r="CF29" s="65">
        <v>3280000</v>
      </c>
      <c r="CG29" s="65">
        <v>3320000</v>
      </c>
      <c r="CH29" s="65">
        <v>3360000</v>
      </c>
      <c r="CI29" s="65">
        <v>3400000</v>
      </c>
      <c r="CJ29" s="65">
        <v>3440000</v>
      </c>
      <c r="CK29" s="65">
        <v>3480000</v>
      </c>
      <c r="CL29" s="65">
        <v>3520000</v>
      </c>
      <c r="CM29" s="65">
        <v>3560000</v>
      </c>
      <c r="CN29" s="65">
        <v>3600000</v>
      </c>
      <c r="CO29" s="65">
        <v>3640000</v>
      </c>
      <c r="CP29" s="65">
        <v>3680000</v>
      </c>
      <c r="CQ29" s="65">
        <v>3720000</v>
      </c>
      <c r="CR29" s="65">
        <v>3760000</v>
      </c>
      <c r="CS29" s="65">
        <v>3800000</v>
      </c>
      <c r="CT29" s="65">
        <v>3840000</v>
      </c>
      <c r="CU29" s="65">
        <v>3880000</v>
      </c>
      <c r="CV29" s="65">
        <v>3920000</v>
      </c>
      <c r="CW29" s="65">
        <v>3960000</v>
      </c>
      <c r="CX29" s="65">
        <v>4000000</v>
      </c>
      <c r="CY29" s="65">
        <v>4040000</v>
      </c>
      <c r="CZ29" s="65">
        <v>4080000</v>
      </c>
      <c r="DA29" s="65">
        <v>4120000</v>
      </c>
      <c r="DB29" s="65">
        <v>4160000</v>
      </c>
      <c r="DC29" s="65">
        <v>4200000</v>
      </c>
      <c r="DD29" s="65">
        <v>4240000</v>
      </c>
      <c r="DE29" s="65">
        <v>4280000</v>
      </c>
      <c r="DF29" s="65">
        <v>4320000</v>
      </c>
      <c r="DG29" s="65">
        <v>2160000</v>
      </c>
    </row>
    <row r="30" spans="1:111" x14ac:dyDescent="0.25">
      <c r="A30" s="68" t="s">
        <v>3</v>
      </c>
      <c r="B30" s="64" t="str">
        <f>"'PARÁMETROS MANT.'!C31:BY31"</f>
        <v>'PARÁMETROS MANT.'!C31:BY31</v>
      </c>
      <c r="C30" s="65" t="s">
        <v>14</v>
      </c>
      <c r="D30" s="65" t="s">
        <v>15</v>
      </c>
      <c r="E30" s="65" t="s">
        <v>16</v>
      </c>
      <c r="F30" s="65" t="s">
        <v>17</v>
      </c>
      <c r="G30" s="65" t="s">
        <v>18</v>
      </c>
      <c r="H30" s="65" t="s">
        <v>19</v>
      </c>
      <c r="I30" s="65" t="s">
        <v>20</v>
      </c>
      <c r="J30" s="65" t="s">
        <v>21</v>
      </c>
      <c r="K30" s="65" t="s">
        <v>22</v>
      </c>
      <c r="L30" s="65" t="s">
        <v>23</v>
      </c>
      <c r="M30" s="65" t="s">
        <v>24</v>
      </c>
      <c r="N30" s="65" t="s">
        <v>25</v>
      </c>
      <c r="O30" s="65" t="s">
        <v>26</v>
      </c>
      <c r="P30" s="65" t="s">
        <v>27</v>
      </c>
      <c r="Q30" s="65" t="s">
        <v>28</v>
      </c>
      <c r="R30" s="65" t="s">
        <v>29</v>
      </c>
      <c r="S30" s="65" t="s">
        <v>30</v>
      </c>
      <c r="T30" s="65" t="s">
        <v>31</v>
      </c>
      <c r="U30" s="65" t="s">
        <v>32</v>
      </c>
      <c r="V30" s="65" t="s">
        <v>33</v>
      </c>
      <c r="W30" s="65" t="s">
        <v>34</v>
      </c>
      <c r="X30" s="65" t="s">
        <v>35</v>
      </c>
      <c r="Y30" s="65" t="s">
        <v>36</v>
      </c>
      <c r="Z30" s="65" t="s">
        <v>37</v>
      </c>
      <c r="AA30" s="65" t="s">
        <v>38</v>
      </c>
      <c r="AB30" s="65" t="s">
        <v>39</v>
      </c>
      <c r="AC30" s="65" t="s">
        <v>40</v>
      </c>
      <c r="AD30" s="65" t="s">
        <v>41</v>
      </c>
      <c r="AE30" s="65" t="s">
        <v>42</v>
      </c>
      <c r="AF30" s="65" t="s">
        <v>43</v>
      </c>
      <c r="AG30" s="65" t="s">
        <v>44</v>
      </c>
      <c r="AH30" s="65" t="s">
        <v>45</v>
      </c>
      <c r="AI30" s="65" t="s">
        <v>46</v>
      </c>
      <c r="AJ30" s="65" t="s">
        <v>47</v>
      </c>
      <c r="AK30" s="65" t="s">
        <v>48</v>
      </c>
      <c r="AL30" s="65" t="s">
        <v>49</v>
      </c>
      <c r="AM30" s="65" t="s">
        <v>50</v>
      </c>
      <c r="AN30" s="65" t="s">
        <v>51</v>
      </c>
      <c r="AO30" s="65" t="s">
        <v>52</v>
      </c>
      <c r="AP30" s="65" t="s">
        <v>53</v>
      </c>
      <c r="AQ30" s="65" t="s">
        <v>54</v>
      </c>
      <c r="AR30" s="65" t="s">
        <v>55</v>
      </c>
      <c r="AS30" s="65" t="s">
        <v>56</v>
      </c>
      <c r="AT30" s="65" t="s">
        <v>57</v>
      </c>
      <c r="AU30" s="65" t="s">
        <v>58</v>
      </c>
      <c r="AV30" s="65" t="s">
        <v>59</v>
      </c>
      <c r="AW30" s="65" t="s">
        <v>60</v>
      </c>
      <c r="AX30" s="65" t="s">
        <v>61</v>
      </c>
      <c r="AY30" s="65" t="s">
        <v>62</v>
      </c>
      <c r="AZ30" s="65" t="s">
        <v>63</v>
      </c>
      <c r="BA30" s="65" t="s">
        <v>64</v>
      </c>
      <c r="BB30" s="65" t="s">
        <v>65</v>
      </c>
      <c r="BC30" s="65" t="s">
        <v>66</v>
      </c>
      <c r="BD30" s="65" t="s">
        <v>67</v>
      </c>
      <c r="BE30" s="65" t="s">
        <v>68</v>
      </c>
      <c r="BF30" s="65" t="s">
        <v>69</v>
      </c>
      <c r="BG30" s="65" t="s">
        <v>70</v>
      </c>
      <c r="BH30" s="65" t="s">
        <v>283</v>
      </c>
      <c r="BI30" s="65" t="s">
        <v>284</v>
      </c>
      <c r="BJ30" s="65" t="s">
        <v>285</v>
      </c>
      <c r="BK30" s="65" t="s">
        <v>286</v>
      </c>
      <c r="BL30" s="65" t="s">
        <v>287</v>
      </c>
      <c r="BM30" s="65" t="s">
        <v>288</v>
      </c>
      <c r="BN30" s="65" t="s">
        <v>289</v>
      </c>
      <c r="BO30" s="65" t="s">
        <v>290</v>
      </c>
      <c r="BP30" s="65" t="s">
        <v>291</v>
      </c>
      <c r="BQ30" s="65" t="s">
        <v>292</v>
      </c>
      <c r="BR30" s="65" t="s">
        <v>293</v>
      </c>
      <c r="BS30" s="65" t="s">
        <v>294</v>
      </c>
      <c r="BT30" s="65" t="s">
        <v>295</v>
      </c>
      <c r="BU30" s="65" t="s">
        <v>296</v>
      </c>
      <c r="BV30" s="65" t="s">
        <v>297</v>
      </c>
      <c r="BW30" s="65" t="s">
        <v>298</v>
      </c>
      <c r="BX30" s="65" t="s">
        <v>299</v>
      </c>
      <c r="BY30" s="65" t="s">
        <v>300</v>
      </c>
      <c r="BZ30" s="65" t="s">
        <v>301</v>
      </c>
      <c r="CA30" s="65" t="s">
        <v>302</v>
      </c>
      <c r="CB30" s="65" t="s">
        <v>303</v>
      </c>
      <c r="CC30" s="65" t="s">
        <v>304</v>
      </c>
      <c r="CD30" s="65" t="s">
        <v>305</v>
      </c>
      <c r="CE30" s="65" t="s">
        <v>306</v>
      </c>
      <c r="CF30" s="65" t="s">
        <v>307</v>
      </c>
      <c r="CG30" s="65" t="s">
        <v>308</v>
      </c>
      <c r="CH30" s="65" t="s">
        <v>309</v>
      </c>
      <c r="CI30" s="65" t="s">
        <v>310</v>
      </c>
      <c r="CJ30" s="65" t="s">
        <v>311</v>
      </c>
      <c r="CK30" s="65" t="s">
        <v>312</v>
      </c>
      <c r="CL30" s="65" t="s">
        <v>313</v>
      </c>
      <c r="CM30" s="65" t="s">
        <v>314</v>
      </c>
      <c r="CN30" s="65" t="s">
        <v>315</v>
      </c>
      <c r="CO30" s="65" t="s">
        <v>316</v>
      </c>
      <c r="CP30" s="65" t="s">
        <v>317</v>
      </c>
      <c r="CQ30" s="65" t="s">
        <v>318</v>
      </c>
      <c r="CR30" s="65" t="s">
        <v>319</v>
      </c>
      <c r="CS30" s="65" t="s">
        <v>320</v>
      </c>
      <c r="CT30" s="65" t="s">
        <v>321</v>
      </c>
      <c r="CU30" s="65" t="s">
        <v>322</v>
      </c>
      <c r="CV30" s="65" t="s">
        <v>323</v>
      </c>
      <c r="CW30" s="65" t="s">
        <v>324</v>
      </c>
      <c r="CX30" s="65" t="s">
        <v>325</v>
      </c>
      <c r="CY30" s="65" t="s">
        <v>326</v>
      </c>
      <c r="CZ30" s="65" t="s">
        <v>403</v>
      </c>
      <c r="DA30" s="65" t="s">
        <v>404</v>
      </c>
      <c r="DB30" s="65" t="s">
        <v>405</v>
      </c>
      <c r="DC30" s="65" t="s">
        <v>406</v>
      </c>
      <c r="DD30" s="65" t="s">
        <v>407</v>
      </c>
      <c r="DE30" s="65" t="s">
        <v>408</v>
      </c>
      <c r="DF30" s="65" t="s">
        <v>409</v>
      </c>
    </row>
    <row r="31" spans="1:111" x14ac:dyDescent="0.25">
      <c r="A31" s="67" t="s">
        <v>13</v>
      </c>
      <c r="B31" s="64" t="s">
        <v>77</v>
      </c>
      <c r="C31" s="65">
        <v>10000</v>
      </c>
      <c r="D31" s="65">
        <v>20000</v>
      </c>
      <c r="E31" s="65">
        <v>30000</v>
      </c>
      <c r="F31" s="65">
        <v>40000</v>
      </c>
      <c r="G31" s="65">
        <v>50000</v>
      </c>
      <c r="H31" s="65">
        <v>60000</v>
      </c>
      <c r="I31" s="65">
        <v>70000</v>
      </c>
      <c r="J31" s="65">
        <v>80000</v>
      </c>
      <c r="K31" s="65">
        <v>90000</v>
      </c>
      <c r="L31" s="65">
        <v>100000</v>
      </c>
      <c r="M31" s="65">
        <v>110000</v>
      </c>
      <c r="N31" s="65">
        <v>120000</v>
      </c>
      <c r="O31" s="65">
        <v>130000</v>
      </c>
      <c r="P31" s="65">
        <v>140000</v>
      </c>
      <c r="Q31" s="65">
        <v>150000</v>
      </c>
      <c r="R31" s="65">
        <v>160000</v>
      </c>
      <c r="S31" s="65">
        <v>170000</v>
      </c>
      <c r="T31" s="65">
        <v>180000</v>
      </c>
      <c r="U31" s="65">
        <v>190000</v>
      </c>
      <c r="V31" s="65">
        <v>200000</v>
      </c>
      <c r="W31" s="65">
        <v>210000</v>
      </c>
      <c r="X31" s="65">
        <v>220000</v>
      </c>
      <c r="Y31" s="65">
        <v>230000</v>
      </c>
      <c r="Z31" s="65">
        <v>240000</v>
      </c>
      <c r="AA31" s="65">
        <v>250000</v>
      </c>
      <c r="AB31" s="65">
        <v>260000</v>
      </c>
      <c r="AC31" s="65">
        <v>270000</v>
      </c>
      <c r="AD31" s="65">
        <v>280000</v>
      </c>
      <c r="AE31" s="65">
        <v>290000</v>
      </c>
      <c r="AF31" s="65">
        <v>300000</v>
      </c>
      <c r="AG31" s="65">
        <v>310000</v>
      </c>
      <c r="AH31" s="65">
        <v>320000</v>
      </c>
      <c r="AI31" s="65">
        <v>330000</v>
      </c>
      <c r="AJ31" s="65">
        <v>340000</v>
      </c>
      <c r="AK31" s="65">
        <v>350000</v>
      </c>
      <c r="AL31" s="65">
        <v>360000</v>
      </c>
      <c r="AM31" s="65">
        <v>370000</v>
      </c>
      <c r="AN31" s="65">
        <v>380000</v>
      </c>
      <c r="AO31" s="65">
        <v>390000</v>
      </c>
      <c r="AP31" s="65">
        <v>400000</v>
      </c>
      <c r="AQ31" s="65">
        <v>410000</v>
      </c>
      <c r="AR31" s="65">
        <v>420000</v>
      </c>
      <c r="AS31" s="65">
        <v>430000</v>
      </c>
      <c r="AT31" s="65">
        <v>440000</v>
      </c>
      <c r="AU31" s="65">
        <v>450000</v>
      </c>
      <c r="AV31" s="65">
        <v>460000</v>
      </c>
      <c r="AW31" s="65">
        <v>470000</v>
      </c>
      <c r="AX31" s="65">
        <v>480000</v>
      </c>
      <c r="AY31" s="65">
        <v>490000</v>
      </c>
      <c r="AZ31" s="65">
        <v>500000</v>
      </c>
      <c r="BA31" s="65">
        <v>510000</v>
      </c>
      <c r="BB31" s="65">
        <v>520000</v>
      </c>
      <c r="BC31" s="65">
        <v>530000</v>
      </c>
      <c r="BD31" s="65">
        <v>540000</v>
      </c>
      <c r="BE31" s="65">
        <v>550000</v>
      </c>
      <c r="BF31" s="65">
        <v>560000</v>
      </c>
      <c r="BG31" s="65">
        <v>570000</v>
      </c>
      <c r="BH31" s="65">
        <v>580000</v>
      </c>
      <c r="BI31" s="65">
        <v>590000</v>
      </c>
      <c r="BJ31" s="65">
        <v>600000</v>
      </c>
      <c r="BK31" s="65">
        <v>610000</v>
      </c>
      <c r="BL31" s="65">
        <v>620000</v>
      </c>
      <c r="BM31" s="65">
        <v>630000</v>
      </c>
      <c r="BN31" s="65">
        <v>640000</v>
      </c>
      <c r="BO31" s="65">
        <v>650000</v>
      </c>
      <c r="BP31" s="65">
        <v>660000</v>
      </c>
      <c r="BQ31" s="65">
        <v>670000</v>
      </c>
      <c r="BR31" s="65">
        <v>680000</v>
      </c>
      <c r="BS31" s="65">
        <v>690000</v>
      </c>
      <c r="BT31" s="65">
        <v>700000</v>
      </c>
      <c r="BU31" s="65">
        <v>710000</v>
      </c>
      <c r="BV31" s="65">
        <v>720000</v>
      </c>
      <c r="BW31" s="65">
        <v>730000</v>
      </c>
      <c r="BX31" s="65">
        <v>740000</v>
      </c>
      <c r="BY31" s="65">
        <v>750000</v>
      </c>
      <c r="BZ31" s="65">
        <v>760000</v>
      </c>
      <c r="CA31" s="65">
        <v>770000</v>
      </c>
      <c r="CB31" s="65">
        <v>780000</v>
      </c>
      <c r="CC31" s="65">
        <v>790000</v>
      </c>
      <c r="CD31" s="65">
        <v>800000</v>
      </c>
      <c r="CE31" s="65">
        <v>810000</v>
      </c>
      <c r="CF31" s="65">
        <v>820000</v>
      </c>
      <c r="CG31" s="65">
        <v>830000</v>
      </c>
      <c r="CH31" s="65">
        <v>840000</v>
      </c>
      <c r="CI31" s="65">
        <v>850000</v>
      </c>
      <c r="CJ31" s="65">
        <v>860000</v>
      </c>
      <c r="CK31" s="65">
        <v>870000</v>
      </c>
      <c r="CL31" s="65">
        <v>880000</v>
      </c>
      <c r="CM31" s="65">
        <v>890000</v>
      </c>
      <c r="CN31" s="65">
        <v>900000</v>
      </c>
      <c r="CO31" s="65">
        <v>910000</v>
      </c>
      <c r="CP31" s="65">
        <v>920000</v>
      </c>
      <c r="CQ31" s="65">
        <v>930000</v>
      </c>
      <c r="CR31" s="65">
        <v>940000</v>
      </c>
      <c r="CS31" s="65">
        <v>950000</v>
      </c>
      <c r="CT31" s="65">
        <v>960000</v>
      </c>
      <c r="CU31" s="65">
        <v>970000</v>
      </c>
      <c r="CV31" s="65">
        <v>980000</v>
      </c>
      <c r="CW31" s="65">
        <v>990000</v>
      </c>
      <c r="CX31" s="65">
        <v>1000000</v>
      </c>
      <c r="CY31" s="65">
        <v>1010000</v>
      </c>
      <c r="CZ31" s="65">
        <v>1020000</v>
      </c>
      <c r="DA31" s="65">
        <v>1030000</v>
      </c>
      <c r="DB31" s="65">
        <v>1040000</v>
      </c>
      <c r="DC31" s="65">
        <v>1050000</v>
      </c>
      <c r="DD31" s="65">
        <v>1060000</v>
      </c>
      <c r="DE31" s="65">
        <v>1070000</v>
      </c>
      <c r="DF31" s="65">
        <v>1080000</v>
      </c>
    </row>
    <row r="32" spans="1:111" x14ac:dyDescent="0.25">
      <c r="A32" s="63" t="s">
        <v>3</v>
      </c>
      <c r="B32" s="64" t="str">
        <f>"'PARÁMETROS MANT.'!C33:BY33"</f>
        <v>'PARÁMETROS MANT.'!C33:BY33</v>
      </c>
      <c r="C32" s="65" t="s">
        <v>14</v>
      </c>
      <c r="D32" s="65" t="s">
        <v>15</v>
      </c>
      <c r="E32" s="65" t="s">
        <v>16</v>
      </c>
      <c r="F32" s="65" t="s">
        <v>17</v>
      </c>
      <c r="G32" s="65" t="s">
        <v>18</v>
      </c>
      <c r="H32" s="65" t="s">
        <v>19</v>
      </c>
      <c r="I32" s="65" t="s">
        <v>20</v>
      </c>
      <c r="J32" s="65" t="s">
        <v>21</v>
      </c>
      <c r="K32" s="65" t="s">
        <v>22</v>
      </c>
      <c r="L32" s="65" t="s">
        <v>23</v>
      </c>
      <c r="M32" s="65" t="s">
        <v>24</v>
      </c>
      <c r="N32" s="65" t="s">
        <v>25</v>
      </c>
      <c r="O32" s="65" t="s">
        <v>26</v>
      </c>
      <c r="P32" s="65" t="s">
        <v>27</v>
      </c>
      <c r="Q32" s="65" t="s">
        <v>28</v>
      </c>
      <c r="R32" s="65" t="s">
        <v>29</v>
      </c>
      <c r="S32" s="65" t="s">
        <v>30</v>
      </c>
      <c r="T32" s="65" t="s">
        <v>31</v>
      </c>
      <c r="U32" s="65" t="s">
        <v>32</v>
      </c>
      <c r="V32" s="65" t="s">
        <v>33</v>
      </c>
      <c r="W32" s="65" t="s">
        <v>34</v>
      </c>
      <c r="X32" s="65" t="s">
        <v>35</v>
      </c>
      <c r="Y32" s="65" t="s">
        <v>36</v>
      </c>
      <c r="Z32" s="65" t="s">
        <v>37</v>
      </c>
      <c r="AA32" s="65" t="s">
        <v>38</v>
      </c>
      <c r="AB32" s="65" t="s">
        <v>39</v>
      </c>
      <c r="AC32" s="65" t="s">
        <v>40</v>
      </c>
      <c r="AD32" s="65" t="s">
        <v>41</v>
      </c>
      <c r="AE32" s="65" t="s">
        <v>42</v>
      </c>
      <c r="AF32" s="65" t="s">
        <v>43</v>
      </c>
      <c r="AG32" s="65" t="s">
        <v>44</v>
      </c>
      <c r="AH32" s="65" t="s">
        <v>45</v>
      </c>
      <c r="AI32" s="65" t="s">
        <v>46</v>
      </c>
      <c r="AJ32" s="65" t="s">
        <v>47</v>
      </c>
      <c r="AK32" s="65" t="s">
        <v>48</v>
      </c>
      <c r="AL32" s="65" t="s">
        <v>49</v>
      </c>
      <c r="AM32" s="65" t="s">
        <v>50</v>
      </c>
      <c r="AN32" s="65" t="s">
        <v>51</v>
      </c>
      <c r="AO32" s="65" t="s">
        <v>52</v>
      </c>
      <c r="AP32" s="65" t="s">
        <v>53</v>
      </c>
      <c r="AQ32" s="65" t="s">
        <v>54</v>
      </c>
      <c r="AR32" s="65" t="s">
        <v>55</v>
      </c>
      <c r="AS32" s="65" t="s">
        <v>56</v>
      </c>
      <c r="AT32" s="65" t="s">
        <v>57</v>
      </c>
      <c r="AU32" s="65" t="s">
        <v>58</v>
      </c>
      <c r="AV32" s="65" t="s">
        <v>59</v>
      </c>
      <c r="AW32" s="65" t="s">
        <v>60</v>
      </c>
      <c r="AX32" s="65" t="s">
        <v>61</v>
      </c>
      <c r="AY32" s="65" t="s">
        <v>62</v>
      </c>
      <c r="AZ32" s="65" t="s">
        <v>63</v>
      </c>
      <c r="BA32" s="65" t="s">
        <v>64</v>
      </c>
      <c r="BB32" s="65" t="s">
        <v>65</v>
      </c>
      <c r="BC32" s="65" t="s">
        <v>66</v>
      </c>
      <c r="BD32" s="65" t="s">
        <v>67</v>
      </c>
      <c r="BE32" s="65" t="s">
        <v>68</v>
      </c>
      <c r="BF32" s="65" t="s">
        <v>69</v>
      </c>
      <c r="BG32" s="65" t="s">
        <v>70</v>
      </c>
      <c r="BH32" s="65" t="s">
        <v>283</v>
      </c>
      <c r="BI32" s="65" t="s">
        <v>284</v>
      </c>
      <c r="BJ32" s="65" t="s">
        <v>285</v>
      </c>
      <c r="BK32" s="65" t="s">
        <v>286</v>
      </c>
      <c r="BL32" s="65" t="s">
        <v>287</v>
      </c>
      <c r="BM32" s="65" t="s">
        <v>288</v>
      </c>
      <c r="BN32" s="65" t="s">
        <v>289</v>
      </c>
      <c r="BO32" s="65" t="s">
        <v>290</v>
      </c>
      <c r="BP32" s="65" t="s">
        <v>291</v>
      </c>
      <c r="BQ32" s="65" t="s">
        <v>292</v>
      </c>
      <c r="BR32" s="65" t="s">
        <v>293</v>
      </c>
      <c r="BS32" s="65" t="s">
        <v>294</v>
      </c>
      <c r="BT32" s="65" t="s">
        <v>295</v>
      </c>
      <c r="BU32" s="65" t="s">
        <v>296</v>
      </c>
      <c r="BV32" s="65" t="s">
        <v>297</v>
      </c>
      <c r="BW32" s="65" t="s">
        <v>298</v>
      </c>
      <c r="BX32" s="65" t="s">
        <v>299</v>
      </c>
      <c r="BY32" s="65" t="s">
        <v>300</v>
      </c>
      <c r="BZ32" s="65" t="s">
        <v>301</v>
      </c>
      <c r="CA32" s="65" t="s">
        <v>302</v>
      </c>
      <c r="CB32" s="65" t="s">
        <v>303</v>
      </c>
      <c r="CC32" s="65" t="s">
        <v>304</v>
      </c>
      <c r="CD32" s="65" t="s">
        <v>305</v>
      </c>
      <c r="CE32" s="65" t="s">
        <v>306</v>
      </c>
      <c r="CF32" s="65" t="s">
        <v>307</v>
      </c>
      <c r="CG32" s="65" t="s">
        <v>308</v>
      </c>
      <c r="CH32" s="65" t="s">
        <v>309</v>
      </c>
      <c r="CI32" s="65" t="s">
        <v>310</v>
      </c>
      <c r="CJ32" s="65" t="s">
        <v>311</v>
      </c>
      <c r="CK32" s="65" t="s">
        <v>312</v>
      </c>
      <c r="CL32" s="65" t="s">
        <v>313</v>
      </c>
      <c r="CM32" s="65" t="s">
        <v>314</v>
      </c>
      <c r="CN32" s="65" t="s">
        <v>315</v>
      </c>
      <c r="CO32" s="65" t="s">
        <v>316</v>
      </c>
      <c r="CP32" s="65" t="s">
        <v>317</v>
      </c>
      <c r="CQ32" s="65" t="s">
        <v>318</v>
      </c>
      <c r="CR32" s="65" t="s">
        <v>319</v>
      </c>
      <c r="CS32" s="65" t="s">
        <v>320</v>
      </c>
      <c r="CT32" s="65" t="s">
        <v>321</v>
      </c>
      <c r="CU32" s="65" t="s">
        <v>322</v>
      </c>
      <c r="CV32" s="65" t="s">
        <v>323</v>
      </c>
      <c r="CW32" s="65" t="s">
        <v>324</v>
      </c>
      <c r="CX32" s="65" t="s">
        <v>325</v>
      </c>
      <c r="CY32" s="65" t="s">
        <v>326</v>
      </c>
      <c r="CZ32" s="65" t="s">
        <v>403</v>
      </c>
      <c r="DA32" s="65" t="s">
        <v>404</v>
      </c>
      <c r="DB32" s="65" t="s">
        <v>405</v>
      </c>
      <c r="DC32" s="65" t="s">
        <v>406</v>
      </c>
      <c r="DD32" s="65" t="s">
        <v>407</v>
      </c>
      <c r="DE32" s="65" t="s">
        <v>408</v>
      </c>
      <c r="DF32" s="65" t="s">
        <v>409</v>
      </c>
    </row>
    <row r="33" spans="1:110" x14ac:dyDescent="0.25">
      <c r="A33" s="66" t="s">
        <v>13</v>
      </c>
      <c r="B33" s="64" t="s">
        <v>77</v>
      </c>
      <c r="C33" s="65">
        <v>10000</v>
      </c>
      <c r="D33" s="65">
        <v>20000</v>
      </c>
      <c r="E33" s="65">
        <v>30000</v>
      </c>
      <c r="F33" s="65">
        <v>40000</v>
      </c>
      <c r="G33" s="65">
        <v>50000</v>
      </c>
      <c r="H33" s="65">
        <v>60000</v>
      </c>
      <c r="I33" s="65">
        <v>70000</v>
      </c>
      <c r="J33" s="65">
        <v>80000</v>
      </c>
      <c r="K33" s="65">
        <v>90000</v>
      </c>
      <c r="L33" s="65">
        <v>100000</v>
      </c>
      <c r="M33" s="65">
        <v>110000</v>
      </c>
      <c r="N33" s="65">
        <v>120000</v>
      </c>
      <c r="O33" s="65">
        <v>130000</v>
      </c>
      <c r="P33" s="65">
        <v>140000</v>
      </c>
      <c r="Q33" s="65">
        <v>150000</v>
      </c>
      <c r="R33" s="65">
        <v>160000</v>
      </c>
      <c r="S33" s="65">
        <v>170000</v>
      </c>
      <c r="T33" s="65">
        <v>180000</v>
      </c>
      <c r="U33" s="65">
        <v>190000</v>
      </c>
      <c r="V33" s="65">
        <v>200000</v>
      </c>
      <c r="W33" s="65">
        <v>210000</v>
      </c>
      <c r="X33" s="65">
        <v>220000</v>
      </c>
      <c r="Y33" s="65">
        <v>230000</v>
      </c>
      <c r="Z33" s="65">
        <v>240000</v>
      </c>
      <c r="AA33" s="65">
        <v>250000</v>
      </c>
      <c r="AB33" s="65">
        <v>260000</v>
      </c>
      <c r="AC33" s="65">
        <v>270000</v>
      </c>
      <c r="AD33" s="65">
        <v>280000</v>
      </c>
      <c r="AE33" s="65">
        <v>290000</v>
      </c>
      <c r="AF33" s="65">
        <v>300000</v>
      </c>
      <c r="AG33" s="65">
        <v>310000</v>
      </c>
      <c r="AH33" s="65">
        <v>320000</v>
      </c>
      <c r="AI33" s="65">
        <v>330000</v>
      </c>
      <c r="AJ33" s="65">
        <v>340000</v>
      </c>
      <c r="AK33" s="65">
        <v>350000</v>
      </c>
      <c r="AL33" s="65">
        <v>360000</v>
      </c>
      <c r="AM33" s="65">
        <v>370000</v>
      </c>
      <c r="AN33" s="65">
        <v>380000</v>
      </c>
      <c r="AO33" s="65">
        <v>390000</v>
      </c>
      <c r="AP33" s="65">
        <v>400000</v>
      </c>
      <c r="AQ33" s="65">
        <v>410000</v>
      </c>
      <c r="AR33" s="65">
        <v>420000</v>
      </c>
      <c r="AS33" s="65">
        <v>430000</v>
      </c>
      <c r="AT33" s="65">
        <v>440000</v>
      </c>
      <c r="AU33" s="65">
        <v>450000</v>
      </c>
      <c r="AV33" s="65">
        <v>460000</v>
      </c>
      <c r="AW33" s="65">
        <v>470000</v>
      </c>
      <c r="AX33" s="65">
        <v>480000</v>
      </c>
      <c r="AY33" s="65">
        <v>490000</v>
      </c>
      <c r="AZ33" s="65">
        <v>500000</v>
      </c>
      <c r="BA33" s="65">
        <v>510000</v>
      </c>
      <c r="BB33" s="65">
        <v>520000</v>
      </c>
      <c r="BC33" s="65">
        <v>530000</v>
      </c>
      <c r="BD33" s="65">
        <v>540000</v>
      </c>
      <c r="BE33" s="65">
        <v>550000</v>
      </c>
      <c r="BF33" s="65">
        <v>560000</v>
      </c>
      <c r="BG33" s="65">
        <v>570000</v>
      </c>
      <c r="BH33" s="65">
        <v>580000</v>
      </c>
      <c r="BI33" s="65">
        <v>590000</v>
      </c>
      <c r="BJ33" s="65">
        <v>600000</v>
      </c>
      <c r="BK33" s="65">
        <v>610000</v>
      </c>
      <c r="BL33" s="65">
        <v>620000</v>
      </c>
      <c r="BM33" s="65">
        <v>630000</v>
      </c>
      <c r="BN33" s="65">
        <v>640000</v>
      </c>
      <c r="BO33" s="65">
        <v>650000</v>
      </c>
      <c r="BP33" s="65">
        <v>660000</v>
      </c>
      <c r="BQ33" s="65">
        <v>670000</v>
      </c>
      <c r="BR33" s="65">
        <v>680000</v>
      </c>
      <c r="BS33" s="65">
        <v>690000</v>
      </c>
      <c r="BT33" s="65">
        <v>700000</v>
      </c>
      <c r="BU33" s="65">
        <v>710000</v>
      </c>
      <c r="BV33" s="65">
        <v>720000</v>
      </c>
      <c r="BW33" s="65">
        <v>730000</v>
      </c>
      <c r="BX33" s="65">
        <v>740000</v>
      </c>
      <c r="BY33" s="65">
        <v>750000</v>
      </c>
      <c r="BZ33" s="65">
        <v>760000</v>
      </c>
      <c r="CA33" s="65">
        <v>770000</v>
      </c>
      <c r="CB33" s="65">
        <v>780000</v>
      </c>
      <c r="CC33" s="65">
        <v>790000</v>
      </c>
      <c r="CD33" s="65">
        <v>800000</v>
      </c>
      <c r="CE33" s="65">
        <v>810000</v>
      </c>
      <c r="CF33" s="65">
        <v>820000</v>
      </c>
      <c r="CG33" s="65">
        <v>830000</v>
      </c>
      <c r="CH33" s="65">
        <v>840000</v>
      </c>
      <c r="CI33" s="65">
        <v>850000</v>
      </c>
      <c r="CJ33" s="65">
        <v>860000</v>
      </c>
      <c r="CK33" s="65">
        <v>870000</v>
      </c>
      <c r="CL33" s="65">
        <v>880000</v>
      </c>
      <c r="CM33" s="65">
        <v>890000</v>
      </c>
      <c r="CN33" s="65">
        <v>900000</v>
      </c>
      <c r="CO33" s="65">
        <v>910000</v>
      </c>
      <c r="CP33" s="65">
        <v>920000</v>
      </c>
      <c r="CQ33" s="65">
        <v>930000</v>
      </c>
      <c r="CR33" s="65">
        <v>940000</v>
      </c>
      <c r="CS33" s="65">
        <v>950000</v>
      </c>
      <c r="CT33" s="65">
        <v>960000</v>
      </c>
      <c r="CU33" s="65">
        <v>970000</v>
      </c>
      <c r="CV33" s="65">
        <v>980000</v>
      </c>
      <c r="CW33" s="65">
        <v>990000</v>
      </c>
      <c r="CX33" s="65">
        <v>1000000</v>
      </c>
      <c r="CY33" s="65">
        <v>1010000</v>
      </c>
      <c r="CZ33" s="65">
        <v>1020000</v>
      </c>
      <c r="DA33" s="65">
        <v>1030000</v>
      </c>
      <c r="DB33" s="65">
        <v>1040000</v>
      </c>
      <c r="DC33" s="65">
        <v>1050000</v>
      </c>
      <c r="DD33" s="65">
        <v>1060000</v>
      </c>
      <c r="DE33" s="65">
        <v>1070000</v>
      </c>
      <c r="DF33" s="65">
        <v>1080000</v>
      </c>
    </row>
    <row r="34" spans="1:110" x14ac:dyDescent="0.25">
      <c r="A34" s="63" t="s">
        <v>88</v>
      </c>
      <c r="B34" s="64" t="str">
        <f>"'PARÁMETROS MANT.'!C35:GY35"</f>
        <v>'PARÁMETROS MANT.'!C35:GY35</v>
      </c>
      <c r="C34" s="65" t="s">
        <v>14</v>
      </c>
      <c r="D34" s="65" t="s">
        <v>15</v>
      </c>
      <c r="E34" s="65" t="s">
        <v>16</v>
      </c>
      <c r="F34" s="65" t="s">
        <v>17</v>
      </c>
      <c r="G34" s="65" t="s">
        <v>18</v>
      </c>
      <c r="H34" s="65" t="s">
        <v>19</v>
      </c>
      <c r="I34" s="65" t="s">
        <v>20</v>
      </c>
      <c r="J34" s="65" t="s">
        <v>21</v>
      </c>
      <c r="K34" s="65" t="s">
        <v>22</v>
      </c>
      <c r="L34" s="65" t="s">
        <v>23</v>
      </c>
      <c r="M34" s="65" t="s">
        <v>24</v>
      </c>
      <c r="N34" s="65" t="s">
        <v>25</v>
      </c>
      <c r="O34" s="65" t="s">
        <v>26</v>
      </c>
      <c r="P34" s="65" t="s">
        <v>27</v>
      </c>
      <c r="Q34" s="65" t="s">
        <v>28</v>
      </c>
      <c r="R34" s="65" t="s">
        <v>29</v>
      </c>
      <c r="S34" s="65" t="s">
        <v>30</v>
      </c>
      <c r="T34" s="65" t="s">
        <v>31</v>
      </c>
      <c r="U34" s="65" t="s">
        <v>32</v>
      </c>
      <c r="V34" s="65" t="s">
        <v>33</v>
      </c>
      <c r="W34" s="65" t="s">
        <v>34</v>
      </c>
      <c r="X34" s="65" t="s">
        <v>35</v>
      </c>
      <c r="Y34" s="65" t="s">
        <v>36</v>
      </c>
      <c r="Z34" s="65" t="s">
        <v>37</v>
      </c>
      <c r="AA34" s="65" t="s">
        <v>38</v>
      </c>
      <c r="AB34" s="65" t="s">
        <v>39</v>
      </c>
      <c r="AC34" s="65" t="s">
        <v>40</v>
      </c>
      <c r="AD34" s="65" t="s">
        <v>41</v>
      </c>
      <c r="AE34" s="65" t="s">
        <v>42</v>
      </c>
      <c r="AF34" s="65" t="s">
        <v>43</v>
      </c>
      <c r="AG34" s="65" t="s">
        <v>44</v>
      </c>
      <c r="AH34" s="65" t="s">
        <v>45</v>
      </c>
      <c r="AI34" s="65" t="s">
        <v>46</v>
      </c>
      <c r="AJ34" s="65" t="s">
        <v>47</v>
      </c>
      <c r="AK34" s="65" t="s">
        <v>48</v>
      </c>
      <c r="AL34" s="65" t="s">
        <v>49</v>
      </c>
      <c r="AM34" s="65" t="s">
        <v>50</v>
      </c>
      <c r="AN34" s="65" t="s">
        <v>51</v>
      </c>
      <c r="AO34" s="65" t="s">
        <v>52</v>
      </c>
      <c r="AP34" s="65" t="s">
        <v>53</v>
      </c>
      <c r="AQ34" s="65" t="s">
        <v>54</v>
      </c>
      <c r="AR34" s="65" t="s">
        <v>55</v>
      </c>
      <c r="AS34" s="65" t="s">
        <v>56</v>
      </c>
      <c r="AT34" s="65" t="s">
        <v>57</v>
      </c>
      <c r="AU34" s="65" t="s">
        <v>58</v>
      </c>
      <c r="AV34" s="65" t="s">
        <v>59</v>
      </c>
      <c r="AW34" s="65" t="s">
        <v>60</v>
      </c>
      <c r="AX34" s="65" t="s">
        <v>61</v>
      </c>
      <c r="AY34" s="65" t="s">
        <v>62</v>
      </c>
      <c r="AZ34" s="65" t="s">
        <v>63</v>
      </c>
      <c r="BA34" s="65" t="s">
        <v>64</v>
      </c>
      <c r="BB34" s="65" t="s">
        <v>65</v>
      </c>
      <c r="BC34" s="65" t="s">
        <v>66</v>
      </c>
      <c r="BD34" s="65" t="s">
        <v>67</v>
      </c>
      <c r="BE34" s="65" t="s">
        <v>68</v>
      </c>
      <c r="BF34" s="65" t="s">
        <v>69</v>
      </c>
      <c r="BG34" s="65" t="s">
        <v>70</v>
      </c>
      <c r="BH34" s="65" t="s">
        <v>283</v>
      </c>
      <c r="BI34" s="65" t="s">
        <v>284</v>
      </c>
      <c r="BJ34" s="65" t="s">
        <v>285</v>
      </c>
      <c r="BK34" s="65" t="s">
        <v>286</v>
      </c>
      <c r="BL34" s="65" t="s">
        <v>287</v>
      </c>
      <c r="BM34" s="65" t="s">
        <v>288</v>
      </c>
      <c r="BN34" s="65" t="s">
        <v>289</v>
      </c>
      <c r="BO34" s="65" t="s">
        <v>290</v>
      </c>
      <c r="BP34" s="65" t="s">
        <v>291</v>
      </c>
      <c r="BQ34" s="65" t="s">
        <v>292</v>
      </c>
      <c r="BR34" s="65" t="s">
        <v>293</v>
      </c>
      <c r="BS34" s="65" t="s">
        <v>294</v>
      </c>
      <c r="BT34" s="65" t="s">
        <v>295</v>
      </c>
      <c r="BU34" s="65" t="s">
        <v>296</v>
      </c>
      <c r="BV34" s="65" t="s">
        <v>297</v>
      </c>
      <c r="BW34" s="65" t="s">
        <v>298</v>
      </c>
      <c r="BX34" s="65" t="s">
        <v>299</v>
      </c>
      <c r="BY34" s="65" t="s">
        <v>300</v>
      </c>
      <c r="BZ34" s="65" t="s">
        <v>301</v>
      </c>
      <c r="CA34" s="65" t="s">
        <v>302</v>
      </c>
      <c r="CB34" s="65" t="s">
        <v>303</v>
      </c>
      <c r="CC34" s="65" t="s">
        <v>304</v>
      </c>
      <c r="CD34" s="65" t="s">
        <v>305</v>
      </c>
      <c r="CE34" s="65" t="s">
        <v>306</v>
      </c>
      <c r="CF34" s="65" t="s">
        <v>307</v>
      </c>
      <c r="CG34" s="65" t="s">
        <v>308</v>
      </c>
      <c r="CH34" s="65" t="s">
        <v>309</v>
      </c>
      <c r="CI34" s="65" t="s">
        <v>310</v>
      </c>
      <c r="CJ34" s="65" t="s">
        <v>311</v>
      </c>
      <c r="CK34" s="65" t="s">
        <v>312</v>
      </c>
      <c r="CL34" s="65" t="s">
        <v>313</v>
      </c>
      <c r="CM34" s="65" t="s">
        <v>314</v>
      </c>
      <c r="CN34" s="65" t="s">
        <v>315</v>
      </c>
      <c r="CO34" s="65" t="s">
        <v>316</v>
      </c>
      <c r="CP34" s="65" t="s">
        <v>317</v>
      </c>
      <c r="CQ34" s="65" t="s">
        <v>318</v>
      </c>
      <c r="CR34" s="65" t="s">
        <v>319</v>
      </c>
      <c r="CS34" s="65" t="s">
        <v>320</v>
      </c>
      <c r="CT34" s="65" t="s">
        <v>321</v>
      </c>
      <c r="CU34" s="65" t="s">
        <v>322</v>
      </c>
      <c r="CV34" s="65" t="s">
        <v>323</v>
      </c>
      <c r="CW34" s="65" t="s">
        <v>324</v>
      </c>
      <c r="CX34" s="65" t="s">
        <v>325</v>
      </c>
      <c r="CY34" s="65" t="s">
        <v>326</v>
      </c>
      <c r="CZ34" s="65" t="s">
        <v>403</v>
      </c>
      <c r="DA34" s="65" t="s">
        <v>404</v>
      </c>
      <c r="DB34" s="65" t="s">
        <v>405</v>
      </c>
      <c r="DC34" s="65" t="s">
        <v>406</v>
      </c>
      <c r="DD34" s="65" t="s">
        <v>407</v>
      </c>
      <c r="DE34" s="65" t="s">
        <v>408</v>
      </c>
      <c r="DF34" s="65" t="s">
        <v>409</v>
      </c>
    </row>
    <row r="35" spans="1:110" x14ac:dyDescent="0.25">
      <c r="A35" s="67" t="s">
        <v>400</v>
      </c>
      <c r="B35" s="64" t="s">
        <v>77</v>
      </c>
      <c r="C35" s="65">
        <v>10000</v>
      </c>
      <c r="D35" s="65">
        <v>20000</v>
      </c>
      <c r="E35" s="65">
        <v>30000</v>
      </c>
      <c r="F35" s="65">
        <v>40000</v>
      </c>
      <c r="G35" s="65">
        <v>50000</v>
      </c>
      <c r="H35" s="65">
        <v>60000</v>
      </c>
      <c r="I35" s="65">
        <v>70000</v>
      </c>
      <c r="J35" s="65">
        <v>80000</v>
      </c>
      <c r="K35" s="65">
        <v>90000</v>
      </c>
      <c r="L35" s="65">
        <v>100000</v>
      </c>
      <c r="M35" s="65">
        <v>110000</v>
      </c>
      <c r="N35" s="65">
        <v>120000</v>
      </c>
      <c r="O35" s="65">
        <v>130000</v>
      </c>
      <c r="P35" s="65">
        <v>140000</v>
      </c>
      <c r="Q35" s="65">
        <v>150000</v>
      </c>
      <c r="R35" s="65">
        <v>160000</v>
      </c>
      <c r="S35" s="65">
        <v>170000</v>
      </c>
      <c r="T35" s="65">
        <v>180000</v>
      </c>
      <c r="U35" s="65">
        <v>190000</v>
      </c>
      <c r="V35" s="65">
        <v>200000</v>
      </c>
      <c r="W35" s="65">
        <v>210000</v>
      </c>
      <c r="X35" s="65">
        <v>220000</v>
      </c>
      <c r="Y35" s="65">
        <v>230000</v>
      </c>
      <c r="Z35" s="65">
        <v>240000</v>
      </c>
      <c r="AA35" s="65">
        <v>250000</v>
      </c>
      <c r="AB35" s="65">
        <v>260000</v>
      </c>
      <c r="AC35" s="65">
        <v>270000</v>
      </c>
      <c r="AD35" s="65">
        <v>280000</v>
      </c>
      <c r="AE35" s="65">
        <v>290000</v>
      </c>
      <c r="AF35" s="65">
        <v>300000</v>
      </c>
      <c r="AG35" s="65">
        <v>310000</v>
      </c>
      <c r="AH35" s="65">
        <v>320000</v>
      </c>
      <c r="AI35" s="65">
        <v>330000</v>
      </c>
      <c r="AJ35" s="65">
        <v>340000</v>
      </c>
      <c r="AK35" s="65">
        <v>350000</v>
      </c>
      <c r="AL35" s="65">
        <v>360000</v>
      </c>
      <c r="AM35" s="65">
        <v>370000</v>
      </c>
      <c r="AN35" s="65">
        <v>380000</v>
      </c>
      <c r="AO35" s="65">
        <v>390000</v>
      </c>
      <c r="AP35" s="65">
        <v>400000</v>
      </c>
      <c r="AQ35" s="65">
        <v>410000</v>
      </c>
      <c r="AR35" s="65">
        <v>420000</v>
      </c>
      <c r="AS35" s="65">
        <v>430000</v>
      </c>
      <c r="AT35" s="65">
        <v>440000</v>
      </c>
      <c r="AU35" s="65">
        <v>450000</v>
      </c>
      <c r="AV35" s="65">
        <v>460000</v>
      </c>
      <c r="AW35" s="65">
        <v>470000</v>
      </c>
      <c r="AX35" s="65">
        <v>480000</v>
      </c>
      <c r="AY35" s="65">
        <v>490000</v>
      </c>
      <c r="AZ35" s="65">
        <v>500000</v>
      </c>
      <c r="BA35" s="65">
        <v>510000</v>
      </c>
      <c r="BB35" s="65">
        <v>520000</v>
      </c>
      <c r="BC35" s="65">
        <v>530000</v>
      </c>
      <c r="BD35" s="65">
        <v>540000</v>
      </c>
      <c r="BE35" s="65">
        <v>550000</v>
      </c>
      <c r="BF35" s="65">
        <v>560000</v>
      </c>
      <c r="BG35" s="65">
        <v>570000</v>
      </c>
      <c r="BH35" s="65">
        <v>580000</v>
      </c>
      <c r="BI35" s="65">
        <v>590000</v>
      </c>
      <c r="BJ35" s="65">
        <v>600000</v>
      </c>
      <c r="BK35" s="65">
        <v>610000</v>
      </c>
      <c r="BL35" s="65">
        <v>620000</v>
      </c>
      <c r="BM35" s="65">
        <v>630000</v>
      </c>
      <c r="BN35" s="65">
        <v>640000</v>
      </c>
      <c r="BO35" s="65">
        <v>650000</v>
      </c>
      <c r="BP35" s="65">
        <v>660000</v>
      </c>
      <c r="BQ35" s="65">
        <v>670000</v>
      </c>
      <c r="BR35" s="65">
        <v>680000</v>
      </c>
      <c r="BS35" s="65">
        <v>690000</v>
      </c>
      <c r="BT35" s="65">
        <v>700000</v>
      </c>
      <c r="BU35" s="65">
        <v>710000</v>
      </c>
      <c r="BV35" s="65">
        <v>720000</v>
      </c>
      <c r="BW35" s="65">
        <v>730000</v>
      </c>
      <c r="BX35" s="65">
        <v>740000</v>
      </c>
      <c r="BY35" s="65">
        <v>750000</v>
      </c>
      <c r="BZ35" s="65">
        <v>760000</v>
      </c>
      <c r="CA35" s="65">
        <v>770000</v>
      </c>
      <c r="CB35" s="65">
        <v>780000</v>
      </c>
      <c r="CC35" s="65">
        <v>790000</v>
      </c>
      <c r="CD35" s="65">
        <v>800000</v>
      </c>
      <c r="CE35" s="65">
        <v>810000</v>
      </c>
      <c r="CF35" s="65">
        <v>820000</v>
      </c>
      <c r="CG35" s="65">
        <v>830000</v>
      </c>
      <c r="CH35" s="65">
        <v>840000</v>
      </c>
      <c r="CI35" s="65">
        <v>850000</v>
      </c>
      <c r="CJ35" s="65">
        <v>860000</v>
      </c>
      <c r="CK35" s="65">
        <v>870000</v>
      </c>
      <c r="CL35" s="65">
        <v>880000</v>
      </c>
      <c r="CM35" s="65">
        <v>890000</v>
      </c>
      <c r="CN35" s="65">
        <v>900000</v>
      </c>
      <c r="CO35" s="65">
        <v>910000</v>
      </c>
      <c r="CP35" s="65">
        <v>920000</v>
      </c>
      <c r="CQ35" s="65">
        <v>930000</v>
      </c>
      <c r="CR35" s="65">
        <v>940000</v>
      </c>
      <c r="CS35" s="65">
        <v>950000</v>
      </c>
      <c r="CT35" s="65">
        <v>960000</v>
      </c>
      <c r="CU35" s="65">
        <v>970000</v>
      </c>
      <c r="CV35" s="65">
        <v>980000</v>
      </c>
      <c r="CW35" s="65">
        <v>990000</v>
      </c>
      <c r="CX35" s="65">
        <v>1000000</v>
      </c>
      <c r="CY35" s="65">
        <v>1010000</v>
      </c>
      <c r="CZ35" s="65">
        <v>1020000</v>
      </c>
      <c r="DA35" s="65">
        <v>1030000</v>
      </c>
      <c r="DB35" s="65">
        <v>1040000</v>
      </c>
      <c r="DC35" s="65">
        <v>1050000</v>
      </c>
      <c r="DD35" s="65">
        <v>1060000</v>
      </c>
      <c r="DE35" s="65">
        <v>1070000</v>
      </c>
      <c r="DF35" s="65">
        <v>1080000</v>
      </c>
    </row>
  </sheetData>
  <autoFilter ref="A1:A35" xr:uid="{00000000-0009-0000-0000-000002000000}">
    <sortState xmlns:xlrd2="http://schemas.microsoft.com/office/spreadsheetml/2017/richdata2" ref="A2:A21">
      <sortCondition ref="A1:A21"/>
    </sortState>
  </autoFilter>
  <phoneticPr fontId="1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+ 3 o Q V d g N r f 6 j A A A A 9 Q A A A B I A H A B D b 2 5 m a W c v U G F j a 2 F n Z S 5 4 b W w g o h g A K K A U A A A A A A A A A A A A A A A A A A A A A A A A A A A A h Y 8 x D o I w G I W v Q r r T 1 m o M k p 8 y s E J i Y m J c m 1 K h E Y q h x X I 3 B 4 / k F c Q o 6 u b 4 v v c N 7 9 2 v N 0 j H t g k u q r e 6 M w l a Y I o C Z W R X a l M l a H D H M E I p h 6 2 Q J 1 G p Y J K N j U d b J q h 2 7 h w T 4 r 3 H f o m 7 v i K M 0 g U 5 F P l O 1 q o V 6 C P r / 3 K o j X X C S I U 4 7 F 9 j O M O b N Y 5 W D F M g M 4 N C m 2 / P p r n P 9 g d C N j R u 6 B V X N s x y I H M E 8 r 7 A H 1 B L A w Q U A A I A C A D 7 e h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3 o Q V S i K R 7 g O A A A A E Q A A A B M A H A B G b 3 J t d W x h c y 9 T Z W N 0 a W 9 u M S 5 t I K I Y A C i g F A A A A A A A A A A A A A A A A A A A A A A A A A A A A C t O T S 7 J z M 9 T C I b Q h t Y A U E s B A i 0 A F A A C A A g A + 3 o Q V d g N r f 6 j A A A A 9 Q A A A B I A A A A A A A A A A A A A A A A A A A A A A E N v b m Z p Z y 9 Q Y W N r Y W d l L n h t b F B L A Q I t A B Q A A g A I A P t 6 E F U P y u m r p A A A A O k A A A A T A A A A A A A A A A A A A A A A A O 8 A A A B b Q 2 9 u d G V u d F 9 U e X B l c 1 0 u e G 1 s U E s B A i 0 A F A A C A A g A + 3 o Q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8 0 u 6 Z k y N B P t Q n 8 h b F S r W g A A A A A A g A A A A A A E G Y A A A A B A A A g A A A A g R L t Y o r e L k O T W T A g o / m F v 9 5 U J S d t S f n 5 X L W y B G Y 2 l o A A A A A A D o A A A A A C A A A g A A A A i v G x E A Z Z x v z c r Q N 3 7 P g q M u X 0 B 3 1 T b R / w 9 Y A o 1 q 6 D c q t Q A A A A / 9 p Y 2 G e b C C u 6 / 6 E E W O s 1 A 1 3 g R C T p s t u Z y z / w t h y a x r M p 0 X o Y 6 e e 1 c H 6 / m S L P h E Z J Z V g B m N K o 8 Q l 1 r T h q Q W u 3 9 3 S I L r X M d K T F c B E Y X c t 1 x / 9 A A A A A H C E L P e z Q E s a x i U 1 i C w Y J o 2 J b Q N k 2 v 6 L + f I j 2 j s v 2 N 0 R b h G g 3 R C w D Y Q a Z D 7 / i j 5 z b u B W P 9 R Y R k g i B G d P 7 X X B d o Q = = < / D a t a M a s h u p > 
</file>

<file path=customXml/itemProps1.xml><?xml version="1.0" encoding="utf-8"?>
<ds:datastoreItem xmlns:ds="http://schemas.openxmlformats.org/officeDocument/2006/customXml" ds:itemID="{D7AFF9ED-1C8D-459A-9C6C-B71BE59E76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EMPRESA 1</vt:lpstr>
      <vt:lpstr>EMPRESA 2</vt:lpstr>
      <vt:lpstr>BAT EMPRESA 1</vt:lpstr>
      <vt:lpstr>BAT EMPRESA 2</vt:lpstr>
      <vt:lpstr>PARÁMETROS MANT.</vt:lpstr>
      <vt:lpstr>'BAT EMPRESA 1'!Área_de_impresión</vt:lpstr>
      <vt:lpstr>'BAT EMPRESA 2'!Área_de_impresión</vt:lpstr>
      <vt:lpstr>'EMPRESA 1'!Área_de_impresión</vt:lpstr>
      <vt:lpstr>'EMPRESA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Gabriel Avalos</cp:lastModifiedBy>
  <cp:lastPrinted>2025-04-25T19:33:33Z</cp:lastPrinted>
  <dcterms:created xsi:type="dcterms:W3CDTF">2015-06-18T00:41:10Z</dcterms:created>
  <dcterms:modified xsi:type="dcterms:W3CDTF">2025-06-10T13:33:14Z</dcterms:modified>
</cp:coreProperties>
</file>