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hidePivotFieldList="1" autoCompressPictures="0" defaultThemeVersion="124226"/>
  <mc:AlternateContent xmlns:mc="http://schemas.openxmlformats.org/markup-compatibility/2006">
    <mc:Choice Requires="x15">
      <x15ac:absPath xmlns:x15ac="http://schemas.microsoft.com/office/spreadsheetml/2010/11/ac" url="https://d.docs.live.net/323874764bc4b245/Desktop/RutasMTC/Files/Ha entregar/"/>
    </mc:Choice>
  </mc:AlternateContent>
  <xr:revisionPtr revIDLastSave="8" documentId="13_ncr:1_{09F432FD-DC84-4564-9984-0BD484B6E6A5}" xr6:coauthVersionLast="47" xr6:coauthVersionMax="47" xr10:uidLastSave="{D4F102F8-8A34-4457-B15C-98A8B31BA202}"/>
  <bookViews>
    <workbookView xWindow="-120" yWindow="-120" windowWidth="29040" windowHeight="15720" tabRatio="702" activeTab="3" xr2:uid="{00000000-000D-0000-FFFF-FFFF00000000}"/>
  </bookViews>
  <sheets>
    <sheet name="Elementos Funcionales" sheetId="19" r:id="rId1"/>
    <sheet name="Factores Complejidad Tecnica" sheetId="9" r:id="rId2"/>
    <sheet name="Tabla cálculo LOC" sheetId="20" r:id="rId3"/>
    <sheet name="Costo Desarrollo" sheetId="6" r:id="rId4"/>
    <sheet name="Tablas" sheetId="21" r:id="rId5"/>
    <sheet name="Clas_Elem_Funci" sheetId="22" r:id="rId6"/>
  </sheets>
  <definedNames>
    <definedName name="_xlnm._FilterDatabase" localSheetId="0" hidden="1">'Elementos Funcionales'!$A$13:$B$20</definedName>
    <definedName name="_Toc308084624" localSheetId="0">'Elementos Funcionales'!#REF!</definedName>
    <definedName name="OLE_LINK1" localSheetId="3">'Costo Desarrollo'!#REF!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6" l="1"/>
  <c r="I31" i="6"/>
  <c r="H31" i="6"/>
  <c r="G31" i="6"/>
  <c r="F31" i="6"/>
  <c r="J31" i="6" s="1"/>
  <c r="I30" i="6"/>
  <c r="H30" i="6"/>
  <c r="G30" i="6"/>
  <c r="F30" i="6"/>
  <c r="J30" i="6" s="1"/>
  <c r="I29" i="6"/>
  <c r="H29" i="6"/>
  <c r="G29" i="6"/>
  <c r="F29" i="6"/>
  <c r="J29" i="6" s="1"/>
  <c r="I28" i="6"/>
  <c r="H28" i="6"/>
  <c r="G28" i="6"/>
  <c r="F28" i="6"/>
  <c r="J28" i="6" s="1"/>
  <c r="I27" i="6"/>
  <c r="H27" i="6"/>
  <c r="G27" i="6"/>
  <c r="F27" i="6"/>
  <c r="J27" i="6" s="1"/>
  <c r="D33" i="20"/>
  <c r="B33" i="20"/>
  <c r="E33" i="20" s="1"/>
  <c r="D32" i="20"/>
  <c r="B32" i="20"/>
  <c r="E32" i="20" s="1"/>
  <c r="D31" i="20"/>
  <c r="B31" i="20"/>
  <c r="E31" i="20" s="1"/>
  <c r="D30" i="20"/>
  <c r="B30" i="20"/>
  <c r="E30" i="20" s="1"/>
  <c r="E29" i="20"/>
  <c r="D29" i="20"/>
  <c r="B29" i="20"/>
  <c r="D28" i="20"/>
  <c r="B28" i="20"/>
  <c r="E28" i="20" s="1"/>
  <c r="E34" i="20" s="1"/>
  <c r="B2" i="20" s="1"/>
  <c r="B3" i="20" s="1"/>
  <c r="B12" i="6" s="1"/>
  <c r="B30" i="6" s="1"/>
  <c r="E16" i="9" a="1"/>
  <c r="E16" i="9" s="1"/>
  <c r="B31" i="6" s="1"/>
  <c r="G15" i="9"/>
  <c r="G14" i="9"/>
  <c r="G13" i="9"/>
  <c r="G12" i="9"/>
  <c r="G16" i="9" s="1"/>
  <c r="G11" i="9"/>
  <c r="G10" i="9"/>
  <c r="G9" i="9"/>
  <c r="G8" i="9"/>
  <c r="G7" i="9"/>
  <c r="G6" i="9"/>
  <c r="G5" i="9"/>
  <c r="G4" i="9"/>
  <c r="G3" i="9"/>
  <c r="F36" i="19"/>
  <c r="F35" i="19"/>
  <c r="F34" i="19"/>
  <c r="F33" i="19"/>
  <c r="F32" i="19"/>
  <c r="F31" i="19"/>
  <c r="F30" i="19"/>
  <c r="F29" i="19"/>
  <c r="F28" i="19"/>
  <c r="F27" i="19"/>
  <c r="F26" i="19"/>
  <c r="F25" i="19"/>
  <c r="F24" i="19"/>
  <c r="F23" i="19"/>
  <c r="F22" i="19"/>
  <c r="F21" i="19"/>
  <c r="F20" i="19"/>
  <c r="F19" i="19"/>
  <c r="F18" i="19"/>
  <c r="F17" i="19"/>
  <c r="F16" i="19"/>
  <c r="F15" i="19"/>
  <c r="G9" i="19"/>
  <c r="G8" i="19"/>
  <c r="G7" i="19"/>
  <c r="G6" i="19"/>
  <c r="K31" i="6" l="1"/>
  <c r="K30" i="6"/>
  <c r="K29" i="6"/>
  <c r="K28" i="6"/>
  <c r="K27" i="6"/>
  <c r="G10" i="19"/>
  <c r="B27" i="6" s="1"/>
  <c r="F10" i="19"/>
  <c r="B28" i="6" s="1"/>
  <c r="B32" i="6" s="1"/>
  <c r="B33" i="6" s="1"/>
  <c r="B35" i="6" s="1"/>
  <c r="K32" i="6" l="1"/>
  <c r="L31" i="6"/>
  <c r="M31" i="6" s="1"/>
  <c r="L30" i="6"/>
  <c r="M30" i="6" s="1"/>
  <c r="L29" i="6"/>
  <c r="M29" i="6" s="1"/>
  <c r="L28" i="6"/>
  <c r="M28" i="6" s="1"/>
  <c r="L27" i="6"/>
  <c r="M27" i="6" s="1"/>
  <c r="M32"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FREDDY</author>
  </authors>
  <commentList>
    <comment ref="B33" authorId="0" shapeId="0" xr:uid="{00000000-0006-0000-0200-000001000000}">
      <text>
        <r>
          <rPr>
            <b/>
            <sz val="9"/>
            <color indexed="81"/>
            <rFont val="Tahoma"/>
            <family val="2"/>
          </rPr>
          <t>FREDDY:</t>
        </r>
        <r>
          <rPr>
            <sz val="9"/>
            <color indexed="81"/>
            <rFont val="Tahoma"/>
            <family val="2"/>
          </rPr>
          <t xml:space="preserve">
1,81 Meses/hombre</t>
        </r>
      </text>
    </comment>
    <comment ref="B34" authorId="0" shapeId="0" xr:uid="{00000000-0006-0000-0200-000002000000}">
      <text>
        <r>
          <rPr>
            <b/>
            <sz val="9"/>
            <color indexed="81"/>
            <rFont val="Tahoma"/>
            <family val="2"/>
          </rPr>
          <t>FREDDY:</t>
        </r>
        <r>
          <rPr>
            <sz val="9"/>
            <color indexed="81"/>
            <rFont val="Tahoma"/>
            <family val="2"/>
          </rPr>
          <t xml:space="preserve">
Definir en el Contrato</t>
        </r>
      </text>
    </comment>
    <comment ref="B35" authorId="0" shapeId="0" xr:uid="{00000000-0006-0000-0200-000003000000}">
      <text>
        <r>
          <rPr>
            <b/>
            <sz val="9"/>
            <color indexed="81"/>
            <rFont val="Tahoma"/>
            <family val="2"/>
          </rPr>
          <t>FREDDY:</t>
        </r>
        <r>
          <rPr>
            <sz val="9"/>
            <color indexed="81"/>
            <rFont val="Tahoma"/>
            <family val="2"/>
          </rPr>
          <t xml:space="preserve">
x20 dias * 8 horas</t>
        </r>
      </text>
    </comment>
  </commentList>
</comments>
</file>

<file path=xl/sharedStrings.xml><?xml version="1.0" encoding="utf-8"?>
<sst xmlns="http://schemas.openxmlformats.org/spreadsheetml/2006/main" count="427" uniqueCount="313">
  <si>
    <t>Total</t>
  </si>
  <si>
    <t>PM = A x (Tamaño) ** E</t>
  </si>
  <si>
    <t>Donde:</t>
  </si>
  <si>
    <t>PM= Esfuerzo en meses hombre</t>
  </si>
  <si>
    <t>A= Constante 2.94</t>
  </si>
  <si>
    <t>Meses Pruebas</t>
  </si>
  <si>
    <t>Total meses</t>
  </si>
  <si>
    <t>total m/h</t>
  </si>
  <si>
    <t>Constante A</t>
  </si>
  <si>
    <t>Constante complejidad E =</t>
  </si>
  <si>
    <t>Tamaño</t>
  </si>
  <si>
    <t xml:space="preserve"> Factor Tecnico</t>
  </si>
  <si>
    <t xml:space="preserve"> Magnitud Relativa
(Entre 0-5)</t>
  </si>
  <si>
    <t>Descripción</t>
  </si>
  <si>
    <t>Sistema Distribuido</t>
  </si>
  <si>
    <t>Tiempo de Respuesta Eficaz</t>
  </si>
  <si>
    <t>Eficiencia del Usuario Final</t>
  </si>
  <si>
    <t>Procesamiento interno Complejo
necesario</t>
  </si>
  <si>
    <t>Código reutilizable debe ser un foco</t>
  </si>
  <si>
    <t>Facilidad de instalación</t>
  </si>
  <si>
    <t>¿Es la facilidad de instalación para los usuarios finales un factor clave? Cuanto más alto sea el nivel de competencia de los usuarios, menor es el número.</t>
  </si>
  <si>
    <t>Facilidad de Usabilidad</t>
  </si>
  <si>
    <t>¿Es la facilidad de uso uno de los principales criterios para la aceptación? Cuanto mayor es la importancia de la facilidad de uso, mayor es el número.</t>
  </si>
  <si>
    <t>Portabilidad</t>
  </si>
  <si>
    <t>Fácil Modificación</t>
  </si>
  <si>
    <t>Altamente concurrente</t>
  </si>
  <si>
    <t>Personalización de Seguridad</t>
  </si>
  <si>
    <t>Dependencia  de Terceros</t>
  </si>
  <si>
    <t xml:space="preserve"> Entrenamiento
Especial</t>
  </si>
  <si>
    <t>Simple</t>
  </si>
  <si>
    <t>Promedio</t>
  </si>
  <si>
    <t>Complejo</t>
  </si>
  <si>
    <t>TOTAL FACTOR DE COMPLEJIDAD TECNICA</t>
  </si>
  <si>
    <t>Líneas de código</t>
  </si>
  <si>
    <t>Meses Construcción</t>
  </si>
  <si>
    <t>Meses Implementación</t>
  </si>
  <si>
    <t>Meses Diseño</t>
  </si>
  <si>
    <t>Puntos de función</t>
  </si>
  <si>
    <t>TOTAL Puntos de Funcion</t>
  </si>
  <si>
    <t>C</t>
  </si>
  <si>
    <t>D</t>
  </si>
  <si>
    <t>Diseño</t>
  </si>
  <si>
    <t>Cantidad RRHH</t>
  </si>
  <si>
    <t>Construcción</t>
  </si>
  <si>
    <t>Numero</t>
  </si>
  <si>
    <t>Tipo</t>
  </si>
  <si>
    <t>La arquitectura de la solución puede ser centralizada o cliente servidor, o puede ser distribuido (como N-CAPAS) o multi-nivel.</t>
  </si>
  <si>
    <t>La velocidad de respuesta para los usuarios es un importante factor (y no trivial). Por ejemplo, si la carga del servidor se espera que sea muy baja, esto puede ser un factor trivial.</t>
  </si>
  <si>
    <t>En la aplicación que se están desarrollando para optimizar la eficiencia del usuario, o simplemente la capacidad.</t>
  </si>
  <si>
    <t>Hay mucha algorítmica de difícil trabajo para hacer y poner a prueba.</t>
  </si>
  <si>
    <t>¿Es pesada la reutilización de código? Código reutilización reduce la cantidad de esfuerzo necesario para implementar un proyecto. También reduce la cantidad de tiempo necesario para depurar un proyecto. Una función de biblioteca compartida puede ser reutilizada varias veces.</t>
  </si>
  <si>
    <t>¿Se requiere soportar multi-plataforma? Múltiples tipos de plataformas tienen que ser soportadas.</t>
  </si>
  <si>
    <t>¿El cliente requerirá la capacidad de cambiar o personalizar la aplicación en el futuro? Cuanto más cambio / adaptación que se requiere en el futuro, mayor es el valor.</t>
  </si>
  <si>
    <t>¿Va a tener para hacer frente a la base de datos de bloqueo y otras cuestiones de concurrencia? Mientras mayor atención tiene que tener la solución a los conflictos en los datos o aplicación, se más alto es el valor.</t>
  </si>
  <si>
    <t>¿La aplicación requiere el uso de controles o bibliotecas de terceros? Al igual que códigos reutilizables, el código de terceros puede reducir el esfuerzo necesario para implementar una solución.</t>
  </si>
  <si>
    <t>¿Cuánto cuesta la formación de los usuarios que se requiere? La aplicación es compleja, o el apoyo a actividades complejas?</t>
  </si>
  <si>
    <t>Casos de uso</t>
  </si>
  <si>
    <t>Cronograma</t>
  </si>
  <si>
    <t>Costo por perfil de recurso humano</t>
  </si>
  <si>
    <t>Tamaño= Puntos Función x (líneas código) / 1000</t>
  </si>
  <si>
    <t>Puntos de Función = Casos Uso x Complejidad</t>
  </si>
  <si>
    <t>Estimación de esfuerzo 
APLICACIÓN COCOMO II</t>
  </si>
  <si>
    <t>El esfuerzo en meses hombre se calcula así:</t>
  </si>
  <si>
    <t>Proceso</t>
  </si>
  <si>
    <t>tipo</t>
  </si>
  <si>
    <t>Muy Complejo</t>
  </si>
  <si>
    <t>Esfuerzo meses hombre</t>
  </si>
  <si>
    <t>Complejidad: 1= Baja, 3=Media, 6=Alta 8+Muy alta</t>
  </si>
  <si>
    <t>Costo Hora desarrollo</t>
  </si>
  <si>
    <t xml:space="preserve">Desarrollos </t>
  </si>
  <si>
    <t>Tecnología</t>
  </si>
  <si>
    <t>Factores técnicos</t>
  </si>
  <si>
    <t>Estimación de costos de software con puntos de casos de uso: factores técnicos</t>
  </si>
  <si>
    <t>Factor</t>
  </si>
  <si>
    <r>
      <t>1.</t>
    </r>
    <r>
      <rPr>
        <sz val="7"/>
        <color rgb="FF000000"/>
        <rFont val="Times New Roman"/>
        <family val="1"/>
      </rPr>
      <t xml:space="preserve">    </t>
    </r>
    <r>
      <rPr>
        <b/>
        <sz val="11"/>
        <color rgb="FF000000"/>
        <rFont val="Arial"/>
        <family val="2"/>
      </rPr>
      <t>Sistema distribuido requerido</t>
    </r>
    <r>
      <rPr>
        <sz val="11"/>
        <color rgb="FF000000"/>
        <rFont val="Arial"/>
        <family val="2"/>
      </rPr>
      <t>: la arquitectura de la solución puede ser centralizada o de un solo usuario, o puede ser distribuida (como una solución de n niveles) o multiusuario. Los números más altos representan una arquitectura más compleja.</t>
    </r>
  </si>
  <si>
    <r>
      <t>2.</t>
    </r>
    <r>
      <rPr>
        <sz val="7"/>
        <rFont val="Times New Roman"/>
        <family val="1"/>
      </rPr>
      <t xml:space="preserve">    </t>
    </r>
    <r>
      <rPr>
        <b/>
        <sz val="11"/>
        <rFont val="Arial"/>
        <family val="2"/>
      </rPr>
      <t>El tiempo de respuesta es importante</t>
    </r>
    <r>
      <rPr>
        <sz val="11"/>
        <rFont val="Arial"/>
        <family val="2"/>
      </rPr>
      <t>: la rapidez de respuesta para los usuarios es un factor importante (y no trivial). Por ejemplo, si se espera que la carga del servidor sea muy baja, esto puede ser un factor trivial. Los números más altos representan una importancia creciente del tiempo de respuesta (un motor de búsqueda tendría un número alto, un agregador diario de noticias tendría un número bajo).</t>
    </r>
  </si>
  <si>
    <r>
      <t>3.</t>
    </r>
    <r>
      <rPr>
        <sz val="7"/>
        <rFont val="Times New Roman"/>
        <family val="1"/>
      </rPr>
      <t xml:space="preserve">    </t>
    </r>
    <r>
      <rPr>
        <b/>
        <sz val="11"/>
        <rFont val="Arial"/>
        <family val="2"/>
      </rPr>
      <t>Eficiencia del usuario final</t>
    </r>
    <r>
      <rPr>
        <sz val="11"/>
        <rFont val="Arial"/>
        <family val="2"/>
      </rPr>
      <t>: ¿la aplicación se está desarrollando para optimizar la eficiencia del usuario o solo la capacidad? Los números más altos representan proyectos que dependen más de la aplicación para mejorar la eficiencia del usuario.</t>
    </r>
  </si>
  <si>
    <r>
      <t>4.</t>
    </r>
    <r>
      <rPr>
        <sz val="7"/>
        <rFont val="Times New Roman"/>
        <family val="1"/>
      </rPr>
      <t xml:space="preserve">    </t>
    </r>
    <r>
      <rPr>
        <b/>
        <sz val="11"/>
        <rFont val="Arial"/>
        <family val="2"/>
      </rPr>
      <t>Se requiere procesamiento interno complejo</t>
    </r>
    <r>
      <rPr>
        <sz val="11"/>
        <rFont val="Arial"/>
        <family val="2"/>
      </rPr>
      <t>: ¿hay mucho trabajo algorítmico difícil de hacer y probar? Los algoritmos complejos (nivelación de recursos, análisis de sistemas en el dominio del tiempo, cubos OLAP) tienen números más altos. Las consultas simples a la base de datos tendrían números bajos.</t>
    </r>
  </si>
  <si>
    <r>
      <t>5.</t>
    </r>
    <r>
      <rPr>
        <sz val="7"/>
        <rFont val="Times New Roman"/>
        <family val="1"/>
      </rPr>
      <t xml:space="preserve">    </t>
    </r>
    <r>
      <rPr>
        <b/>
        <sz val="11"/>
        <rFont val="Arial"/>
        <family val="2"/>
      </rPr>
      <t>El código reutilizable debe ser un enfoque</t>
    </r>
    <r>
      <rPr>
        <sz val="11"/>
        <rFont val="Arial"/>
        <family val="2"/>
      </rPr>
      <t>: ¿la reutilización de código pesado es un objetivo o una meta? La reutilización de código reduce la cantidad de esfuerzo necesario para implementar un proyecto. También reduce la cantidad de tiempo necesario para depurar un proyecto. Una función de biblioteca compartida se puede reutilizar varias veces y arreglar el código en un solo lugar puede resolver varios errores. Cuanto mayor sea el nivel de reutilización, menor será el número.</t>
    </r>
  </si>
  <si>
    <r>
      <t>6.   </t>
    </r>
    <r>
      <rPr>
        <b/>
        <sz val="10"/>
        <rFont val="Arial"/>
        <family val="2"/>
      </rPr>
      <t>Facilidad de instalación:</t>
    </r>
    <r>
      <rPr>
        <sz val="10"/>
        <rFont val="Arial"/>
        <family val="2"/>
      </rPr>
      <t xml:space="preserve"> ¿es la facilidad de instalación para los usuarios finales un factor clave? Cuanto mayor sea el nivel de competencia de los usuarios , menor será el número.</t>
    </r>
  </si>
  <si>
    <r>
      <t>7.   </t>
    </r>
    <r>
      <rPr>
        <b/>
        <sz val="10"/>
        <rFont val="Arial"/>
        <family val="2"/>
      </rPr>
      <t>Usabilidad:</t>
    </r>
    <r>
      <rPr>
        <sz val="10"/>
        <rFont val="Arial"/>
        <family val="2"/>
      </rPr>
      <t xml:space="preserve"> ¿Es la facilidad de uso un criterio principal para la aceptación? Cuanto mayor sea la importancia de la usabilidad , mayor será el número.</t>
    </r>
  </si>
  <si>
    <r>
      <t>8.</t>
    </r>
    <r>
      <rPr>
        <sz val="7"/>
        <rFont val="Times New Roman"/>
        <family val="1"/>
      </rPr>
      <t xml:space="preserve">    </t>
    </r>
    <r>
      <rPr>
        <b/>
        <sz val="11"/>
        <rFont val="Arial"/>
        <family val="2"/>
      </rPr>
      <t>Soporte multiplataforma</t>
    </r>
    <r>
      <rPr>
        <sz val="11"/>
        <rFont val="Arial"/>
        <family val="2"/>
      </rPr>
      <t>: ¿Se requiere soporte multiplataforma? Cuantas más plataformas deban ser compatibles (esto podría ser versiones de navegador, dispositivos móviles, etc. o Windows/OSX/Unix), mayor será el valor.</t>
    </r>
  </si>
  <si>
    <r>
      <t>9.</t>
    </r>
    <r>
      <rPr>
        <sz val="7"/>
        <rFont val="Times New Roman"/>
        <family val="1"/>
      </rPr>
      <t xml:space="preserve">    </t>
    </r>
    <r>
      <rPr>
        <b/>
        <sz val="11"/>
        <rFont val="Arial"/>
        <family val="2"/>
      </rPr>
      <t>Fácil de cambiar</t>
    </r>
    <r>
      <rPr>
        <sz val="11"/>
        <rFont val="Arial"/>
        <family val="2"/>
      </rPr>
      <t>: ¿el cliente requiere la capacidad de cambiar o personalizar la aplicación en el futuro? Cuantos más cambios/personalizaciones se requieran en el futuro, mayor será el valor.</t>
    </r>
  </si>
  <si>
    <r>
      <t>10.</t>
    </r>
    <r>
      <rPr>
        <sz val="7"/>
        <rFont val="Times New Roman"/>
        <family val="1"/>
      </rPr>
      <t xml:space="preserve">  </t>
    </r>
    <r>
      <rPr>
        <b/>
        <sz val="11"/>
        <rFont val="Arial"/>
        <family val="2"/>
      </rPr>
      <t>Altamente concurrente</t>
    </r>
    <r>
      <rPr>
        <sz val="11"/>
        <rFont val="Arial"/>
        <family val="2"/>
      </rPr>
      <t>: ¿tendrá que abordar el bloqueo de la base de datos y otros problemas de concurrencia? Cuanta más atención deba dedicar a resolver conflictos en los datos o la aplicación, mayor será el valor.</t>
    </r>
  </si>
  <si>
    <r>
      <t>11.</t>
    </r>
    <r>
      <rPr>
        <sz val="7"/>
        <rFont val="Times New Roman"/>
        <family val="1"/>
      </rPr>
      <t xml:space="preserve">  </t>
    </r>
    <r>
      <rPr>
        <b/>
        <sz val="11"/>
        <rFont val="Arial"/>
        <family val="2"/>
      </rPr>
      <t>Seguridad personalizada</t>
    </r>
    <r>
      <rPr>
        <sz val="11"/>
        <rFont val="Arial"/>
        <family val="2"/>
      </rPr>
      <t>: ¿Se pueden aprovechar las soluciones de seguridad existentes o se debe desarrollar un código personalizado? Cuanto más trabajo de seguridad personalizado tenga que hacer (nivel de campo, nivel de página o seguridad basada en funciones, por ejemplo), mayor será el valor.</t>
    </r>
  </si>
  <si>
    <r>
      <t>12.</t>
    </r>
    <r>
      <rPr>
        <sz val="7"/>
        <rFont val="Times New Roman"/>
        <family val="1"/>
      </rPr>
      <t xml:space="preserve">  </t>
    </r>
    <r>
      <rPr>
        <b/>
        <sz val="11"/>
        <rFont val="Arial"/>
        <family val="2"/>
      </rPr>
      <t>Dependencia del código de terceros</t>
    </r>
    <r>
      <rPr>
        <sz val="11"/>
        <rFont val="Arial"/>
        <family val="2"/>
      </rPr>
      <t>: ¿la aplicación requerirá el uso de controles o bibliotecas de terceros? Al igual que el código reutilizable, el código de terceros puede reducir el esfuerzo necesario para implementar una solución. Cuanto más código de terceros (y más fiable sea el código de terceros), menor será el número.</t>
    </r>
  </si>
  <si>
    <r>
      <t xml:space="preserve">13.  </t>
    </r>
    <r>
      <rPr>
        <b/>
        <sz val="10"/>
        <rFont val="Arial"/>
        <family val="2"/>
      </rPr>
      <t>Capacitación de usuarios</t>
    </r>
    <r>
      <rPr>
        <sz val="10"/>
        <rFont val="Arial"/>
        <family val="2"/>
      </rPr>
      <t>: ¿Cuánta capacitación de usuarios se requiere? ¿La aplicación es compleja o admite actividades complejas? Cuanto más tarden los usuarios en cruzar el umbral de succión (lograr un nivel de dominio del producto), mayor será el valor.</t>
    </r>
  </si>
  <si>
    <t>dias</t>
  </si>
  <si>
    <t>d13</t>
  </si>
  <si>
    <t>4 semanas</t>
  </si>
  <si>
    <t>1 Mes</t>
  </si>
  <si>
    <t>1 Semana</t>
  </si>
  <si>
    <t>1 dia</t>
  </si>
  <si>
    <t>Semanas</t>
  </si>
  <si>
    <t>Dias</t>
  </si>
  <si>
    <t>Horas</t>
  </si>
  <si>
    <t>Implementacion</t>
  </si>
  <si>
    <t>Pruebas</t>
  </si>
  <si>
    <t>d1</t>
  </si>
  <si>
    <t>d2</t>
  </si>
  <si>
    <t>d3</t>
  </si>
  <si>
    <t>d4</t>
  </si>
  <si>
    <t>d5</t>
  </si>
  <si>
    <t>d19</t>
  </si>
  <si>
    <t>d20</t>
  </si>
  <si>
    <t>d15</t>
  </si>
  <si>
    <t>d16</t>
  </si>
  <si>
    <t>d17</t>
  </si>
  <si>
    <t>d18</t>
  </si>
  <si>
    <t>d11</t>
  </si>
  <si>
    <t>d12</t>
  </si>
  <si>
    <t>d14</t>
  </si>
  <si>
    <t>d6</t>
  </si>
  <si>
    <t>d7</t>
  </si>
  <si>
    <t>d8</t>
  </si>
  <si>
    <t>d9</t>
  </si>
  <si>
    <t>d10</t>
  </si>
  <si>
    <t>Jefe de Proyecto (JP)</t>
  </si>
  <si>
    <t>Analista de Negocio (AN)</t>
  </si>
  <si>
    <t>Arquitecto Software (AS)</t>
  </si>
  <si>
    <t>Desarrollador (DES)</t>
  </si>
  <si>
    <t>Asegurador de Calidad (AC)</t>
  </si>
  <si>
    <t>JP</t>
  </si>
  <si>
    <t>AN</t>
  </si>
  <si>
    <t>AS</t>
  </si>
  <si>
    <t>DES</t>
  </si>
  <si>
    <t>AC</t>
  </si>
  <si>
    <t>P</t>
  </si>
  <si>
    <t>I</t>
  </si>
  <si>
    <t>Can. Líneas de código (LOC)</t>
  </si>
  <si>
    <t>E= Constante para complejidad del proyecto, para un proyecto medio es 0,98</t>
  </si>
  <si>
    <t>LOC</t>
  </si>
  <si>
    <t>LOC JAVA EFECTIVAS</t>
  </si>
  <si>
    <t>para programas en Java</t>
  </si>
  <si>
    <t xml:space="preserve">Líneas código = </t>
  </si>
  <si>
    <t>ALCANCE DE PROYECTO</t>
  </si>
  <si>
    <t>Teniendo en cuenta la relación Esfuerzo / Dificultad</t>
  </si>
  <si>
    <t>Categoria</t>
  </si>
  <si>
    <t>Nominal</t>
  </si>
  <si>
    <t>Muy Bajo</t>
  </si>
  <si>
    <t>Bajo</t>
  </si>
  <si>
    <t>Extremadamente Alto</t>
  </si>
  <si>
    <t>Muy Alto</t>
  </si>
  <si>
    <t>Alto</t>
  </si>
  <si>
    <t>Estimacion de Costos</t>
  </si>
  <si>
    <t>Multiplicador Constante</t>
  </si>
  <si>
    <t>Complejidad (Auto)</t>
  </si>
  <si>
    <t>COCOMO II , para calculo de Meses Hombre, a partir de casos de uso y puntos funcionales, según la metodología o Métrica.</t>
  </si>
  <si>
    <t xml:space="preserve"> </t>
  </si>
  <si>
    <t>Multiplicador (fijo)</t>
  </si>
  <si>
    <t>T_Costo mes (miles)</t>
  </si>
  <si>
    <t>Costo_Parcial (miles)</t>
  </si>
  <si>
    <t>T_C</t>
  </si>
  <si>
    <t>Numero de Elementos Funcionales (Auto)</t>
  </si>
  <si>
    <t>MEDIDA DE TAMAÑO FUNCIONAL</t>
  </si>
  <si>
    <t>Nivel</t>
  </si>
  <si>
    <t>Clasificación</t>
  </si>
  <si>
    <t>TOTAL Tamaño Funcional</t>
  </si>
  <si>
    <t>Proceso funcional con hasta 3 operaciones lógicas, máximo 2 reglas de negocio, sin integraciones externas y manejo de 1 entidad de datos principal.</t>
  </si>
  <si>
    <t>Proceso funcional con 4 a 7 operaciones lógicas o hasta 5 reglas de negocio, o conexión con 1 sistema externo, y manejo de 2 a 3 entidades de datos.</t>
  </si>
  <si>
    <t>Proceso funcional con 8 a 15 operaciones lógicas o hasta 10 reglas de negocio, o conexión con 2 a 3 sistemas externos, y manejo de 4 a 6 entidades de datos.</t>
  </si>
  <si>
    <t>Proceso funcional con más de 15 operaciones lógicas o más de 10 reglas de negocio, o conexión con 4 o más sistemas externos, o procesamiento masivo/crítico de información.</t>
  </si>
  <si>
    <t>Elementos Funcionales</t>
  </si>
  <si>
    <t>Categoría (Sel)</t>
  </si>
  <si>
    <t>Nombre del Elemento Funcional</t>
  </si>
  <si>
    <t>Registro</t>
  </si>
  <si>
    <t>Reporte</t>
  </si>
  <si>
    <t>Seguridad</t>
  </si>
  <si>
    <t>Descripción Funcional</t>
  </si>
  <si>
    <t>Cuándo se Usa</t>
  </si>
  <si>
    <t>Palabras Clave Asociadas</t>
  </si>
  <si>
    <t>Ejemplos</t>
  </si>
  <si>
    <t>Impacto en Esfuerzo</t>
  </si>
  <si>
    <t>Funcionalidad orientada al ingreso, modificación, configuración o parametrización de datos del sistema.</t>
  </si>
  <si>
    <t>Configuración del sistema, parametrización del negocio, carga de información.</t>
  </si>
  <si>
    <t>Configurar, Definir, Parametrizar, Registrar, Crear catálogo, Cargar datos, Asociar</t>
  </si>
  <si>
    <t>Configurar variables, Definir requisitos, Parametrizar modelos, Cargar información</t>
  </si>
  <si>
    <t>Bajo a Medio</t>
  </si>
  <si>
    <t>Consulta</t>
  </si>
  <si>
    <t>Funcionalidad orientada a la visualización o consulta de información sin modificar datos.</t>
  </si>
  <si>
    <t>Visualización de datos, búsqueda, filtros, revisión histórica.</t>
  </si>
  <si>
    <t>Consultar, Ver, Buscar, Visualizar, Listar, Mostrar</t>
  </si>
  <si>
    <t>Consultar estado de crédito, Ver historial, Buscar beneficiarios</t>
  </si>
  <si>
    <t>Funcionalidad que ejecuta lógica de negocio, cálculos, validaciones o evaluaciones automáticas.</t>
  </si>
  <si>
    <t>Cálculos, validaciones, evaluación de reglas, análisis de datos.</t>
  </si>
  <si>
    <t>Evaluar, Calcular, Validar, Procesar, Ejecutar, Analizar, Determinar, Estimar</t>
  </si>
  <si>
    <t>Calcular puntaje, Evaluar requisitos, Estimar financiamiento</t>
  </si>
  <si>
    <t>Medio a Alto</t>
  </si>
  <si>
    <t>Funcionalidad que genera salidas estructuradas o documentos formales del sistema.</t>
  </si>
  <si>
    <t>Generación de reportes, exportaciones, publicación de resultados.</t>
  </si>
  <si>
    <t>Generar reporte, Exportar, Publicar resultados, Descargar archivo, Emitir documento</t>
  </si>
  <si>
    <t>Reporte PDF, Exportar Excel, Publicar resultados comité</t>
  </si>
  <si>
    <t>Medio</t>
  </si>
  <si>
    <t>Integración</t>
  </si>
  <si>
    <t>Funcionalidad que permite comunicación automática con sistemas externos.</t>
  </si>
  <si>
    <t>Conexión con APIs, servicios externos, plataformas externas.</t>
  </si>
  <si>
    <t>Integrar, Sincronizar, Consumir API, Enviar a sistema externo, Conectar, Intercambiar datos</t>
  </si>
  <si>
    <t>Consulta API externa, Enviar datos a sistema externo</t>
  </si>
  <si>
    <t>Funcionalidad relacionada con control, auditoría, autenticación o trazabilidad del sistema.</t>
  </si>
  <si>
    <t>Control de accesos, auditoría, firma digital, trazabilidad.</t>
  </si>
  <si>
    <t>Auditoría, Firma electrónica, Control acceso, Validar identidad, Trazabilidad, Autenticación</t>
  </si>
  <si>
    <t>Firma electrónica, Log auditoría, Listas de control</t>
  </si>
  <si>
    <t>CLASIFICACIÓN DE ELEMENTOS FUNCIONALES</t>
  </si>
  <si>
    <t>Regla Práctica LOC por Tipo Funcional</t>
  </si>
  <si>
    <t>Tipo Funcional</t>
  </si>
  <si>
    <t>LOC Promedio</t>
  </si>
  <si>
    <t>Qué Incluye</t>
  </si>
  <si>
    <t>Formulario + validaciones + BD</t>
  </si>
  <si>
    <t>Reglas + cálculos + lógica</t>
  </si>
  <si>
    <t>Control acceso + auditoría + cifrado</t>
  </si>
  <si>
    <t>Rango LOC</t>
  </si>
  <si>
    <t>Nº Funcionalidades Aproximadas</t>
  </si>
  <si>
    <t>Muy Pequeño</t>
  </si>
  <si>
    <t>5 – 15</t>
  </si>
  <si>
    <t>Pequeño</t>
  </si>
  <si>
    <t>15 – 40</t>
  </si>
  <si>
    <t>Mediano</t>
  </si>
  <si>
    <t>40 – 100</t>
  </si>
  <si>
    <t>Grande</t>
  </si>
  <si>
    <t>100 – 300</t>
  </si>
  <si>
    <t>Muy Grande</t>
  </si>
  <si>
    <t>300+</t>
  </si>
  <si>
    <t>Tamaño General del Software basado en LOC</t>
  </si>
  <si>
    <t>Fórmula Conceptual de Estimación</t>
  </si>
  <si>
    <t>Contar funcionalidades</t>
  </si>
  <si>
    <t>LOC Promedio (min-max)</t>
  </si>
  <si>
    <t>1K</t>
  </si>
  <si>
    <t>5K</t>
  </si>
  <si>
    <t>15K</t>
  </si>
  <si>
    <t>40K</t>
  </si>
  <si>
    <t>120K</t>
  </si>
  <si>
    <t>500K+</t>
  </si>
  <si>
    <t>El LOC promedio es el valor representativo dentro del rango LOC de cada tipo funcional.</t>
  </si>
  <si>
    <t xml:space="preserve">LOC </t>
  </si>
  <si>
    <t>TOTAL LOC</t>
  </si>
  <si>
    <t>Tamaño funcional estándar</t>
  </si>
  <si>
    <t>Numero de Elementos Funcionales</t>
  </si>
  <si>
    <t>PM (total persona, mes)=</t>
  </si>
  <si>
    <t>El costo total aproximado del desarrollo del software, calculado usando el esfuerzo estimado en PM y el costo por hora de trabajo.</t>
  </si>
  <si>
    <t>Costo Real</t>
  </si>
  <si>
    <t>Valor estimado (referencia técnica)</t>
  </si>
  <si>
    <t>Unificación de Costos y Esfuerzo por Perfil</t>
  </si>
  <si>
    <t>Jefe de Proyecto (JP):</t>
  </si>
  <si>
    <t>Analista de Negocio (AN):</t>
  </si>
  <si>
    <t>Arquitecto de Software (AS):</t>
  </si>
  <si>
    <t>Desarrollador (DES):</t>
  </si>
  <si>
    <t>Asegurador de Calidad (AC):</t>
  </si>
  <si>
    <t>Conclusión:</t>
  </si>
  <si>
    <t>Conclusión Técnico-Financiera: El Escenario de Déficit</t>
  </si>
  <si>
    <t>Cuando el Costo Real sobrepasa el Valor Estimado, el proyecto deja de ser una inversión y se convierte en una pérdida económica para la organización:</t>
  </si>
  <si>
    <t>Pérdida de la Utilidad: El margen de ganancia que la empresa esperaba obtener desaparece, ya que se está gastando más en pagar sueldos (Costo_Parcial) de lo que el modelo técnico (COCOMO II) sugería como razonable para el tamaño del software.</t>
  </si>
  <si>
    <t>Error en la Productividad: Técnico-económicamente, esto indica que el equipo está siendo menos eficiente de lo esperado; es decir, están cobrando su T_Costo mes completo pero avanzando menos de lo que los veintidós elementos funcionales requieren.</t>
  </si>
  <si>
    <t>Inviabilidad del Contrato: Si se le cobró al cliente basándose en el Valor Estimado, la empresa ahora debe poner dinero de su propio bolsillo para terminar el desarrollo, lo que compromete la sostenibilidad del negocio.</t>
  </si>
  <si>
    <t>Extensión de Fases: Un Costo Real elevado es la prueba matemática de que las fases de Diseño, Construcción o Pruebas duraron más días de los planificados inicialmente en el cronograma de veinte días.</t>
  </si>
  <si>
    <t>Lección final para el alumno: Superar el valor estimado es el "semáforo rojo" de la ingeniería de software. Indica que el Cronograma ya no es una herramienta de guía, sino un generador de gastos imprevistos. El ingeniero debe entonces decidir si detiene el proyecto, reduce el alcance o renegocia con el cliente para cubrir el nuevo Costo Real.</t>
  </si>
  <si>
    <t>Quiebre del Presupuesto: Significa que el costo parcial fue una mala estimación y que la suma de los días trabajados en el Cronograma ha crecido tanto que el costo de la planilla superó el valor estimado proyectado.</t>
  </si>
  <si>
    <t>Aplicación de numero de elementos funcionales para crear estimaciones de costos de software confiables. Lo que hace que los elementos funcionales sean diferentes es que permiten que la estimación del costo del proyecto ocurra mucho antes en el proceso. Esta técnica de estimación de costos fue desarrollada por Gustav Karner para Rational Software Corporation</t>
  </si>
  <si>
    <t>Al aplicar cualquier técnica general de estimación de costos, debe tener en cuenta muchas variables. Cada proyecto de software es diferente, y si no tiene en cuenta esas diferencias, su estimación no será confiable. En el método de  elementos funcionales hay 13 factores que deben ser considerados. No todos los factores tienen el mismo impacto potencial en la estimación de costos de un proyecto, por lo que cada factor tiene un multiplicador que representa los pesos relativos de los factores.</t>
  </si>
  <si>
    <r>
      <t>Aquí están los 13 factores técnicos de estimación de elementos funcionales. Cada factor se enumera como Nombre (multiplicador) – Descripción. Para cada factor, asignará una </t>
    </r>
    <r>
      <rPr>
        <i/>
        <sz val="12"/>
        <color rgb="FF000000"/>
        <rFont val="Arial"/>
        <family val="2"/>
      </rPr>
      <t>magnitud relativa</t>
    </r>
    <r>
      <rPr>
        <sz val="12"/>
        <color rgb="FF000000"/>
        <rFont val="Arial"/>
        <family val="2"/>
      </rPr>
      <t> de 0 (irrelevante) a 5 (críticamente importante).</t>
    </r>
  </si>
  <si>
    <t>¿Es posible aprovechar soluciones de seguridad existentes o es necesario desarrollar código personalizado? Tradicionalmente, incorporar mecanismos de seguridad se ha asociado con un incremento del trabajo y la complejidad del desarrollo.</t>
  </si>
  <si>
    <t>Magnitud</t>
  </si>
  <si>
    <t>Categoría</t>
  </si>
  <si>
    <t>Criterio de selección</t>
  </si>
  <si>
    <t>La característica tiene presencia o exigencia mínima.</t>
  </si>
  <si>
    <t>La característica tiene poca presencia o exigencia.</t>
  </si>
  <si>
    <t>La característica presenta un nivel normal o esperado.</t>
  </si>
  <si>
    <t>La característica presenta una presencia o exigencia importante.</t>
  </si>
  <si>
    <t>La característica presenta una presencia o exigencia considerable.</t>
  </si>
  <si>
    <t>La característica presenta una presencia o exigencia excepcional.</t>
  </si>
  <si>
    <t>X</t>
  </si>
  <si>
    <t>Búsqueda + filtros + visualización</t>
  </si>
  <si>
    <t>Integracion</t>
  </si>
  <si>
    <t>Comunicación + intercambio de datos + APIs/servicios</t>
  </si>
  <si>
    <t>Consultas + formato + exportación + generacion de documento</t>
  </si>
  <si>
    <r>
      <t xml:space="preserve">Insumo (T_Costo mes): </t>
    </r>
    <r>
      <rPr>
        <sz val="10"/>
        <rFont val="Arial"/>
        <family val="2"/>
      </rPr>
      <t>Tiene un valor de mercado de S/. 4,140.78 por un mes completo.</t>
    </r>
  </si>
  <si>
    <r>
      <t xml:space="preserve">Ejecución (Costo_Parcial): </t>
    </r>
    <r>
      <rPr>
        <sz val="10"/>
        <rFont val="Arial"/>
        <family val="2"/>
      </rPr>
      <t>Debido a que el cronograma solo le asigna 4 días de labor (interviniendo 1 día en cada fase: Diseño, Construcción, Pruebas e Implementación), su esfuerzo es de 0.20 meses.</t>
    </r>
  </si>
  <si>
    <r>
      <t>Conclusión:</t>
    </r>
    <r>
      <rPr>
        <sz val="10"/>
        <rFont val="Arial"/>
        <family val="2"/>
      </rPr>
      <t xml:space="preserve"> Se termina pagando S/. 828.16, lo que demuestra que su costo se distribuye equitativamente de forma puntual a lo largo de todo el ciclo de vida del software para labores de supervisión y control.</t>
    </r>
  </si>
  <si>
    <r>
      <t>Insumo (T_Costo mes):</t>
    </r>
    <r>
      <rPr>
        <sz val="10"/>
        <rFont val="Arial"/>
        <family val="2"/>
      </rPr>
      <t xml:space="preserve"> Su tarifa base es de S/. 5,175.98 mensuales.</t>
    </r>
  </si>
  <si>
    <r>
      <t>Ejecución (Costo_Parcial):</t>
    </r>
    <r>
      <rPr>
        <sz val="10"/>
        <rFont val="Arial"/>
        <family val="2"/>
      </rPr>
      <t xml:space="preserve"> El cronograma le asigna 5 días de trabajo, con mayor peso al inicio (2 días en Diseño) y participaciones puntuales en el resto de fases, sumando 0.25 meses.</t>
    </r>
  </si>
  <si>
    <r>
      <t xml:space="preserve">Conclusión: </t>
    </r>
    <r>
      <rPr>
        <sz val="10"/>
        <rFont val="Arial"/>
        <family val="2"/>
      </rPr>
      <t>Su costo final es de S/. 1,293.99, evidenciando que es un recurso clave al principio para definir las reglas del sistema y al final para validar la aceptación del producto</t>
    </r>
    <r>
      <rPr>
        <b/>
        <sz val="10"/>
        <rFont val="Arial"/>
        <family val="2"/>
      </rPr>
      <t>.</t>
    </r>
  </si>
  <si>
    <r>
      <t>Insumo (T_Costo mes):</t>
    </r>
    <r>
      <rPr>
        <sz val="10"/>
        <rFont val="Arial"/>
        <family val="2"/>
      </rPr>
      <t xml:space="preserve"> Posee una valoración mensual de S/. 6,211.17.</t>
    </r>
  </si>
  <si>
    <r>
      <t xml:space="preserve">Ejecución (Costo_Parcial): </t>
    </r>
    <r>
      <rPr>
        <sz val="10"/>
        <rFont val="Arial"/>
        <family val="2"/>
      </rPr>
      <t>Se le asignan 6 días de trabajo, concentrados fuertemente al inicio (3 días de Diseño para definir la base de datos y arquitectura) y al final (2 días de Implementación para el despliegue en servidores), equivalentes a 0.30 meses.</t>
    </r>
  </si>
  <si>
    <r>
      <t xml:space="preserve">Conclusión: </t>
    </r>
    <r>
      <rPr>
        <sz val="10"/>
        <rFont val="Arial"/>
        <family val="2"/>
      </rPr>
      <t>El proyecto devenga S/. 1,863.35 por su labor, resaltando que la definición técnica inicial y la configuración de los servidores en producción son vitales.</t>
    </r>
  </si>
  <si>
    <r>
      <t xml:space="preserve">Insumo (T_Costo mes): </t>
    </r>
    <r>
      <rPr>
        <sz val="10"/>
        <rFont val="Arial"/>
        <family val="2"/>
      </rPr>
      <t>Es el perfil con mayor sueldo base, ascendiendo a S/. 11,387.15 por mes.</t>
    </r>
  </si>
  <si>
    <r>
      <t>Ejecución (Costo_Parcial):</t>
    </r>
    <r>
      <rPr>
        <sz val="10"/>
        <rFont val="Arial"/>
        <family val="2"/>
      </rPr>
      <t xml:space="preserve"> Es quien más tiempo trabaja en el cronograma con 11 días de intervención (destacando 7 días ininterrumpidos en Construcción), sumando 0.55 meses.</t>
    </r>
  </si>
  <si>
    <r>
      <t xml:space="preserve">Conclusión: </t>
    </r>
    <r>
      <rPr>
        <sz val="10"/>
        <rFont val="Arial"/>
        <family val="2"/>
      </rPr>
      <t>Representa el gasto más fuerte del proyecto con S/. 6,262.93, reafirmando que la fase de codificación pura es el núcleo del proyecto y la etapa que consume mayor esfuerzo.</t>
    </r>
  </si>
  <si>
    <r>
      <t>Insumo (T_Costo mes):</t>
    </r>
    <r>
      <rPr>
        <sz val="10"/>
        <rFont val="Arial"/>
        <family val="2"/>
      </rPr>
      <t xml:space="preserve"> Su base mensual está valorizada en S/. 7,246.37.</t>
    </r>
  </si>
  <si>
    <r>
      <t xml:space="preserve">Ejecución (Costo_Parcial): </t>
    </r>
    <r>
      <rPr>
        <sz val="10"/>
        <rFont val="Arial"/>
        <family val="2"/>
      </rPr>
      <t>Según el cronograma, interviene 7 días en total. Empieza tempranamente con 1 día en Diseño (para preparar planes de prueba), tiene su mayor carga con 5 días en Pruebas, y 1 día de verificación final en Implementación, lo que representa 0.35 meses de esfuerzo.</t>
    </r>
  </si>
  <si>
    <r>
      <t>Conclusión:</t>
    </r>
    <r>
      <rPr>
        <sz val="10"/>
        <rFont val="Arial"/>
        <family val="2"/>
      </rPr>
      <t xml:space="preserve"> Genera un costo parcial de S/. 2,536.23, demostrando una asignación estratégica para realizar pruebas tempranas y una validación exhaustiva (QA) antes del lanzamiento en vivo.</t>
    </r>
  </si>
  <si>
    <t>Se debe cobrar el Costo Parcial Total (S/. 12,784.66) más un margen de utilidad y gastos operativos, tomando como referencia de validación los S/. 20,703.90 que estimó el modelo COCOMO II. Si el precio final con ganancia se acerca a la cifra de COCOMO II, la propuesta económica es técnicamente sólida y competitiva.</t>
  </si>
  <si>
    <t>Proyecto 'RUTAS MTC' · RT-2026-001 — Sistema Web de Rutas Turísticas Peatonales desde Estaciones Ferroviarias</t>
  </si>
  <si>
    <t>CU-RT-001  CONSULTAR CATÁLOGO PÚBLICO DE ESTACIONES (RF01)</t>
  </si>
  <si>
    <t>CU-RT-002  CONSULTAR ZONAS TURÍSTICAS POR ESTACIÓN (RF02)</t>
  </si>
  <si>
    <t>CU-RT-003  REGISTRAR PREFERENCIAS TURÍSTICAS (RF03)</t>
  </si>
  <si>
    <t>CU-RT-004  SELECCIONAR ESTACIÓN DE PARTIDA (RF04)</t>
  </si>
  <si>
    <t>CU-RT-005  LISTAR ALTERNATIVAS COMPATIBLES (RF05)</t>
  </si>
  <si>
    <t>CU-RT-006  CALCULAR LA RUTA PEATONAL DE IDA Y VUELTA (RF06)</t>
  </si>
  <si>
    <t>CU-RT-007  CONSULTAR EL PRONÓSTICO CLIMÁTICO (RF07)</t>
  </si>
  <si>
    <t>CU-RT-008  SINCRONIZAR AUTOMÁTICAMENTE EL CLIMA (RF08)</t>
  </si>
  <si>
    <t>CU-RT-009  GENERAR EL INFORME TURÍSTICO CONSOLIDADO (RF09)</t>
  </si>
  <si>
    <t>CU-RT-010  RECUPERAR UN INFORME POR SU CÓDIGO (RF10)</t>
  </si>
  <si>
    <t>CU-RT-011  AUTENTICAR A LOS OPERADORES DEL PANEL (RF11)</t>
  </si>
  <si>
    <t>CU-RT-012  CONTROLAR EL ACCESO POR ROL (RF12)</t>
  </si>
  <si>
    <t>CU-RT-013  ADMINISTRAR ESTACIONES FERROVIARIAS (RF13)</t>
  </si>
  <si>
    <t>CU-RT-014  ADMINISTRAR SERVICIOS, HORARIOS Y TARIFAS (RF14)</t>
  </si>
  <si>
    <t>CU-RT-015  ADMINISTRAR ZONAS TURÍSTICAS E HITOS (RF15)</t>
  </si>
  <si>
    <t>CU-RT-016  CONSULTAR ESTACIONES EN SOLO LECTURA (RF16)</t>
  </si>
  <si>
    <t>CU-RT-017  PUBLICAR O RETIRAR CONTENIDO PÚBLICO (RF17)</t>
  </si>
  <si>
    <t>CU-RT-018  DAR DE BAJA Y REACTIVAR LÓGICAMENTE (RF18)</t>
  </si>
  <si>
    <t>CU-RT-019  VALIDAR LOS DATOS DE ENTRADA (RF19)</t>
  </si>
  <si>
    <t>CU-RT-020  CARGAR IMÁGENES DE ESTACIONES Y ZONAS (RF20)</t>
  </si>
  <si>
    <t>CU-RT-021  VISUALIZAR LA RUTA SOBRE UN MAPA (RF21)</t>
  </si>
  <si>
    <t>CU-RT-022  EXPORTAR EL INFORME A PDF (RF22)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</si>
</sst>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quot;S/.&quot;\ #,##0.00;&quot;S/.&quot;\ \-#,##0.00"/>
    <numFmt numFmtId="166" formatCode="_ * #,##0.00_ ;_ * \-#,##0.00_ ;_ * &quot;-&quot;??_ ;_ @_ "/>
    <numFmt numFmtId="167" formatCode="_-* #,##0.00\ _€_-;\-* #,##0.00\ _€_-;_-* &quot;-&quot;??\ _€_-;_-@_-"/>
    <numFmt numFmtId="168" formatCode="#,##0.0"/>
    <numFmt numFmtId="169" formatCode="_([$$-240A]\ * #,##0.00_);_([$$-240A]\ * \(#,##0.00\);_([$$-240A]\ * &quot;-&quot;??_);_(@_)"/>
    <numFmt numFmtId="170" formatCode="0.000"/>
    <numFmt numFmtId="171" formatCode="_-[$$-240A]\ * #,##0.00_ ;_-[$$-240A]\ * \-#,##0.00\ ;_-[$$-240A]\ * &quot;-&quot;??_ ;_-@_ "/>
    <numFmt numFmtId="172" formatCode="_ [$S/.-280A]\ * #,##0.00_ ;_ [$S/.-280A]\ * \-#,##0.00_ ;_ [$S/.-280A]\ * &quot;-&quot;??_ ;_ @_ "/>
    <numFmt numFmtId="173" formatCode="[$S/.-280A]\ #,##0.00;[$S/.-280A]\ \-#,##0.00"/>
    <numFmt numFmtId="174" formatCode="&quot;S/.&quot;\ #,##0.00"/>
  </numFmts>
  <fonts count="45" x14ac:knownFonts="1">
    <font>
      <sz val="10"/>
      <name val="Arial"/>
    </font>
    <font>
      <sz val="10"/>
      <name val="Arial"/>
      <family val="2"/>
    </font>
    <font>
      <sz val="8"/>
      <name val="Arial"/>
      <family val="2"/>
    </font>
    <font>
      <u/>
      <sz val="10"/>
      <color indexed="12"/>
      <name val="Arial"/>
      <family val="2"/>
    </font>
    <font>
      <sz val="10"/>
      <name val="Arial"/>
      <family val="2"/>
    </font>
    <font>
      <sz val="8"/>
      <name val="Arial"/>
      <family val="2"/>
    </font>
    <font>
      <b/>
      <sz val="8"/>
      <name val="Arial"/>
      <family val="2"/>
    </font>
    <font>
      <b/>
      <sz val="10"/>
      <name val="Arial"/>
      <family val="2"/>
    </font>
    <font>
      <sz val="8"/>
      <name val="Verdana"/>
      <family val="2"/>
    </font>
    <font>
      <sz val="9"/>
      <name val="Arial"/>
      <family val="2"/>
    </font>
    <font>
      <b/>
      <sz val="9"/>
      <name val="Arial"/>
      <family val="2"/>
    </font>
    <font>
      <b/>
      <sz val="7"/>
      <name val="Arial"/>
      <family val="2"/>
    </font>
    <font>
      <b/>
      <sz val="12"/>
      <name val="Arial"/>
      <family val="2"/>
    </font>
    <font>
      <b/>
      <sz val="11"/>
      <color indexed="9"/>
      <name val="Calibri"/>
      <family val="2"/>
    </font>
    <font>
      <b/>
      <sz val="12"/>
      <color indexed="9"/>
      <name val="Calibri"/>
      <family val="2"/>
    </font>
    <font>
      <b/>
      <sz val="14"/>
      <color indexed="9"/>
      <name val="Calibri"/>
      <family val="2"/>
    </font>
    <font>
      <sz val="8"/>
      <color indexed="10"/>
      <name val="Arial"/>
      <family val="2"/>
    </font>
    <font>
      <b/>
      <sz val="9"/>
      <color indexed="10"/>
      <name val="Arial"/>
      <family val="2"/>
    </font>
    <font>
      <sz val="10"/>
      <color indexed="10"/>
      <name val="Arial"/>
      <family val="2"/>
    </font>
    <font>
      <sz val="8"/>
      <color indexed="8"/>
      <name val="Arial"/>
      <family val="2"/>
    </font>
    <font>
      <sz val="8"/>
      <name val="Arial"/>
      <family val="2"/>
    </font>
    <font>
      <sz val="11"/>
      <color theme="0"/>
      <name val="Calibri"/>
      <family val="2"/>
      <scheme val="minor"/>
    </font>
    <font>
      <b/>
      <sz val="10"/>
      <color theme="0"/>
      <name val="Arial"/>
      <family val="2"/>
    </font>
    <font>
      <sz val="12"/>
      <color rgb="FF000000"/>
      <name val="Arial"/>
      <family val="2"/>
    </font>
    <font>
      <b/>
      <sz val="12"/>
      <color rgb="FF000000"/>
      <name val="Arial"/>
      <family val="2"/>
    </font>
    <font>
      <i/>
      <sz val="12"/>
      <color rgb="FF000000"/>
      <name val="Arial"/>
      <family val="2"/>
    </font>
    <font>
      <sz val="11"/>
      <color rgb="FF000000"/>
      <name val="Arial"/>
      <family val="2"/>
    </font>
    <font>
      <sz val="7"/>
      <color rgb="FF000000"/>
      <name val="Times New Roman"/>
      <family val="1"/>
    </font>
    <font>
      <b/>
      <sz val="11"/>
      <color rgb="FF000000"/>
      <name val="Arial"/>
      <family val="2"/>
    </font>
    <font>
      <sz val="11"/>
      <name val="Arial"/>
      <family val="2"/>
    </font>
    <font>
      <sz val="7"/>
      <name val="Times New Roman"/>
      <family val="1"/>
    </font>
    <font>
      <b/>
      <sz val="11"/>
      <name val="Arial"/>
      <family val="2"/>
    </font>
    <font>
      <sz val="9"/>
      <color indexed="81"/>
      <name val="Tahoma"/>
      <family val="2"/>
    </font>
    <font>
      <b/>
      <sz val="9"/>
      <color indexed="81"/>
      <name val="Tahoma"/>
      <family val="2"/>
    </font>
    <font>
      <b/>
      <sz val="8"/>
      <color rgb="FFFF0000"/>
      <name val="Arial"/>
      <family val="2"/>
    </font>
    <font>
      <b/>
      <sz val="14"/>
      <name val="Arial"/>
      <family val="2"/>
    </font>
    <font>
      <b/>
      <sz val="9"/>
      <color indexed="16"/>
      <name val="Arial"/>
      <family val="2"/>
    </font>
    <font>
      <b/>
      <sz val="9"/>
      <color theme="0"/>
      <name val="Arial"/>
      <family val="2"/>
    </font>
    <font>
      <b/>
      <sz val="18"/>
      <name val="Arial"/>
      <family val="2"/>
    </font>
    <font>
      <b/>
      <sz val="24"/>
      <name val="Arial"/>
      <family val="2"/>
    </font>
    <font>
      <b/>
      <sz val="13.5"/>
      <name val="Arial"/>
      <family val="2"/>
    </font>
    <font>
      <sz val="10"/>
      <color theme="3"/>
      <name val="Arial"/>
      <family val="2"/>
    </font>
    <font>
      <b/>
      <sz val="13.5"/>
      <color rgb="FFFF0000"/>
      <name val="Arial"/>
      <family val="2"/>
    </font>
    <font>
      <sz val="10"/>
      <color rgb="FFFF0000"/>
      <name val="Arial"/>
      <family val="2"/>
    </font>
    <font>
      <b/>
      <sz val="10"/>
      <name val="Arial"/>
      <family val="2"/>
    </font>
  </fonts>
  <fills count="2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13"/>
        <bgColor indexed="64"/>
      </patternFill>
    </fill>
    <fill>
      <patternFill patternType="solid">
        <fgColor indexed="10"/>
        <bgColor indexed="64"/>
      </patternFill>
    </fill>
    <fill>
      <patternFill patternType="solid">
        <fgColor theme="5"/>
      </patternFill>
    </fill>
    <fill>
      <patternFill patternType="solid">
        <fgColor rgb="FF002060"/>
        <bgColor indexed="64"/>
      </patternFill>
    </fill>
    <fill>
      <patternFill patternType="solid">
        <fgColor theme="4" tint="0.39997558519241921"/>
        <bgColor indexed="64"/>
      </patternFill>
    </fill>
    <fill>
      <patternFill patternType="solid">
        <fgColor theme="0"/>
        <bgColor indexed="64"/>
      </patternFill>
    </fill>
    <fill>
      <patternFill patternType="solid">
        <fgColor theme="4"/>
        <bgColor indexed="64"/>
      </patternFill>
    </fill>
    <fill>
      <patternFill patternType="solid">
        <fgColor theme="6" tint="-0.249977111117893"/>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theme="1" tint="0.499984740745262"/>
      </left>
      <right style="thin">
        <color theme="1" tint="0.499984740745262"/>
      </right>
      <top style="thin">
        <color theme="1" tint="0.499984740745262"/>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1" tint="0.499984740745262"/>
      </left>
      <right/>
      <top style="thin">
        <color theme="1" tint="0.499984740745262"/>
      </top>
      <bottom style="thin">
        <color indexed="64"/>
      </bottom>
      <diagonal/>
    </border>
    <border>
      <left/>
      <right style="thin">
        <color theme="1" tint="0.499984740745262"/>
      </right>
      <top style="thin">
        <color theme="1" tint="0.499984740745262"/>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xf numFmtId="0" fontId="21" fillId="6" borderId="0" applyNumberFormat="0" applyBorder="0" applyAlignment="0" applyProtection="0"/>
    <xf numFmtId="0" fontId="3" fillId="0" borderId="0" applyNumberFormat="0" applyFill="0" applyBorder="0" applyAlignment="0" applyProtection="0">
      <alignment vertical="top"/>
      <protection locked="0"/>
    </xf>
    <xf numFmtId="167" fontId="1" fillId="0" borderId="0" applyFont="0" applyFill="0" applyBorder="0" applyAlignment="0" applyProtection="0"/>
    <xf numFmtId="164" fontId="1" fillId="0" borderId="0" applyFont="0" applyFill="0" applyBorder="0" applyAlignment="0" applyProtection="0"/>
  </cellStyleXfs>
  <cellXfs count="205">
    <xf numFmtId="0" fontId="0" fillId="0" borderId="0" xfId="0"/>
    <xf numFmtId="0" fontId="5" fillId="0" borderId="0" xfId="0" applyFont="1" applyAlignment="1">
      <alignment vertical="top" wrapText="1"/>
    </xf>
    <xf numFmtId="0" fontId="5" fillId="0" borderId="0" xfId="0" applyFont="1" applyAlignment="1">
      <alignment vertical="top"/>
    </xf>
    <xf numFmtId="0" fontId="6" fillId="0" borderId="0" xfId="0" applyFont="1"/>
    <xf numFmtId="2" fontId="6" fillId="0" borderId="0" xfId="0" applyNumberFormat="1" applyFont="1"/>
    <xf numFmtId="3" fontId="8" fillId="0" borderId="0" xfId="0" applyNumberFormat="1" applyFont="1" applyAlignment="1">
      <alignment vertical="center"/>
    </xf>
    <xf numFmtId="0" fontId="0" fillId="0" borderId="0" xfId="0" applyAlignment="1">
      <alignment vertical="top"/>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vertical="center"/>
    </xf>
    <xf numFmtId="0" fontId="6" fillId="2" borderId="1" xfId="0" applyFont="1" applyFill="1" applyBorder="1" applyAlignment="1">
      <alignment horizontal="center" vertical="center" wrapText="1"/>
    </xf>
    <xf numFmtId="0" fontId="6" fillId="0" borderId="1" xfId="0" applyFont="1" applyBorder="1" applyAlignment="1">
      <alignment horizontal="center" vertical="top" wrapText="1"/>
    </xf>
    <xf numFmtId="0" fontId="2" fillId="0" borderId="1" xfId="0" applyFont="1" applyBorder="1" applyAlignment="1">
      <alignment horizontal="center" vertical="top"/>
    </xf>
    <xf numFmtId="0" fontId="2" fillId="0" borderId="1" xfId="0" applyFont="1" applyBorder="1" applyAlignment="1">
      <alignment wrapText="1"/>
    </xf>
    <xf numFmtId="0" fontId="6" fillId="2" borderId="1" xfId="0" applyFont="1" applyFill="1" applyBorder="1" applyAlignment="1">
      <alignment vertical="top" wrapText="1"/>
    </xf>
    <xf numFmtId="0" fontId="0" fillId="0" borderId="0" xfId="0" applyAlignment="1">
      <alignment wrapText="1"/>
    </xf>
    <xf numFmtId="0" fontId="5" fillId="0" borderId="0" xfId="0" applyFont="1" applyAlignment="1">
      <alignment wrapText="1"/>
    </xf>
    <xf numFmtId="0" fontId="6" fillId="0" borderId="0" xfId="0" applyFont="1" applyAlignment="1">
      <alignment vertical="top" wrapText="1"/>
    </xf>
    <xf numFmtId="0" fontId="2" fillId="0" borderId="0" xfId="0" applyFont="1" applyAlignment="1">
      <alignment vertical="top"/>
    </xf>
    <xf numFmtId="0" fontId="6" fillId="0" borderId="0" xfId="0" applyFont="1" applyAlignment="1">
      <alignment horizontal="right"/>
    </xf>
    <xf numFmtId="0" fontId="6" fillId="0" borderId="0" xfId="0" applyFont="1" applyAlignment="1">
      <alignment wrapText="1"/>
    </xf>
    <xf numFmtId="3" fontId="6" fillId="0" borderId="0" xfId="0" applyNumberFormat="1" applyFont="1" applyAlignment="1">
      <alignment horizontal="right" wrapText="1"/>
    </xf>
    <xf numFmtId="0" fontId="8" fillId="0" borderId="0" xfId="0" applyFont="1"/>
    <xf numFmtId="0" fontId="6" fillId="0" borderId="0" xfId="0" applyFont="1" applyAlignment="1">
      <alignment horizontal="center" vertical="top" wrapText="1"/>
    </xf>
    <xf numFmtId="0" fontId="2" fillId="0" borderId="0" xfId="0" applyFont="1" applyAlignment="1">
      <alignment horizontal="right"/>
    </xf>
    <xf numFmtId="3" fontId="2" fillId="0" borderId="0" xfId="0" applyNumberFormat="1" applyFont="1" applyAlignment="1">
      <alignment horizontal="right" wrapText="1"/>
    </xf>
    <xf numFmtId="3" fontId="8" fillId="0" borderId="0" xfId="0" applyNumberFormat="1" applyFont="1"/>
    <xf numFmtId="168" fontId="8" fillId="0" borderId="0" xfId="0" applyNumberFormat="1" applyFont="1"/>
    <xf numFmtId="0" fontId="2" fillId="0" borderId="1" xfId="0" applyFont="1" applyBorder="1" applyAlignment="1">
      <alignment vertical="top"/>
    </xf>
    <xf numFmtId="0" fontId="2" fillId="0" borderId="1" xfId="0" applyFont="1" applyBorder="1" applyAlignment="1">
      <alignment horizontal="right" vertical="top"/>
    </xf>
    <xf numFmtId="0" fontId="6" fillId="2" borderId="1" xfId="0" applyFont="1" applyFill="1" applyBorder="1" applyAlignment="1">
      <alignment vertical="top"/>
    </xf>
    <xf numFmtId="2" fontId="6" fillId="2" borderId="1" xfId="0" applyNumberFormat="1" applyFont="1" applyFill="1" applyBorder="1" applyAlignment="1">
      <alignment vertical="top"/>
    </xf>
    <xf numFmtId="0" fontId="2" fillId="0" borderId="0" xfId="0" applyFont="1" applyAlignment="1">
      <alignment vertical="top"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2" fillId="0" borderId="1" xfId="0" quotePrefix="1" applyFont="1" applyBorder="1" applyAlignment="1">
      <alignment horizontal="right" vertical="top"/>
    </xf>
    <xf numFmtId="0" fontId="7" fillId="0" borderId="0" xfId="0" applyFont="1"/>
    <xf numFmtId="0" fontId="7" fillId="0" borderId="0" xfId="0" applyFont="1" applyAlignment="1">
      <alignment vertical="top"/>
    </xf>
    <xf numFmtId="0" fontId="11" fillId="2"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0" borderId="0" xfId="0" applyFont="1" applyAlignment="1">
      <alignment horizontal="left" vertical="top" wrapText="1"/>
    </xf>
    <xf numFmtId="0" fontId="2" fillId="0" borderId="0" xfId="0" applyFont="1" applyAlignment="1">
      <alignment horizontal="center" vertical="top"/>
    </xf>
    <xf numFmtId="0" fontId="9" fillId="0" borderId="0" xfId="0" applyFont="1" applyAlignment="1">
      <alignment horizontal="center" vertical="top"/>
    </xf>
    <xf numFmtId="0" fontId="7" fillId="2" borderId="1" xfId="0" applyFont="1" applyFill="1" applyBorder="1" applyAlignment="1">
      <alignment horizontal="center" vertical="top" wrapText="1"/>
    </xf>
    <xf numFmtId="0" fontId="10" fillId="2" borderId="1" xfId="0" applyFont="1" applyFill="1" applyBorder="1" applyAlignment="1">
      <alignment horizontal="center" vertical="top"/>
    </xf>
    <xf numFmtId="0" fontId="12" fillId="0" borderId="2" xfId="0" applyFont="1" applyBorder="1" applyAlignment="1">
      <alignment vertical="top"/>
    </xf>
    <xf numFmtId="0" fontId="12" fillId="0" borderId="3" xfId="0" applyFont="1" applyBorder="1" applyAlignment="1">
      <alignment vertical="top"/>
    </xf>
    <xf numFmtId="0" fontId="2" fillId="0" borderId="1" xfId="0" applyFont="1" applyBorder="1" applyAlignment="1">
      <alignment horizontal="center" vertical="center"/>
    </xf>
    <xf numFmtId="0" fontId="2" fillId="0" borderId="1" xfId="0" applyFont="1" applyBorder="1"/>
    <xf numFmtId="0" fontId="7" fillId="0" borderId="0" xfId="0" applyFont="1" applyAlignment="1">
      <alignment horizontal="center" vertical="top"/>
    </xf>
    <xf numFmtId="0" fontId="4" fillId="0" borderId="0" xfId="0" applyFont="1" applyAlignment="1">
      <alignment vertical="top"/>
    </xf>
    <xf numFmtId="169" fontId="0" fillId="0" borderId="0" xfId="4" applyNumberFormat="1" applyFont="1"/>
    <xf numFmtId="0" fontId="16" fillId="0" borderId="0" xfId="0" applyFont="1" applyAlignment="1">
      <alignment vertical="top"/>
    </xf>
    <xf numFmtId="0" fontId="17" fillId="0" borderId="0" xfId="0" applyFont="1" applyAlignment="1">
      <alignment horizontal="center" vertical="top"/>
    </xf>
    <xf numFmtId="0" fontId="18" fillId="0" borderId="0" xfId="0" applyFont="1" applyAlignment="1">
      <alignment vertical="top"/>
    </xf>
    <xf numFmtId="0" fontId="14" fillId="7" borderId="0" xfId="1" applyFont="1" applyFill="1" applyBorder="1" applyAlignment="1">
      <alignment vertical="top"/>
    </xf>
    <xf numFmtId="0" fontId="15" fillId="7" borderId="0" xfId="1" applyFont="1" applyFill="1" applyBorder="1" applyAlignment="1">
      <alignment vertical="top"/>
    </xf>
    <xf numFmtId="0" fontId="15" fillId="7" borderId="0" xfId="1" applyFont="1" applyFill="1" applyBorder="1" applyAlignment="1">
      <alignment horizontal="center" vertical="top"/>
    </xf>
    <xf numFmtId="0" fontId="15" fillId="7" borderId="0" xfId="1" applyFont="1" applyFill="1" applyBorder="1" applyAlignment="1">
      <alignment vertical="top" wrapText="1"/>
    </xf>
    <xf numFmtId="0" fontId="13" fillId="7" borderId="0" xfId="1" applyFont="1" applyFill="1" applyBorder="1" applyAlignment="1">
      <alignment vertical="top"/>
    </xf>
    <xf numFmtId="0" fontId="2" fillId="8" borderId="1" xfId="0" applyFont="1" applyFill="1" applyBorder="1" applyAlignment="1">
      <alignment horizontal="center" vertical="top" wrapText="1"/>
    </xf>
    <xf numFmtId="0" fontId="1" fillId="0" borderId="0" xfId="0" applyFont="1" applyAlignment="1">
      <alignment horizontal="justify" vertical="center"/>
    </xf>
    <xf numFmtId="0" fontId="1" fillId="0" borderId="1" xfId="0" applyFont="1" applyBorder="1" applyAlignment="1">
      <alignment horizontal="center" vertical="center"/>
    </xf>
    <xf numFmtId="0" fontId="0" fillId="0" borderId="1" xfId="0" applyBorder="1" applyAlignment="1">
      <alignment horizontal="center" vertical="center"/>
    </xf>
    <xf numFmtId="171" fontId="0" fillId="0" borderId="0" xfId="0" applyNumberFormat="1"/>
    <xf numFmtId="166" fontId="6" fillId="0" borderId="0" xfId="0" applyNumberFormat="1" applyFont="1" applyAlignment="1">
      <alignment horizontal="right"/>
    </xf>
    <xf numFmtId="0" fontId="2" fillId="9" borderId="1" xfId="0" applyFont="1" applyFill="1" applyBorder="1"/>
    <xf numFmtId="0" fontId="2" fillId="9" borderId="0" xfId="0" applyFont="1" applyFill="1"/>
    <xf numFmtId="0" fontId="2" fillId="9" borderId="1" xfId="0" applyFont="1" applyFill="1" applyBorder="1" applyAlignment="1">
      <alignment horizontal="center"/>
    </xf>
    <xf numFmtId="0" fontId="1" fillId="0" borderId="0" xfId="0" applyFont="1"/>
    <xf numFmtId="0" fontId="0" fillId="0" borderId="0" xfId="3" applyNumberFormat="1" applyFont="1"/>
    <xf numFmtId="0" fontId="6" fillId="2" borderId="1" xfId="0" applyFont="1" applyFill="1" applyBorder="1" applyAlignment="1">
      <alignment horizontal="center" vertical="center"/>
    </xf>
    <xf numFmtId="167" fontId="6" fillId="2" borderId="1" xfId="3" applyFont="1" applyFill="1" applyBorder="1" applyAlignment="1">
      <alignment horizontal="center" vertical="center"/>
    </xf>
    <xf numFmtId="0" fontId="2" fillId="0" borderId="0" xfId="3" applyNumberFormat="1" applyFont="1"/>
    <xf numFmtId="165" fontId="2" fillId="0" borderId="1" xfId="3" applyNumberFormat="1" applyFont="1" applyBorder="1" applyAlignment="1">
      <alignment vertical="center" wrapText="1"/>
    </xf>
    <xf numFmtId="172" fontId="6" fillId="3" borderId="1" xfId="0" applyNumberFormat="1" applyFont="1" applyFill="1" applyBorder="1" applyAlignment="1">
      <alignment horizontal="center" vertical="center" wrapText="1"/>
    </xf>
    <xf numFmtId="0" fontId="2" fillId="9" borderId="0" xfId="0" applyFont="1" applyFill="1" applyAlignment="1">
      <alignment horizontal="center"/>
    </xf>
    <xf numFmtId="0" fontId="2" fillId="5" borderId="0" xfId="0" applyFont="1" applyFill="1" applyAlignment="1">
      <alignment horizontal="center"/>
    </xf>
    <xf numFmtId="0" fontId="2" fillId="10" borderId="0" xfId="0" applyFont="1" applyFill="1" applyAlignment="1">
      <alignment horizontal="center"/>
    </xf>
    <xf numFmtId="2" fontId="2" fillId="0" borderId="1" xfId="0" applyNumberFormat="1" applyFont="1" applyBorder="1" applyAlignment="1">
      <alignment horizontal="center" vertical="center"/>
    </xf>
    <xf numFmtId="173" fontId="2" fillId="0" borderId="1" xfId="4" applyNumberFormat="1" applyFont="1" applyBorder="1" applyAlignment="1">
      <alignment horizontal="right" vertical="top"/>
    </xf>
    <xf numFmtId="0" fontId="22" fillId="7" borderId="5" xfId="0" applyFont="1" applyFill="1" applyBorder="1"/>
    <xf numFmtId="0" fontId="2" fillId="0" borderId="0" xfId="0" applyFont="1" applyAlignment="1">
      <alignment horizontal="right" vertical="top"/>
    </xf>
    <xf numFmtId="0" fontId="2" fillId="0" borderId="0" xfId="0" applyFont="1" applyAlignment="1">
      <alignment horizontal="center" vertical="center" wrapText="1"/>
    </xf>
    <xf numFmtId="174" fontId="2" fillId="0" borderId="1" xfId="0" applyNumberFormat="1" applyFont="1" applyBorder="1" applyAlignment="1">
      <alignment horizontal="right" vertical="center" wrapText="1"/>
    </xf>
    <xf numFmtId="0" fontId="2" fillId="0" borderId="1" xfId="3" applyNumberFormat="1" applyFont="1" applyBorder="1" applyAlignment="1">
      <alignment horizontal="center" vertical="center"/>
    </xf>
    <xf numFmtId="170" fontId="2" fillId="0" borderId="1" xfId="0" applyNumberFormat="1" applyFont="1" applyBorder="1"/>
    <xf numFmtId="0" fontId="2" fillId="11" borderId="1" xfId="0" applyFont="1" applyFill="1" applyBorder="1" applyAlignment="1">
      <alignment horizontal="center"/>
    </xf>
    <xf numFmtId="0" fontId="7" fillId="0" borderId="1" xfId="0" applyFont="1" applyBorder="1"/>
    <xf numFmtId="0" fontId="9" fillId="0" borderId="1" xfId="0" applyFont="1" applyBorder="1" applyAlignment="1">
      <alignment horizontal="center" vertical="center"/>
    </xf>
    <xf numFmtId="0" fontId="36" fillId="13" borderId="1" xfId="0" applyFont="1" applyFill="1" applyBorder="1" applyAlignment="1">
      <alignment horizontal="center" vertical="center"/>
    </xf>
    <xf numFmtId="0" fontId="10" fillId="0" borderId="1" xfId="0" applyFont="1" applyBorder="1" applyAlignment="1">
      <alignment horizontal="center" vertical="top" wrapText="1"/>
    </xf>
    <xf numFmtId="0" fontId="9" fillId="0" borderId="1" xfId="0" applyFont="1" applyBorder="1" applyAlignment="1">
      <alignment horizontal="justify" vertical="top" wrapText="1"/>
    </xf>
    <xf numFmtId="0" fontId="37" fillId="7" borderId="1" xfId="0" applyFont="1" applyFill="1" applyBorder="1" applyAlignment="1">
      <alignment horizontal="center" vertical="top" wrapText="1"/>
    </xf>
    <xf numFmtId="0" fontId="9" fillId="0" borderId="1" xfId="0" applyFont="1" applyBorder="1" applyAlignment="1">
      <alignment horizontal="center" vertical="top"/>
    </xf>
    <xf numFmtId="0" fontId="9" fillId="2" borderId="1" xfId="0" applyFont="1" applyFill="1" applyBorder="1" applyAlignment="1">
      <alignment horizontal="center" vertical="top"/>
    </xf>
    <xf numFmtId="0" fontId="9" fillId="2" borderId="1" xfId="0" applyFont="1" applyFill="1" applyBorder="1" applyAlignment="1">
      <alignment vertical="top" wrapText="1"/>
    </xf>
    <xf numFmtId="0" fontId="37" fillId="7" borderId="6" xfId="0" applyFont="1" applyFill="1" applyBorder="1" applyAlignment="1">
      <alignment horizontal="center" vertical="center" wrapText="1"/>
    </xf>
    <xf numFmtId="0" fontId="9" fillId="0" borderId="7" xfId="0" applyFont="1" applyBorder="1" applyAlignment="1">
      <alignment vertical="center"/>
    </xf>
    <xf numFmtId="0" fontId="9" fillId="0" borderId="8" xfId="0" applyFont="1" applyBorder="1" applyAlignment="1">
      <alignment horizontal="center" vertical="center"/>
    </xf>
    <xf numFmtId="0" fontId="9" fillId="0" borderId="9" xfId="0" applyFont="1" applyBorder="1" applyAlignment="1">
      <alignment vertical="center"/>
    </xf>
    <xf numFmtId="0" fontId="9" fillId="0" borderId="10" xfId="0" applyFont="1" applyBorder="1" applyAlignment="1">
      <alignment horizontal="center" vertical="center"/>
    </xf>
    <xf numFmtId="0" fontId="9" fillId="0" borderId="11" xfId="0" applyFont="1" applyBorder="1" applyAlignment="1">
      <alignment vertical="center" wrapText="1"/>
    </xf>
    <xf numFmtId="0" fontId="1" fillId="0" borderId="0" xfId="0" applyFont="1" applyAlignment="1">
      <alignment vertical="top"/>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vertical="center" wrapText="1"/>
    </xf>
    <xf numFmtId="0" fontId="7" fillId="0" borderId="1" xfId="0" applyFont="1" applyBorder="1" applyAlignment="1">
      <alignment horizontal="left" vertical="center" wrapText="1"/>
    </xf>
    <xf numFmtId="0" fontId="7" fillId="14" borderId="1" xfId="0" applyFont="1" applyFill="1" applyBorder="1" applyAlignment="1">
      <alignment horizontal="left" vertical="center" wrapText="1"/>
    </xf>
    <xf numFmtId="0" fontId="7" fillId="15" borderId="1" xfId="0" applyFont="1" applyFill="1" applyBorder="1" applyAlignment="1">
      <alignment horizontal="left" vertical="center" wrapText="1"/>
    </xf>
    <xf numFmtId="0" fontId="1" fillId="15"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1" fillId="16" borderId="1"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 fillId="17" borderId="1" xfId="0" applyFont="1" applyFill="1" applyBorder="1" applyAlignment="1">
      <alignment horizontal="left" vertical="center" wrapText="1"/>
    </xf>
    <xf numFmtId="0" fontId="7" fillId="18" borderId="1" xfId="0" applyFont="1" applyFill="1" applyBorder="1" applyAlignment="1">
      <alignment horizontal="left" vertical="center" wrapText="1"/>
    </xf>
    <xf numFmtId="0" fontId="1" fillId="18" borderId="1" xfId="0" applyFont="1" applyFill="1" applyBorder="1" applyAlignment="1">
      <alignment horizontal="left" vertical="center" wrapText="1"/>
    </xf>
    <xf numFmtId="0" fontId="7" fillId="19" borderId="1" xfId="0" applyFont="1" applyFill="1" applyBorder="1" applyAlignment="1">
      <alignment horizontal="left" vertical="center" wrapText="1"/>
    </xf>
    <xf numFmtId="0" fontId="1" fillId="19" borderId="1" xfId="0" applyFont="1" applyFill="1" applyBorder="1" applyAlignment="1">
      <alignment horizontal="left" vertical="center" wrapText="1"/>
    </xf>
    <xf numFmtId="0" fontId="7" fillId="20" borderId="1" xfId="0" applyFont="1" applyFill="1" applyBorder="1" applyAlignment="1">
      <alignment horizontal="left" vertical="center" wrapText="1"/>
    </xf>
    <xf numFmtId="0" fontId="1" fillId="20" borderId="1" xfId="0" applyFont="1" applyFill="1" applyBorder="1" applyAlignment="1">
      <alignment horizontal="left" vertical="center" wrapText="1"/>
    </xf>
    <xf numFmtId="0" fontId="0" fillId="0" borderId="0" xfId="0" applyAlignment="1">
      <alignment vertical="center"/>
    </xf>
    <xf numFmtId="0" fontId="39" fillId="0" borderId="0" xfId="0" applyFont="1" applyAlignment="1">
      <alignment vertical="top"/>
    </xf>
    <xf numFmtId="0" fontId="1" fillId="0" borderId="1" xfId="0" applyFont="1" applyBorder="1" applyAlignment="1">
      <alignment horizontal="center" vertical="center" wrapText="1"/>
    </xf>
    <xf numFmtId="0" fontId="0" fillId="0" borderId="0" xfId="0" applyAlignment="1">
      <alignment horizontal="left" vertical="center" indent="1"/>
    </xf>
    <xf numFmtId="0" fontId="1" fillId="0" borderId="1" xfId="0" applyFont="1" applyBorder="1" applyAlignment="1">
      <alignment horizontal="left" vertical="center" indent="1"/>
    </xf>
    <xf numFmtId="0" fontId="0" fillId="0" borderId="1" xfId="0" applyBorder="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7" fillId="0" borderId="1" xfId="0" applyFont="1" applyBorder="1" applyAlignment="1">
      <alignment horizontal="right"/>
    </xf>
    <xf numFmtId="0" fontId="7" fillId="0" borderId="1" xfId="0" applyFont="1" applyBorder="1" applyAlignment="1">
      <alignment horizontal="center" vertical="center"/>
    </xf>
    <xf numFmtId="0" fontId="7" fillId="0" borderId="0" xfId="0" applyFont="1" applyAlignment="1">
      <alignment vertical="center"/>
    </xf>
    <xf numFmtId="0" fontId="43" fillId="0" borderId="0" xfId="0" applyFont="1"/>
    <xf numFmtId="0" fontId="43" fillId="0" borderId="0" xfId="0" applyFont="1" applyAlignment="1">
      <alignment vertical="center"/>
    </xf>
    <xf numFmtId="0" fontId="0" fillId="0" borderId="1" xfId="0" applyBorder="1" applyAlignment="1">
      <alignment vertical="center" wrapText="1"/>
    </xf>
    <xf numFmtId="0" fontId="44" fillId="0" borderId="6" xfId="0" applyFont="1" applyBorder="1" applyAlignment="1">
      <alignment horizontal="left" vertical="center" wrapText="1"/>
    </xf>
    <xf numFmtId="0" fontId="44" fillId="0" borderId="14" xfId="0" applyFont="1" applyBorder="1" applyAlignment="1">
      <alignment horizontal="center" vertical="center" wrapText="1"/>
    </xf>
    <xf numFmtId="0" fontId="0" fillId="0" borderId="15" xfId="0" applyBorder="1" applyAlignment="1">
      <alignment vertical="center" wrapText="1"/>
    </xf>
    <xf numFmtId="0" fontId="44" fillId="0" borderId="8" xfId="0" applyFont="1" applyBorder="1" applyAlignment="1">
      <alignment horizontal="center" vertical="center" wrapText="1"/>
    </xf>
    <xf numFmtId="0" fontId="44" fillId="0" borderId="10" xfId="0" applyFont="1" applyBorder="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44" fillId="0" borderId="14" xfId="0" applyFont="1" applyBorder="1" applyAlignment="1">
      <alignment horizontal="center" vertical="center" wrapText="1"/>
    </xf>
    <xf numFmtId="0" fontId="44" fillId="0" borderId="7" xfId="0" applyFont="1" applyBorder="1" applyAlignment="1">
      <alignment horizontal="center"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10" fillId="13" borderId="1" xfId="0" applyFont="1" applyFill="1" applyBorder="1" applyAlignment="1">
      <alignment horizontal="center" vertical="center" wrapText="1"/>
    </xf>
    <xf numFmtId="0" fontId="0" fillId="0" borderId="15" xfId="0" applyBorder="1" applyAlignment="1">
      <alignment horizontal="left" vertical="center" wrapText="1"/>
    </xf>
    <xf numFmtId="0" fontId="0" fillId="0" borderId="11" xfId="0" applyBorder="1" applyAlignment="1">
      <alignment horizontal="left" vertical="center" wrapText="1"/>
    </xf>
    <xf numFmtId="0" fontId="37" fillId="7"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3" xfId="0" applyFont="1" applyFill="1" applyBorder="1" applyAlignment="1">
      <alignment horizontal="center" vertical="top" wrapText="1"/>
    </xf>
    <xf numFmtId="0" fontId="19" fillId="0" borderId="1" xfId="0" applyFont="1" applyBorder="1" applyAlignment="1">
      <alignment horizontal="left" vertical="center" wrapText="1"/>
    </xf>
    <xf numFmtId="0" fontId="19" fillId="0" borderId="1" xfId="0" applyFont="1" applyBorder="1" applyAlignment="1">
      <alignment horizontal="left" vertical="center"/>
    </xf>
    <xf numFmtId="0" fontId="6" fillId="2"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12" fillId="2" borderId="1" xfId="0" applyFont="1" applyFill="1" applyBorder="1" applyAlignment="1">
      <alignment horizontal="left" vertical="top" wrapText="1"/>
    </xf>
    <xf numFmtId="49" fontId="35" fillId="12" borderId="2" xfId="0" applyNumberFormat="1" applyFont="1" applyFill="1" applyBorder="1" applyAlignment="1">
      <alignment horizontal="center" vertical="top"/>
    </xf>
    <xf numFmtId="49" fontId="35" fillId="12" borderId="4" xfId="0" applyNumberFormat="1" applyFont="1" applyFill="1" applyBorder="1" applyAlignment="1">
      <alignment horizontal="center" vertical="top"/>
    </xf>
    <xf numFmtId="49" fontId="35" fillId="12" borderId="3" xfId="0" applyNumberFormat="1" applyFont="1" applyFill="1" applyBorder="1" applyAlignment="1">
      <alignment horizontal="center" vertical="top"/>
    </xf>
    <xf numFmtId="0" fontId="35" fillId="12" borderId="1" xfId="0" applyFont="1" applyFill="1" applyBorder="1" applyAlignment="1">
      <alignment horizontal="center" vertical="top"/>
    </xf>
    <xf numFmtId="0" fontId="0" fillId="0" borderId="2" xfId="0" applyBorder="1" applyAlignment="1">
      <alignment horizontal="center"/>
    </xf>
    <xf numFmtId="0" fontId="0" fillId="0" borderId="3" xfId="0" applyBorder="1" applyAlignment="1">
      <alignment horizontal="center"/>
    </xf>
    <xf numFmtId="0" fontId="7" fillId="0" borderId="1" xfId="0" applyFont="1" applyBorder="1" applyAlignment="1">
      <alignment horizontal="left" wrapText="1"/>
    </xf>
    <xf numFmtId="0" fontId="38" fillId="0" borderId="2" xfId="0" applyFont="1" applyBorder="1" applyAlignment="1">
      <alignment horizontal="center" vertical="center"/>
    </xf>
    <xf numFmtId="0" fontId="38" fillId="0" borderId="4" xfId="0" applyFont="1" applyBorder="1" applyAlignment="1">
      <alignment horizontal="center" vertical="center"/>
    </xf>
    <xf numFmtId="0" fontId="38" fillId="0" borderId="3"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0" fillId="0" borderId="1" xfId="0" applyBorder="1" applyAlignment="1">
      <alignment horizontal="center"/>
    </xf>
    <xf numFmtId="0" fontId="22" fillId="7" borderId="12" xfId="0" applyFont="1" applyFill="1" applyBorder="1" applyAlignment="1">
      <alignment horizontal="center" wrapText="1"/>
    </xf>
    <xf numFmtId="0" fontId="22" fillId="7" borderId="13" xfId="0" applyFont="1" applyFill="1" applyBorder="1" applyAlignment="1">
      <alignment horizontal="center" wrapText="1"/>
    </xf>
    <xf numFmtId="0" fontId="38" fillId="0" borderId="1" xfId="0" applyFont="1" applyBorder="1" applyAlignment="1">
      <alignment horizontal="center" vertical="top"/>
    </xf>
    <xf numFmtId="0" fontId="38" fillId="0" borderId="1" xfId="0" applyFont="1" applyBorder="1" applyAlignment="1">
      <alignment horizontal="center"/>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34" fillId="0" borderId="0" xfId="0" applyFont="1" applyAlignment="1">
      <alignment vertical="center" wrapText="1"/>
    </xf>
    <xf numFmtId="0" fontId="6" fillId="2" borderId="2" xfId="0" applyFont="1" applyFill="1" applyBorder="1" applyAlignment="1">
      <alignment horizontal="center"/>
    </xf>
    <xf numFmtId="0" fontId="6" fillId="2" borderId="4" xfId="0" applyFont="1" applyFill="1" applyBorder="1" applyAlignment="1">
      <alignment horizontal="center"/>
    </xf>
    <xf numFmtId="0" fontId="6" fillId="2" borderId="3" xfId="0" applyFont="1" applyFill="1" applyBorder="1" applyAlignment="1">
      <alignment horizontal="center"/>
    </xf>
    <xf numFmtId="0" fontId="6" fillId="2" borderId="1" xfId="0" applyFont="1" applyFill="1" applyBorder="1" applyAlignment="1">
      <alignment horizontal="center" vertical="top"/>
    </xf>
    <xf numFmtId="0" fontId="6" fillId="0" borderId="1" xfId="0" applyFont="1" applyBorder="1" applyAlignment="1">
      <alignment horizontal="left" vertical="top" wrapText="1"/>
    </xf>
    <xf numFmtId="49" fontId="6" fillId="0" borderId="1" xfId="0" applyNumberFormat="1" applyFont="1" applyBorder="1" applyAlignment="1">
      <alignment horizontal="center" vertical="top" wrapText="1"/>
    </xf>
    <xf numFmtId="0" fontId="9" fillId="0" borderId="1" xfId="0" applyFont="1" applyBorder="1" applyAlignment="1">
      <alignment horizontal="left" vertical="top" wrapText="1"/>
    </xf>
    <xf numFmtId="0" fontId="41" fillId="0" borderId="1" xfId="0" applyFont="1" applyBorder="1" applyAlignment="1">
      <alignment horizontal="left" vertical="top" wrapText="1"/>
    </xf>
    <xf numFmtId="0" fontId="43" fillId="0" borderId="0" xfId="0" applyFont="1" applyAlignment="1">
      <alignment horizontal="left" vertical="top" wrapText="1"/>
    </xf>
    <xf numFmtId="0" fontId="43" fillId="0" borderId="0" xfId="0" applyFont="1" applyAlignment="1">
      <alignment horizontal="left" vertical="center" wrapText="1"/>
    </xf>
    <xf numFmtId="0" fontId="42" fillId="0" borderId="0" xfId="0" applyFont="1" applyAlignment="1">
      <alignment horizontal="center" vertical="center"/>
    </xf>
    <xf numFmtId="0" fontId="40" fillId="0" borderId="0" xfId="0" applyFont="1" applyAlignment="1">
      <alignment horizontal="center" vertical="center"/>
    </xf>
    <xf numFmtId="0" fontId="7" fillId="0" borderId="0" xfId="0" applyFont="1" applyAlignment="1">
      <alignment vertical="top" wrapText="1"/>
    </xf>
    <xf numFmtId="0" fontId="7" fillId="0" borderId="0" xfId="0" applyFont="1" applyAlignment="1">
      <alignment horizontal="left" vertical="top" wrapText="1"/>
    </xf>
    <xf numFmtId="0" fontId="12" fillId="0" borderId="1" xfId="0" applyFont="1" applyBorder="1" applyAlignment="1">
      <alignment horizontal="center"/>
    </xf>
    <xf numFmtId="0" fontId="1" fillId="0" borderId="1" xfId="2" applyFont="1" applyBorder="1" applyAlignment="1" applyProtection="1">
      <alignment horizontal="left" vertical="center" wrapText="1"/>
    </xf>
    <xf numFmtId="0" fontId="1" fillId="0" borderId="1" xfId="0" applyFont="1" applyBorder="1" applyAlignment="1">
      <alignment horizontal="left" vertical="center" wrapText="1"/>
    </xf>
    <xf numFmtId="0" fontId="24" fillId="0" borderId="1" xfId="0" applyFont="1" applyBorder="1" applyAlignment="1">
      <alignment horizontal="center" vertical="center" wrapText="1"/>
    </xf>
    <xf numFmtId="0" fontId="23" fillId="0" borderId="1" xfId="0" applyFont="1" applyBorder="1" applyAlignment="1">
      <alignment horizontal="left" vertical="center" wrapText="1"/>
    </xf>
    <xf numFmtId="0" fontId="26" fillId="0" borderId="1" xfId="0" applyFont="1" applyBorder="1" applyAlignment="1">
      <alignment horizontal="left" vertical="center" wrapText="1"/>
    </xf>
    <xf numFmtId="0" fontId="29" fillId="0" borderId="1" xfId="0" applyFont="1" applyBorder="1" applyAlignment="1">
      <alignment horizontal="left" vertical="center" wrapText="1"/>
    </xf>
    <xf numFmtId="0" fontId="38" fillId="0" borderId="0" xfId="0" applyFont="1" applyAlignment="1">
      <alignment horizontal="center"/>
    </xf>
  </cellXfs>
  <cellStyles count="5">
    <cellStyle name="Énfasis2" xfId="1" builtinId="33"/>
    <cellStyle name="Hipervínculo" xfId="2" builtinId="8"/>
    <cellStyle name="Millares" xfId="3" builtinId="3"/>
    <cellStyle name="Moneda" xfId="4" builtinId="4"/>
    <cellStyle name="Normal" xfId="0" builtinId="0"/>
  </cellStyles>
  <dxfs count="4">
    <dxf>
      <font>
        <color theme="1"/>
      </font>
      <fill>
        <patternFill>
          <bgColor rgb="FF92D050"/>
        </patternFill>
      </fill>
    </dxf>
    <dxf>
      <fill>
        <patternFill>
          <bgColor rgb="FFFFFF00"/>
        </patternFill>
      </fill>
    </dxf>
    <dxf>
      <fill>
        <patternFill>
          <bgColor rgb="FFFF0000"/>
        </patternFill>
      </fill>
    </dxf>
    <dxf>
      <fill>
        <patternFill>
          <bgColor them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38101</xdr:colOff>
      <xdr:row>3</xdr:row>
      <xdr:rowOff>9525</xdr:rowOff>
    </xdr:from>
    <xdr:to>
      <xdr:col>22</xdr:col>
      <xdr:colOff>543739</xdr:colOff>
      <xdr:row>8</xdr:row>
      <xdr:rowOff>304800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72626" y="1019175"/>
          <a:ext cx="8587560" cy="2733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944</xdr:colOff>
      <xdr:row>26</xdr:row>
      <xdr:rowOff>30480</xdr:rowOff>
    </xdr:from>
    <xdr:to>
      <xdr:col>12</xdr:col>
      <xdr:colOff>761999</xdr:colOff>
      <xdr:row>30</xdr:row>
      <xdr:rowOff>57907</xdr:rowOff>
    </xdr:to>
    <xdr:pic>
      <xdr:nvPicPr>
        <xdr:cNvPr id="2" name="Imagen 1">
          <a:extLst>
            <a:ext uri="{FF2B5EF4-FFF2-40B4-BE49-F238E27FC236}">
              <a16:creationId xmlns:a16="http://schemas.microsoft.com/office/drawing/2014/main" id="{8453191E-9D6C-2AE1-E343-24966114EB5C}"/>
            </a:ext>
          </a:extLst>
        </xdr:cNvPr>
        <xdr:cNvPicPr>
          <a:picLocks noChangeAspect="1"/>
        </xdr:cNvPicPr>
      </xdr:nvPicPr>
      <xdr:blipFill>
        <a:blip xmlns:r="http://schemas.openxmlformats.org/officeDocument/2006/relationships" r:embed="rId1"/>
        <a:stretch>
          <a:fillRect/>
        </a:stretch>
      </xdr:blipFill>
      <xdr:spPr>
        <a:xfrm>
          <a:off x="7598084" y="4556760"/>
          <a:ext cx="3138495" cy="68465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hyperlink" Target="https://tynerblain.com/blog/2005/12/14/getting-past-the-suck-threshold/" TargetMode="External"/><Relationship Id="rId2" Type="http://schemas.openxmlformats.org/officeDocument/2006/relationships/hyperlink" Target="https://tynerblain.com/blog/2007/01/10/usability-sells-software/" TargetMode="External"/><Relationship Id="rId1" Type="http://schemas.openxmlformats.org/officeDocument/2006/relationships/hyperlink" Target="https://tynerblain.com/blog/2006/04/02/competent-users-and-software-design/"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topLeftCell="C21" zoomScale="115" zoomScaleNormal="115" zoomScalePageLayoutView="120" workbookViewId="0">
      <selection activeCell="G34" sqref="G34:H34"/>
    </sheetView>
  </sheetViews>
  <sheetFormatPr baseColWidth="10" defaultColWidth="11.42578125" defaultRowHeight="12.75" x14ac:dyDescent="0.2"/>
  <cols>
    <col min="1" max="1" width="7.28515625" style="6" hidden="1" customWidth="1"/>
    <col min="2" max="2" width="15.85546875" style="6" hidden="1" customWidth="1"/>
    <col min="3" max="3" width="2.42578125" style="6" customWidth="1"/>
    <col min="4" max="4" width="9.7109375" style="6" customWidth="1"/>
    <col min="5" max="5" width="13.42578125" style="6" customWidth="1"/>
    <col min="6" max="6" width="12.42578125" style="6" bestFit="1" customWidth="1"/>
    <col min="7" max="7" width="9.7109375" style="6" bestFit="1" customWidth="1"/>
    <col min="8" max="8" width="49.42578125" style="6" customWidth="1"/>
    <col min="9" max="9" width="12.5703125" style="6" customWidth="1"/>
    <col min="10" max="10" width="9" style="6" customWidth="1"/>
    <col min="11" max="11" width="10" style="6" customWidth="1"/>
    <col min="12" max="16384" width="11.42578125" style="6"/>
  </cols>
  <sheetData>
    <row r="1" spans="1:11" ht="18" x14ac:dyDescent="0.2">
      <c r="D1" s="166" t="s">
        <v>144</v>
      </c>
      <c r="E1" s="166"/>
      <c r="F1" s="166"/>
      <c r="G1" s="166"/>
      <c r="H1" s="166"/>
      <c r="I1" s="166"/>
    </row>
    <row r="2" spans="1:11" ht="18" x14ac:dyDescent="0.2">
      <c r="C2" s="105" t="s">
        <v>148</v>
      </c>
      <c r="D2" s="163" t="s">
        <v>290</v>
      </c>
      <c r="E2" s="164"/>
      <c r="F2" s="164"/>
      <c r="G2" s="164"/>
      <c r="H2" s="164"/>
      <c r="I2" s="165"/>
    </row>
    <row r="4" spans="1:11" ht="18.75" x14ac:dyDescent="0.2">
      <c r="A4" s="47"/>
      <c r="B4" s="48"/>
      <c r="D4" s="57" t="s">
        <v>154</v>
      </c>
      <c r="E4" s="58"/>
      <c r="F4" s="59"/>
      <c r="G4" s="58"/>
      <c r="H4" s="60"/>
      <c r="I4" s="44"/>
    </row>
    <row r="5" spans="1:11" ht="44.45" customHeight="1" x14ac:dyDescent="0.2">
      <c r="A5" s="156" t="s">
        <v>37</v>
      </c>
      <c r="B5" s="157"/>
      <c r="D5" s="11" t="s">
        <v>155</v>
      </c>
      <c r="E5" s="11" t="s">
        <v>156</v>
      </c>
      <c r="F5" s="11" t="s">
        <v>149</v>
      </c>
      <c r="G5" s="35" t="s">
        <v>153</v>
      </c>
      <c r="H5" s="35" t="s">
        <v>13</v>
      </c>
      <c r="I5" s="44"/>
    </row>
    <row r="6" spans="1:11" ht="33.75" x14ac:dyDescent="0.2">
      <c r="A6" s="13">
        <v>1</v>
      </c>
      <c r="B6" s="12" t="s">
        <v>29</v>
      </c>
      <c r="D6" s="49">
        <v>1</v>
      </c>
      <c r="E6" s="108" t="s">
        <v>29</v>
      </c>
      <c r="F6" s="49">
        <v>1</v>
      </c>
      <c r="G6" s="49">
        <f>COUNTIF($E$15:$E$36,"=Simple")</f>
        <v>3</v>
      </c>
      <c r="H6" s="106" t="s">
        <v>158</v>
      </c>
      <c r="I6" s="44"/>
    </row>
    <row r="7" spans="1:11" ht="33.75" x14ac:dyDescent="0.2">
      <c r="A7" s="13">
        <v>2</v>
      </c>
      <c r="B7" s="12" t="s">
        <v>30</v>
      </c>
      <c r="D7" s="49">
        <v>2</v>
      </c>
      <c r="E7" s="108" t="s">
        <v>30</v>
      </c>
      <c r="F7" s="49">
        <v>3</v>
      </c>
      <c r="G7" s="49">
        <f>COUNTIF($E$15:$E$36,"=Promedio")</f>
        <v>9</v>
      </c>
      <c r="H7" s="106" t="s">
        <v>159</v>
      </c>
      <c r="I7" s="44"/>
    </row>
    <row r="8" spans="1:11" ht="33.75" x14ac:dyDescent="0.2">
      <c r="A8" s="13">
        <v>3</v>
      </c>
      <c r="B8" s="12" t="s">
        <v>31</v>
      </c>
      <c r="D8" s="49">
        <v>3</v>
      </c>
      <c r="E8" s="108" t="s">
        <v>31</v>
      </c>
      <c r="F8" s="49">
        <v>6</v>
      </c>
      <c r="G8" s="49">
        <f>COUNTIF($E$15:$E$36,"=Complejo")</f>
        <v>10</v>
      </c>
      <c r="H8" s="106" t="s">
        <v>160</v>
      </c>
      <c r="I8" s="44"/>
    </row>
    <row r="9" spans="1:11" ht="33.75" x14ac:dyDescent="0.2">
      <c r="A9" s="13">
        <v>4</v>
      </c>
      <c r="B9" s="12" t="s">
        <v>65</v>
      </c>
      <c r="D9" s="49">
        <v>4</v>
      </c>
      <c r="E9" s="108" t="s">
        <v>65</v>
      </c>
      <c r="F9" s="49">
        <v>8</v>
      </c>
      <c r="G9" s="49">
        <f>COUNTIF($E$15:$E$36,"=Muy Complejo")</f>
        <v>0</v>
      </c>
      <c r="H9" s="106" t="s">
        <v>161</v>
      </c>
      <c r="I9" s="44"/>
    </row>
    <row r="10" spans="1:11" ht="12.75" customHeight="1" x14ac:dyDescent="0.2">
      <c r="A10" s="156" t="s">
        <v>38</v>
      </c>
      <c r="B10" s="157"/>
      <c r="D10" s="160" t="s">
        <v>157</v>
      </c>
      <c r="E10" s="160"/>
      <c r="F10" s="34">
        <f>F6*G6+F7*G7+F8*G8+F9*G9</f>
        <v>90</v>
      </c>
      <c r="G10" s="35">
        <f>SUM(G6:G9)</f>
        <v>22</v>
      </c>
      <c r="I10" s="44"/>
    </row>
    <row r="11" spans="1:11" x14ac:dyDescent="0.2">
      <c r="A11" s="19"/>
      <c r="B11" s="43"/>
      <c r="D11" s="19"/>
      <c r="E11" s="43"/>
      <c r="F11" s="43"/>
      <c r="G11" s="19"/>
      <c r="H11" s="33"/>
      <c r="I11" s="44"/>
    </row>
    <row r="12" spans="1:11" x14ac:dyDescent="0.2">
      <c r="A12" s="19"/>
      <c r="B12" s="43"/>
      <c r="D12" s="19"/>
      <c r="E12" s="43"/>
      <c r="F12" s="43"/>
      <c r="G12" s="19"/>
      <c r="H12" s="33"/>
      <c r="I12" s="44"/>
    </row>
    <row r="13" spans="1:11" ht="25.5" customHeight="1" x14ac:dyDescent="0.2">
      <c r="A13" s="45" t="s">
        <v>56</v>
      </c>
      <c r="B13" s="45" t="s">
        <v>64</v>
      </c>
      <c r="C13" s="51"/>
      <c r="D13" s="35" t="s">
        <v>162</v>
      </c>
      <c r="E13" s="45" t="s">
        <v>163</v>
      </c>
      <c r="F13" s="45" t="s">
        <v>146</v>
      </c>
      <c r="G13" s="161" t="s">
        <v>164</v>
      </c>
      <c r="H13" s="161"/>
      <c r="I13" s="45" t="s">
        <v>156</v>
      </c>
    </row>
    <row r="14" spans="1:11" ht="15.75" customHeight="1" x14ac:dyDescent="0.2">
      <c r="A14" s="35" t="s">
        <v>44</v>
      </c>
      <c r="B14" s="34" t="s">
        <v>45</v>
      </c>
      <c r="D14" s="35" t="s">
        <v>44</v>
      </c>
      <c r="E14" s="34" t="s">
        <v>45</v>
      </c>
      <c r="F14" s="34"/>
      <c r="G14" s="162" t="s">
        <v>135</v>
      </c>
      <c r="H14" s="162"/>
      <c r="I14" s="46"/>
      <c r="J14" s="55"/>
      <c r="K14" s="55"/>
    </row>
    <row r="15" spans="1:11" ht="12.75" customHeight="1" x14ac:dyDescent="0.2">
      <c r="D15" s="13">
        <v>1</v>
      </c>
      <c r="E15" s="62" t="s">
        <v>29</v>
      </c>
      <c r="F15" s="13">
        <f t="shared" ref="F15:F36" si="0">SUMIF(E$6:E$9,E15,F$6:F$9)</f>
        <v>1</v>
      </c>
      <c r="G15" s="158" t="s">
        <v>291</v>
      </c>
      <c r="H15" s="159"/>
      <c r="I15" s="13" t="s">
        <v>178</v>
      </c>
      <c r="K15" s="54"/>
    </row>
    <row r="16" spans="1:11" ht="22.5" customHeight="1" x14ac:dyDescent="0.2">
      <c r="D16" s="13">
        <v>2</v>
      </c>
      <c r="E16" s="62" t="s">
        <v>30</v>
      </c>
      <c r="F16" s="13">
        <f t="shared" si="0"/>
        <v>3</v>
      </c>
      <c r="G16" s="158" t="s">
        <v>292</v>
      </c>
      <c r="H16" s="159"/>
      <c r="I16" s="13" t="s">
        <v>178</v>
      </c>
    </row>
    <row r="17" spans="3:10" ht="22.5" customHeight="1" x14ac:dyDescent="0.2">
      <c r="C17" s="52"/>
      <c r="D17" s="13">
        <v>3</v>
      </c>
      <c r="E17" s="62" t="s">
        <v>30</v>
      </c>
      <c r="F17" s="13">
        <f t="shared" si="0"/>
        <v>3</v>
      </c>
      <c r="G17" s="158" t="s">
        <v>293</v>
      </c>
      <c r="H17" s="159"/>
      <c r="I17" s="13" t="s">
        <v>165</v>
      </c>
      <c r="J17" s="19"/>
    </row>
    <row r="18" spans="3:10" ht="12.75" customHeight="1" x14ac:dyDescent="0.2">
      <c r="D18" s="13">
        <v>4</v>
      </c>
      <c r="E18" s="62" t="s">
        <v>30</v>
      </c>
      <c r="F18" s="13">
        <f t="shared" si="0"/>
        <v>3</v>
      </c>
      <c r="G18" s="158" t="s">
        <v>294</v>
      </c>
      <c r="H18" s="159"/>
      <c r="I18" s="13" t="s">
        <v>178</v>
      </c>
      <c r="J18" s="19"/>
    </row>
    <row r="19" spans="3:10" ht="12.75" customHeight="1" x14ac:dyDescent="0.2">
      <c r="D19" s="13">
        <v>5</v>
      </c>
      <c r="E19" s="62" t="s">
        <v>31</v>
      </c>
      <c r="F19" s="13">
        <f t="shared" si="0"/>
        <v>6</v>
      </c>
      <c r="G19" s="158" t="s">
        <v>295</v>
      </c>
      <c r="H19" s="159"/>
      <c r="I19" s="13" t="s">
        <v>63</v>
      </c>
      <c r="J19" s="19"/>
    </row>
    <row r="20" spans="3:10" x14ac:dyDescent="0.2">
      <c r="C20" s="52"/>
      <c r="D20" s="13">
        <v>6</v>
      </c>
      <c r="E20" s="62" t="s">
        <v>31</v>
      </c>
      <c r="F20" s="13">
        <f t="shared" si="0"/>
        <v>6</v>
      </c>
      <c r="G20" s="158" t="s">
        <v>296</v>
      </c>
      <c r="H20" s="159"/>
      <c r="I20" s="13" t="s">
        <v>63</v>
      </c>
      <c r="J20" s="19"/>
    </row>
    <row r="21" spans="3:10" ht="23.25" customHeight="1" x14ac:dyDescent="0.2">
      <c r="D21" s="13">
        <v>7</v>
      </c>
      <c r="E21" s="62" t="s">
        <v>31</v>
      </c>
      <c r="F21" s="13">
        <f t="shared" si="0"/>
        <v>6</v>
      </c>
      <c r="G21" s="158" t="s">
        <v>297</v>
      </c>
      <c r="H21" s="159"/>
      <c r="I21" s="13" t="s">
        <v>193</v>
      </c>
    </row>
    <row r="22" spans="3:10" x14ac:dyDescent="0.2">
      <c r="D22" s="13">
        <v>8</v>
      </c>
      <c r="E22" s="62" t="s">
        <v>31</v>
      </c>
      <c r="F22" s="13">
        <f t="shared" si="0"/>
        <v>6</v>
      </c>
      <c r="G22" s="158" t="s">
        <v>298</v>
      </c>
      <c r="H22" s="159"/>
      <c r="I22" s="13" t="s">
        <v>193</v>
      </c>
    </row>
    <row r="23" spans="3:10" x14ac:dyDescent="0.2">
      <c r="D23" s="13">
        <v>9</v>
      </c>
      <c r="E23" s="62" t="s">
        <v>31</v>
      </c>
      <c r="F23" s="13">
        <f t="shared" si="0"/>
        <v>6</v>
      </c>
      <c r="G23" s="158" t="s">
        <v>299</v>
      </c>
      <c r="H23" s="159"/>
      <c r="I23" s="13" t="s">
        <v>166</v>
      </c>
    </row>
    <row r="24" spans="3:10" x14ac:dyDescent="0.2">
      <c r="D24" s="13">
        <v>10</v>
      </c>
      <c r="E24" s="62" t="s">
        <v>29</v>
      </c>
      <c r="F24" s="13">
        <f t="shared" si="0"/>
        <v>1</v>
      </c>
      <c r="G24" s="158" t="s">
        <v>300</v>
      </c>
      <c r="H24" s="159"/>
      <c r="I24" s="13" t="s">
        <v>178</v>
      </c>
    </row>
    <row r="25" spans="3:10" x14ac:dyDescent="0.2">
      <c r="D25" s="13">
        <v>11</v>
      </c>
      <c r="E25" s="62" t="s">
        <v>31</v>
      </c>
      <c r="F25" s="13">
        <f t="shared" si="0"/>
        <v>6</v>
      </c>
      <c r="G25" s="158" t="s">
        <v>301</v>
      </c>
      <c r="H25" s="159"/>
      <c r="I25" s="13" t="s">
        <v>167</v>
      </c>
    </row>
    <row r="26" spans="3:10" ht="21" customHeight="1" x14ac:dyDescent="0.2">
      <c r="D26" s="13">
        <v>12</v>
      </c>
      <c r="E26" s="62" t="s">
        <v>31</v>
      </c>
      <c r="F26" s="13">
        <f t="shared" si="0"/>
        <v>6</v>
      </c>
      <c r="G26" s="158" t="s">
        <v>302</v>
      </c>
      <c r="H26" s="159"/>
      <c r="I26" s="13" t="s">
        <v>167</v>
      </c>
    </row>
    <row r="27" spans="3:10" x14ac:dyDescent="0.2">
      <c r="D27" s="13">
        <v>13</v>
      </c>
      <c r="E27" s="62" t="s">
        <v>30</v>
      </c>
      <c r="F27" s="13">
        <f t="shared" si="0"/>
        <v>3</v>
      </c>
      <c r="G27" s="158" t="s">
        <v>303</v>
      </c>
      <c r="H27" s="159"/>
      <c r="I27" s="13" t="s">
        <v>165</v>
      </c>
    </row>
    <row r="28" spans="3:10" x14ac:dyDescent="0.2">
      <c r="D28" s="13">
        <v>14</v>
      </c>
      <c r="E28" s="62" t="s">
        <v>31</v>
      </c>
      <c r="F28" s="13">
        <f t="shared" si="0"/>
        <v>6</v>
      </c>
      <c r="G28" s="158" t="s">
        <v>304</v>
      </c>
      <c r="H28" s="159"/>
      <c r="I28" s="13" t="s">
        <v>165</v>
      </c>
    </row>
    <row r="29" spans="3:10" ht="12.75" customHeight="1" x14ac:dyDescent="0.2">
      <c r="D29" s="13">
        <v>15</v>
      </c>
      <c r="E29" s="62" t="s">
        <v>31</v>
      </c>
      <c r="F29" s="13">
        <f t="shared" si="0"/>
        <v>6</v>
      </c>
      <c r="G29" s="158" t="s">
        <v>305</v>
      </c>
      <c r="H29" s="159"/>
      <c r="I29" s="13" t="s">
        <v>165</v>
      </c>
    </row>
    <row r="30" spans="3:10" ht="22.5" customHeight="1" x14ac:dyDescent="0.2">
      <c r="D30" s="13">
        <v>16</v>
      </c>
      <c r="E30" s="62" t="s">
        <v>29</v>
      </c>
      <c r="F30" s="13">
        <f t="shared" si="0"/>
        <v>1</v>
      </c>
      <c r="G30" s="158" t="s">
        <v>306</v>
      </c>
      <c r="H30" s="159"/>
      <c r="I30" s="13" t="s">
        <v>178</v>
      </c>
    </row>
    <row r="31" spans="3:10" ht="25.5" customHeight="1" x14ac:dyDescent="0.2">
      <c r="D31" s="13">
        <v>17</v>
      </c>
      <c r="E31" s="62" t="s">
        <v>30</v>
      </c>
      <c r="F31" s="13">
        <f t="shared" si="0"/>
        <v>3</v>
      </c>
      <c r="G31" s="158" t="s">
        <v>307</v>
      </c>
      <c r="H31" s="159"/>
      <c r="I31" s="13" t="s">
        <v>63</v>
      </c>
      <c r="J31" s="54"/>
    </row>
    <row r="32" spans="3:10" x14ac:dyDescent="0.2">
      <c r="D32" s="13">
        <v>18</v>
      </c>
      <c r="E32" s="62" t="s">
        <v>30</v>
      </c>
      <c r="F32" s="13">
        <f t="shared" si="0"/>
        <v>3</v>
      </c>
      <c r="G32" s="158" t="s">
        <v>308</v>
      </c>
      <c r="H32" s="159"/>
      <c r="I32" s="13" t="s">
        <v>63</v>
      </c>
      <c r="J32" s="52"/>
    </row>
    <row r="33" spans="4:10" ht="21.75" customHeight="1" x14ac:dyDescent="0.2">
      <c r="D33" s="13">
        <v>19</v>
      </c>
      <c r="E33" s="62" t="s">
        <v>31</v>
      </c>
      <c r="F33" s="13">
        <f t="shared" si="0"/>
        <v>6</v>
      </c>
      <c r="G33" s="158" t="s">
        <v>309</v>
      </c>
      <c r="H33" s="159"/>
      <c r="I33" s="13" t="s">
        <v>63</v>
      </c>
      <c r="J33" s="56"/>
    </row>
    <row r="34" spans="4:10" ht="21" customHeight="1" x14ac:dyDescent="0.2">
      <c r="D34" s="13">
        <v>20</v>
      </c>
      <c r="E34" s="62" t="s">
        <v>30</v>
      </c>
      <c r="F34" s="13">
        <f t="shared" si="0"/>
        <v>3</v>
      </c>
      <c r="G34" s="158" t="s">
        <v>310</v>
      </c>
      <c r="H34" s="159"/>
      <c r="I34" s="13" t="s">
        <v>165</v>
      </c>
      <c r="J34" s="52"/>
    </row>
    <row r="35" spans="4:10" x14ac:dyDescent="0.2">
      <c r="D35" s="13">
        <v>21</v>
      </c>
      <c r="E35" s="62" t="s">
        <v>30</v>
      </c>
      <c r="F35" s="13">
        <f t="shared" si="0"/>
        <v>3</v>
      </c>
      <c r="G35" s="158" t="s">
        <v>311</v>
      </c>
      <c r="H35" s="159"/>
      <c r="I35" s="13" t="s">
        <v>178</v>
      </c>
      <c r="J35" s="56"/>
    </row>
    <row r="36" spans="4:10" x14ac:dyDescent="0.2">
      <c r="D36" s="13">
        <v>22</v>
      </c>
      <c r="E36" s="62" t="s">
        <v>30</v>
      </c>
      <c r="F36" s="13">
        <f t="shared" si="0"/>
        <v>3</v>
      </c>
      <c r="G36" s="158" t="s">
        <v>312</v>
      </c>
      <c r="H36" s="159"/>
      <c r="I36" s="13" t="s">
        <v>166</v>
      </c>
    </row>
  </sheetData>
  <mergeCells count="29">
    <mergeCell ref="D2:I2"/>
    <mergeCell ref="D1:I1"/>
    <mergeCell ref="G33:H33"/>
    <mergeCell ref="G34:H34"/>
    <mergeCell ref="G35:H35"/>
    <mergeCell ref="G21:H21"/>
    <mergeCell ref="G36:H36"/>
    <mergeCell ref="G30:H30"/>
    <mergeCell ref="G19:H19"/>
    <mergeCell ref="G20:H20"/>
    <mergeCell ref="G32:H32"/>
    <mergeCell ref="G31:H31"/>
    <mergeCell ref="G29:H29"/>
    <mergeCell ref="G27:H27"/>
    <mergeCell ref="G28:H28"/>
    <mergeCell ref="G22:H22"/>
    <mergeCell ref="G23:H23"/>
    <mergeCell ref="G25:H25"/>
    <mergeCell ref="G26:H26"/>
    <mergeCell ref="G24:H24"/>
    <mergeCell ref="A5:B5"/>
    <mergeCell ref="A10:B10"/>
    <mergeCell ref="G18:H18"/>
    <mergeCell ref="G17:H17"/>
    <mergeCell ref="G16:H16"/>
    <mergeCell ref="D10:E10"/>
    <mergeCell ref="G13:H13"/>
    <mergeCell ref="G14:H14"/>
    <mergeCell ref="G15:H15"/>
  </mergeCells>
  <phoneticPr fontId="20" type="noConversion"/>
  <dataValidations count="1">
    <dataValidation type="list" allowBlank="1" showInputMessage="1" showErrorMessage="1" sqref="B15:B20 E15:E36" xr:uid="{00000000-0002-0000-0000-000000000000}">
      <formula1>$B$6:$B$9</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A26"/>
  <sheetViews>
    <sheetView zoomScale="85" zoomScaleNormal="85" zoomScalePageLayoutView="125" workbookViewId="0">
      <selection activeCell="B16" sqref="B16:C16"/>
    </sheetView>
  </sheetViews>
  <sheetFormatPr baseColWidth="10" defaultColWidth="9.140625" defaultRowHeight="11.25" x14ac:dyDescent="0.2"/>
  <cols>
    <col min="1" max="1" width="5.7109375" style="7" customWidth="1"/>
    <col min="2" max="2" width="3" style="7" bestFit="1" customWidth="1"/>
    <col min="3" max="3" width="19.42578125" style="8" bestFit="1" customWidth="1"/>
    <col min="4" max="4" width="15.28515625" style="8" customWidth="1"/>
    <col min="5" max="5" width="14.140625" style="7" customWidth="1"/>
    <col min="6" max="6" width="51" style="9" customWidth="1"/>
    <col min="7" max="7" width="9.140625" style="7"/>
    <col min="8" max="8" width="5" style="7" customWidth="1"/>
    <col min="9" max="9" width="12.7109375" style="7" customWidth="1"/>
    <col min="10" max="10" width="9.140625" style="7"/>
    <col min="11" max="11" width="11.28515625" style="7" customWidth="1"/>
    <col min="12" max="12" width="18.5703125" style="7" customWidth="1"/>
    <col min="13" max="16384" width="9.140625" style="7"/>
  </cols>
  <sheetData>
    <row r="1" spans="2:27" ht="29.25" customHeight="1" x14ac:dyDescent="0.2">
      <c r="I1" s="151" t="s">
        <v>136</v>
      </c>
      <c r="J1" s="151"/>
      <c r="K1" s="151"/>
      <c r="L1" s="151"/>
      <c r="M1" s="10"/>
    </row>
    <row r="2" spans="2:27" s="10" customFormat="1" ht="36.75" customHeight="1" thickBot="1" x14ac:dyDescent="0.25">
      <c r="B2" s="154" t="s">
        <v>11</v>
      </c>
      <c r="C2" s="154"/>
      <c r="D2" s="95" t="s">
        <v>145</v>
      </c>
      <c r="E2" s="95" t="s">
        <v>12</v>
      </c>
      <c r="F2" s="95" t="s">
        <v>13</v>
      </c>
    </row>
    <row r="3" spans="2:27" s="10" customFormat="1" ht="34.5" customHeight="1" x14ac:dyDescent="0.2">
      <c r="B3" s="96">
        <v>1</v>
      </c>
      <c r="C3" s="93" t="s">
        <v>14</v>
      </c>
      <c r="D3" s="91">
        <v>2</v>
      </c>
      <c r="E3" s="92">
        <v>4</v>
      </c>
      <c r="F3" s="94" t="s">
        <v>46</v>
      </c>
      <c r="G3" s="10">
        <f>D3*E3</f>
        <v>8</v>
      </c>
      <c r="I3" s="99" t="s">
        <v>12</v>
      </c>
      <c r="J3" s="100" t="s">
        <v>137</v>
      </c>
    </row>
    <row r="4" spans="2:27" s="10" customFormat="1" ht="36" x14ac:dyDescent="0.2">
      <c r="B4" s="96">
        <v>2</v>
      </c>
      <c r="C4" s="93" t="s">
        <v>15</v>
      </c>
      <c r="D4" s="91">
        <v>1</v>
      </c>
      <c r="E4" s="92">
        <v>4</v>
      </c>
      <c r="F4" s="94" t="s">
        <v>47</v>
      </c>
      <c r="G4" s="10">
        <f t="shared" ref="G4:G15" si="0">D4*E4</f>
        <v>4</v>
      </c>
      <c r="I4" s="101">
        <v>0</v>
      </c>
      <c r="J4" s="102" t="s">
        <v>139</v>
      </c>
    </row>
    <row r="5" spans="2:27" s="10" customFormat="1" ht="24" x14ac:dyDescent="0.2">
      <c r="B5" s="96">
        <v>3</v>
      </c>
      <c r="C5" s="93" t="s">
        <v>16</v>
      </c>
      <c r="D5" s="91">
        <v>1</v>
      </c>
      <c r="E5" s="92">
        <v>4</v>
      </c>
      <c r="F5" s="94" t="s">
        <v>48</v>
      </c>
      <c r="G5" s="10">
        <f t="shared" si="0"/>
        <v>4</v>
      </c>
      <c r="I5" s="101">
        <v>1</v>
      </c>
      <c r="J5" s="102" t="s">
        <v>140</v>
      </c>
      <c r="Y5" s="146" t="s">
        <v>269</v>
      </c>
      <c r="Z5" s="146"/>
      <c r="AA5" s="146"/>
    </row>
    <row r="6" spans="2:27" s="10" customFormat="1" ht="36" x14ac:dyDescent="0.2">
      <c r="B6" s="96">
        <v>4</v>
      </c>
      <c r="C6" s="93" t="s">
        <v>17</v>
      </c>
      <c r="D6" s="91">
        <v>1</v>
      </c>
      <c r="E6" s="92">
        <v>5</v>
      </c>
      <c r="F6" s="94" t="s">
        <v>49</v>
      </c>
      <c r="G6" s="10">
        <f t="shared" si="0"/>
        <v>5</v>
      </c>
      <c r="I6" s="101">
        <v>2</v>
      </c>
      <c r="J6" s="102" t="s">
        <v>138</v>
      </c>
      <c r="Y6" s="146"/>
      <c r="Z6" s="146"/>
      <c r="AA6" s="146"/>
    </row>
    <row r="7" spans="2:27" s="10" customFormat="1" ht="60" x14ac:dyDescent="0.2">
      <c r="B7" s="96">
        <v>5</v>
      </c>
      <c r="C7" s="93" t="s">
        <v>18</v>
      </c>
      <c r="D7" s="91">
        <v>1</v>
      </c>
      <c r="E7" s="92">
        <v>4</v>
      </c>
      <c r="F7" s="94" t="s">
        <v>50</v>
      </c>
      <c r="G7" s="10">
        <f t="shared" si="0"/>
        <v>4</v>
      </c>
      <c r="I7" s="101">
        <v>3</v>
      </c>
      <c r="J7" s="102" t="s">
        <v>143</v>
      </c>
    </row>
    <row r="8" spans="2:27" s="10" customFormat="1" ht="36" x14ac:dyDescent="0.2">
      <c r="B8" s="96">
        <v>6</v>
      </c>
      <c r="C8" s="93" t="s">
        <v>19</v>
      </c>
      <c r="D8" s="91">
        <v>0.5</v>
      </c>
      <c r="E8" s="92">
        <v>2</v>
      </c>
      <c r="F8" s="94" t="s">
        <v>20</v>
      </c>
      <c r="G8" s="10">
        <f t="shared" si="0"/>
        <v>1</v>
      </c>
      <c r="I8" s="101">
        <v>4</v>
      </c>
      <c r="J8" s="102" t="s">
        <v>142</v>
      </c>
    </row>
    <row r="9" spans="2:27" s="10" customFormat="1" ht="36.75" thickBot="1" x14ac:dyDescent="0.25">
      <c r="B9" s="96">
        <v>7</v>
      </c>
      <c r="C9" s="93" t="s">
        <v>21</v>
      </c>
      <c r="D9" s="91">
        <v>0.5</v>
      </c>
      <c r="E9" s="92">
        <v>5</v>
      </c>
      <c r="F9" s="94" t="s">
        <v>22</v>
      </c>
      <c r="G9" s="10">
        <f t="shared" si="0"/>
        <v>2.5</v>
      </c>
      <c r="I9" s="103">
        <v>5</v>
      </c>
      <c r="J9" s="104" t="s">
        <v>141</v>
      </c>
    </row>
    <row r="10" spans="2:27" s="10" customFormat="1" ht="24" x14ac:dyDescent="0.2">
      <c r="B10" s="96">
        <v>8</v>
      </c>
      <c r="C10" s="93" t="s">
        <v>23</v>
      </c>
      <c r="D10" s="91">
        <v>2</v>
      </c>
      <c r="E10" s="92">
        <v>3</v>
      </c>
      <c r="F10" s="94" t="s">
        <v>51</v>
      </c>
      <c r="G10" s="10">
        <f t="shared" si="0"/>
        <v>6</v>
      </c>
    </row>
    <row r="11" spans="2:27" s="10" customFormat="1" ht="36.75" thickBot="1" x14ac:dyDescent="0.25">
      <c r="B11" s="96">
        <v>9</v>
      </c>
      <c r="C11" s="93" t="s">
        <v>24</v>
      </c>
      <c r="D11" s="91">
        <v>1</v>
      </c>
      <c r="E11" s="92">
        <v>4</v>
      </c>
      <c r="F11" s="94" t="s">
        <v>52</v>
      </c>
      <c r="G11" s="10">
        <f t="shared" si="0"/>
        <v>4</v>
      </c>
    </row>
    <row r="12" spans="2:27" s="10" customFormat="1" ht="48" x14ac:dyDescent="0.2">
      <c r="B12" s="96">
        <v>10</v>
      </c>
      <c r="C12" s="93" t="s">
        <v>25</v>
      </c>
      <c r="D12" s="91">
        <v>1</v>
      </c>
      <c r="E12" s="92">
        <v>2</v>
      </c>
      <c r="F12" s="94" t="s">
        <v>53</v>
      </c>
      <c r="G12" s="10">
        <f t="shared" si="0"/>
        <v>2</v>
      </c>
      <c r="K12" s="139" t="s">
        <v>260</v>
      </c>
      <c r="L12" s="140" t="s">
        <v>261</v>
      </c>
      <c r="M12" s="147" t="s">
        <v>262</v>
      </c>
      <c r="N12" s="147"/>
      <c r="O12" s="147"/>
      <c r="P12" s="147"/>
      <c r="Q12" s="148"/>
    </row>
    <row r="13" spans="2:27" s="10" customFormat="1" ht="45.6" customHeight="1" x14ac:dyDescent="0.2">
      <c r="B13" s="96">
        <v>11</v>
      </c>
      <c r="C13" s="93" t="s">
        <v>26</v>
      </c>
      <c r="D13" s="91">
        <v>1</v>
      </c>
      <c r="E13" s="92">
        <v>4</v>
      </c>
      <c r="F13" s="94" t="s">
        <v>259</v>
      </c>
      <c r="G13" s="10">
        <f t="shared" si="0"/>
        <v>4</v>
      </c>
      <c r="K13" s="142">
        <v>0</v>
      </c>
      <c r="L13" s="138" t="s">
        <v>139</v>
      </c>
      <c r="M13" s="149" t="s">
        <v>263</v>
      </c>
      <c r="N13" s="149"/>
      <c r="O13" s="149"/>
      <c r="P13" s="149"/>
      <c r="Q13" s="150"/>
    </row>
    <row r="14" spans="2:27" s="10" customFormat="1" ht="34.15" customHeight="1" x14ac:dyDescent="0.2">
      <c r="B14" s="96">
        <v>12</v>
      </c>
      <c r="C14" s="93" t="s">
        <v>27</v>
      </c>
      <c r="D14" s="91">
        <v>1</v>
      </c>
      <c r="E14" s="92">
        <v>4</v>
      </c>
      <c r="F14" s="94" t="s">
        <v>54</v>
      </c>
      <c r="G14" s="10">
        <f t="shared" si="0"/>
        <v>4</v>
      </c>
      <c r="K14" s="142">
        <v>1</v>
      </c>
      <c r="L14" s="138" t="s">
        <v>140</v>
      </c>
      <c r="M14" s="149" t="s">
        <v>264</v>
      </c>
      <c r="N14" s="149"/>
      <c r="O14" s="149"/>
      <c r="P14" s="149"/>
      <c r="Q14" s="150"/>
    </row>
    <row r="15" spans="2:27" s="10" customFormat="1" ht="24" customHeight="1" x14ac:dyDescent="0.2">
      <c r="B15" s="96">
        <v>13</v>
      </c>
      <c r="C15" s="93" t="s">
        <v>28</v>
      </c>
      <c r="D15" s="91">
        <v>1</v>
      </c>
      <c r="E15" s="92">
        <v>2</v>
      </c>
      <c r="F15" s="94" t="s">
        <v>55</v>
      </c>
      <c r="G15" s="10">
        <f t="shared" si="0"/>
        <v>2</v>
      </c>
      <c r="K15" s="142">
        <v>2</v>
      </c>
      <c r="L15" s="138" t="s">
        <v>138</v>
      </c>
      <c r="M15" s="149" t="s">
        <v>265</v>
      </c>
      <c r="N15" s="149"/>
      <c r="O15" s="149"/>
      <c r="P15" s="149"/>
      <c r="Q15" s="150"/>
    </row>
    <row r="16" spans="2:27" ht="30.75" customHeight="1" x14ac:dyDescent="0.2">
      <c r="B16" s="155" t="s">
        <v>32</v>
      </c>
      <c r="C16" s="155"/>
      <c r="D16" s="97"/>
      <c r="E16" s="46">
        <f t="array" ref="E16">0.6+(SUM(D3:D15*E3:E15)/100)</f>
        <v>1.105</v>
      </c>
      <c r="F16" s="98"/>
      <c r="G16" s="7">
        <f>0.6+SUM(G3:G15)/100</f>
        <v>1.105</v>
      </c>
      <c r="K16" s="142">
        <v>3</v>
      </c>
      <c r="L16" s="138" t="s">
        <v>143</v>
      </c>
      <c r="M16" s="149" t="s">
        <v>266</v>
      </c>
      <c r="N16" s="149"/>
      <c r="O16" s="149"/>
      <c r="P16" s="149"/>
      <c r="Q16" s="150"/>
    </row>
    <row r="17" spans="11:17" ht="34.15" customHeight="1" x14ac:dyDescent="0.2">
      <c r="K17" s="142">
        <v>4</v>
      </c>
      <c r="L17" s="138" t="s">
        <v>142</v>
      </c>
      <c r="M17" s="149" t="s">
        <v>267</v>
      </c>
      <c r="N17" s="149"/>
      <c r="O17" s="149"/>
      <c r="P17" s="149"/>
      <c r="Q17" s="150"/>
    </row>
    <row r="18" spans="11:17" ht="34.15" customHeight="1" thickBot="1" x14ac:dyDescent="0.25">
      <c r="K18" s="143">
        <v>5</v>
      </c>
      <c r="L18" s="141" t="s">
        <v>141</v>
      </c>
      <c r="M18" s="152" t="s">
        <v>268</v>
      </c>
      <c r="N18" s="152"/>
      <c r="O18" s="152"/>
      <c r="P18" s="152"/>
      <c r="Q18" s="153"/>
    </row>
    <row r="21" spans="11:17" ht="66" customHeight="1" x14ac:dyDescent="0.2"/>
    <row r="22" spans="11:17" ht="66" customHeight="1" x14ac:dyDescent="0.2"/>
    <row r="23" spans="11:17" ht="66" customHeight="1" x14ac:dyDescent="0.2"/>
    <row r="24" spans="11:17" ht="79.150000000000006" customHeight="1" x14ac:dyDescent="0.2"/>
    <row r="25" spans="11:17" ht="79.150000000000006" customHeight="1" x14ac:dyDescent="0.2"/>
    <row r="26" spans="11:17" ht="79.150000000000006" customHeight="1" x14ac:dyDescent="0.2"/>
  </sheetData>
  <mergeCells count="11">
    <mergeCell ref="I1:L1"/>
    <mergeCell ref="M16:Q16"/>
    <mergeCell ref="M17:Q17"/>
    <mergeCell ref="M18:Q18"/>
    <mergeCell ref="B2:C2"/>
    <mergeCell ref="B16:C16"/>
    <mergeCell ref="Y5:AA6"/>
    <mergeCell ref="M12:Q12"/>
    <mergeCell ref="M13:Q13"/>
    <mergeCell ref="M14:Q14"/>
    <mergeCell ref="M15:Q15"/>
  </mergeCells>
  <phoneticPr fontId="20"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4"/>
  <sheetViews>
    <sheetView topLeftCell="A26" zoomScale="115" zoomScaleNormal="115" workbookViewId="0">
      <selection activeCell="E33" sqref="E33"/>
    </sheetView>
  </sheetViews>
  <sheetFormatPr baseColWidth="10" defaultRowHeight="12.75" x14ac:dyDescent="0.2"/>
  <cols>
    <col min="1" max="1" width="20.5703125" customWidth="1"/>
    <col min="2" max="2" width="15.7109375" customWidth="1"/>
    <col min="3" max="3" width="14.85546875" customWidth="1"/>
    <col min="4" max="4" width="36.42578125" customWidth="1"/>
    <col min="5" max="5" width="20.7109375" customWidth="1"/>
  </cols>
  <sheetData>
    <row r="1" spans="1:8" x14ac:dyDescent="0.2">
      <c r="A1" s="83" t="s">
        <v>70</v>
      </c>
      <c r="B1" s="176" t="s">
        <v>129</v>
      </c>
      <c r="C1" s="177"/>
    </row>
    <row r="2" spans="1:8" x14ac:dyDescent="0.2">
      <c r="A2" s="90" t="s">
        <v>132</v>
      </c>
      <c r="B2" s="167">
        <f>E34</f>
        <v>9900</v>
      </c>
      <c r="C2" s="168"/>
    </row>
    <row r="3" spans="1:8" x14ac:dyDescent="0.2">
      <c r="A3" s="90" t="s">
        <v>131</v>
      </c>
      <c r="B3" s="167">
        <f>B2/1000</f>
        <v>9.9</v>
      </c>
      <c r="C3" s="168"/>
    </row>
    <row r="5" spans="1:8" ht="22.9" customHeight="1" x14ac:dyDescent="0.2">
      <c r="A5" s="178" t="s">
        <v>203</v>
      </c>
      <c r="B5" s="178"/>
      <c r="C5" s="178"/>
      <c r="D5" s="178"/>
      <c r="E5" s="126"/>
      <c r="F5" s="126"/>
      <c r="G5" s="126"/>
      <c r="H5" s="126"/>
    </row>
    <row r="6" spans="1:8" x14ac:dyDescent="0.2">
      <c r="A6" s="111" t="s">
        <v>204</v>
      </c>
      <c r="B6" s="180" t="s">
        <v>225</v>
      </c>
      <c r="C6" s="181"/>
      <c r="D6" s="111" t="s">
        <v>206</v>
      </c>
    </row>
    <row r="7" spans="1:8" x14ac:dyDescent="0.2">
      <c r="A7" s="107" t="s">
        <v>165</v>
      </c>
      <c r="B7" s="127">
        <v>200</v>
      </c>
      <c r="C7" s="127">
        <v>400</v>
      </c>
      <c r="D7" s="107" t="s">
        <v>207</v>
      </c>
    </row>
    <row r="8" spans="1:8" x14ac:dyDescent="0.2">
      <c r="A8" s="107" t="s">
        <v>178</v>
      </c>
      <c r="B8" s="127">
        <v>150</v>
      </c>
      <c r="C8" s="127">
        <v>350</v>
      </c>
      <c r="D8" s="107" t="s">
        <v>270</v>
      </c>
    </row>
    <row r="9" spans="1:8" x14ac:dyDescent="0.2">
      <c r="A9" s="107" t="s">
        <v>63</v>
      </c>
      <c r="B9" s="127">
        <v>400</v>
      </c>
      <c r="C9" s="127">
        <v>800</v>
      </c>
      <c r="D9" s="107" t="s">
        <v>208</v>
      </c>
    </row>
    <row r="10" spans="1:8" ht="25.5" x14ac:dyDescent="0.2">
      <c r="A10" s="107" t="s">
        <v>166</v>
      </c>
      <c r="B10" s="127">
        <v>300</v>
      </c>
      <c r="C10" s="127">
        <v>600</v>
      </c>
      <c r="D10" s="107" t="s">
        <v>273</v>
      </c>
    </row>
    <row r="11" spans="1:8" ht="25.5" x14ac:dyDescent="0.2">
      <c r="A11" s="107" t="s">
        <v>271</v>
      </c>
      <c r="B11" s="127">
        <v>500</v>
      </c>
      <c r="C11" s="127">
        <v>1000</v>
      </c>
      <c r="D11" s="107" t="s">
        <v>272</v>
      </c>
    </row>
    <row r="12" spans="1:8" x14ac:dyDescent="0.2">
      <c r="A12" s="107" t="s">
        <v>167</v>
      </c>
      <c r="B12" s="127">
        <v>500</v>
      </c>
      <c r="C12" s="127">
        <v>1000</v>
      </c>
      <c r="D12" s="107" t="s">
        <v>209</v>
      </c>
    </row>
    <row r="13" spans="1:8" x14ac:dyDescent="0.2">
      <c r="A13" s="144"/>
      <c r="B13" s="145"/>
      <c r="C13" s="145"/>
      <c r="D13" s="144"/>
    </row>
    <row r="14" spans="1:8" x14ac:dyDescent="0.2">
      <c r="A14" s="144"/>
      <c r="B14" s="145"/>
      <c r="C14" s="145"/>
      <c r="D14" s="144"/>
    </row>
    <row r="17" spans="1:14" ht="23.25" x14ac:dyDescent="0.35">
      <c r="A17" s="179" t="s">
        <v>222</v>
      </c>
      <c r="B17" s="179"/>
      <c r="C17" s="179"/>
      <c r="D17" s="179"/>
    </row>
    <row r="18" spans="1:14" x14ac:dyDescent="0.2">
      <c r="A18" s="109" t="s">
        <v>10</v>
      </c>
      <c r="B18" s="180" t="s">
        <v>210</v>
      </c>
      <c r="C18" s="181"/>
      <c r="D18" s="109" t="s">
        <v>211</v>
      </c>
    </row>
    <row r="19" spans="1:14" x14ac:dyDescent="0.2">
      <c r="A19" s="110" t="s">
        <v>212</v>
      </c>
      <c r="B19" s="110" t="s">
        <v>226</v>
      </c>
      <c r="C19" s="110" t="s">
        <v>227</v>
      </c>
      <c r="D19" s="107" t="s">
        <v>213</v>
      </c>
    </row>
    <row r="20" spans="1:14" x14ac:dyDescent="0.2">
      <c r="A20" s="110" t="s">
        <v>214</v>
      </c>
      <c r="B20" s="110" t="s">
        <v>227</v>
      </c>
      <c r="C20" s="110" t="s">
        <v>228</v>
      </c>
      <c r="D20" s="107" t="s">
        <v>215</v>
      </c>
    </row>
    <row r="21" spans="1:14" x14ac:dyDescent="0.2">
      <c r="A21" s="110" t="s">
        <v>216</v>
      </c>
      <c r="B21" s="110" t="s">
        <v>228</v>
      </c>
      <c r="C21" s="110" t="s">
        <v>229</v>
      </c>
      <c r="D21" s="107" t="s">
        <v>217</v>
      </c>
    </row>
    <row r="22" spans="1:14" x14ac:dyDescent="0.2">
      <c r="A22" s="110" t="s">
        <v>218</v>
      </c>
      <c r="B22" s="110" t="s">
        <v>229</v>
      </c>
      <c r="C22" s="110" t="s">
        <v>230</v>
      </c>
      <c r="D22" s="107" t="s">
        <v>219</v>
      </c>
    </row>
    <row r="23" spans="1:14" x14ac:dyDescent="0.2">
      <c r="A23" s="110" t="s">
        <v>220</v>
      </c>
      <c r="B23" s="110" t="s">
        <v>230</v>
      </c>
      <c r="C23" s="110" t="s">
        <v>231</v>
      </c>
      <c r="D23" s="107" t="s">
        <v>221</v>
      </c>
    </row>
    <row r="25" spans="1:14" ht="23.25" x14ac:dyDescent="0.35">
      <c r="A25" s="179"/>
      <c r="B25" s="179"/>
      <c r="C25" s="179"/>
      <c r="D25" s="179"/>
    </row>
    <row r="26" spans="1:14" ht="23.25" x14ac:dyDescent="0.2">
      <c r="A26" s="170" t="s">
        <v>223</v>
      </c>
      <c r="B26" s="171"/>
      <c r="C26" s="171"/>
      <c r="D26" s="172"/>
      <c r="J26" s="169" t="s">
        <v>232</v>
      </c>
      <c r="K26" s="169"/>
      <c r="L26" s="169"/>
      <c r="M26" s="169"/>
      <c r="N26" s="169"/>
    </row>
    <row r="27" spans="1:14" x14ac:dyDescent="0.2">
      <c r="A27" s="131" t="s">
        <v>156</v>
      </c>
      <c r="B27" s="173" t="s">
        <v>224</v>
      </c>
      <c r="C27" s="174"/>
      <c r="D27" s="132" t="s">
        <v>205</v>
      </c>
      <c r="E27" s="132" t="s">
        <v>233</v>
      </c>
    </row>
    <row r="28" spans="1:14" x14ac:dyDescent="0.2">
      <c r="A28" s="129" t="s">
        <v>165</v>
      </c>
      <c r="B28" s="167">
        <f>COUNTIF('Elementos Funcionales'!$I$15:$I$36,"=Registro")</f>
        <v>5</v>
      </c>
      <c r="C28" s="168"/>
      <c r="D28" s="130">
        <f>(B7+C7)/2</f>
        <v>300</v>
      </c>
      <c r="E28" s="65">
        <f t="shared" ref="E28:E33" si="0">B28*D28</f>
        <v>1500</v>
      </c>
    </row>
    <row r="29" spans="1:14" x14ac:dyDescent="0.2">
      <c r="A29" s="129" t="s">
        <v>63</v>
      </c>
      <c r="B29" s="167">
        <f>COUNTIF('Elementos Funcionales'!$I$15:$I$36,"=Proceso")</f>
        <v>5</v>
      </c>
      <c r="C29" s="168"/>
      <c r="D29" s="130">
        <f>(B9+C9)/2</f>
        <v>600</v>
      </c>
      <c r="E29" s="65">
        <f t="shared" si="0"/>
        <v>3000</v>
      </c>
    </row>
    <row r="30" spans="1:14" x14ac:dyDescent="0.2">
      <c r="A30" s="129" t="s">
        <v>166</v>
      </c>
      <c r="B30" s="167">
        <f>COUNTIF('Elementos Funcionales'!$I$15:$I$36,"=Reporte")</f>
        <v>2</v>
      </c>
      <c r="C30" s="168"/>
      <c r="D30" s="130">
        <f>(B10+C10)/2</f>
        <v>450</v>
      </c>
      <c r="E30" s="65">
        <f t="shared" si="0"/>
        <v>900</v>
      </c>
    </row>
    <row r="31" spans="1:14" x14ac:dyDescent="0.2">
      <c r="A31" s="129" t="s">
        <v>167</v>
      </c>
      <c r="B31" s="167">
        <f>COUNTIF('Elementos Funcionales'!$I$15:$I$36,"=Seguridad")</f>
        <v>2</v>
      </c>
      <c r="C31" s="168"/>
      <c r="D31" s="130">
        <f>(B12+C12)/2</f>
        <v>750</v>
      </c>
      <c r="E31" s="65">
        <f t="shared" si="0"/>
        <v>1500</v>
      </c>
    </row>
    <row r="32" spans="1:14" x14ac:dyDescent="0.2">
      <c r="A32" s="129" t="s">
        <v>178</v>
      </c>
      <c r="B32" s="175">
        <f>COUNTIF('Elementos Funcionales'!$I$15:$I$36,"=Consulta")</f>
        <v>6</v>
      </c>
      <c r="C32" s="175"/>
      <c r="D32" s="130">
        <f>(B8+C8)/2</f>
        <v>250</v>
      </c>
      <c r="E32" s="65">
        <f t="shared" si="0"/>
        <v>1500</v>
      </c>
    </row>
    <row r="33" spans="1:5" x14ac:dyDescent="0.2">
      <c r="A33" s="129" t="s">
        <v>193</v>
      </c>
      <c r="B33" s="167">
        <f>COUNTIF('Elementos Funcionales'!$I$15:$I$36,"=Integración")</f>
        <v>2</v>
      </c>
      <c r="C33" s="168"/>
      <c r="D33" s="130">
        <f>(B11+C11)/2</f>
        <v>750</v>
      </c>
      <c r="E33" s="65">
        <f t="shared" si="0"/>
        <v>1500</v>
      </c>
    </row>
    <row r="34" spans="1:5" x14ac:dyDescent="0.2">
      <c r="D34" s="133" t="s">
        <v>234</v>
      </c>
      <c r="E34" s="134">
        <f>SUM(E28:E33)</f>
        <v>9900</v>
      </c>
    </row>
  </sheetData>
  <mergeCells count="17">
    <mergeCell ref="B1:C1"/>
    <mergeCell ref="B2:C2"/>
    <mergeCell ref="B3:C3"/>
    <mergeCell ref="B28:C28"/>
    <mergeCell ref="B29:C29"/>
    <mergeCell ref="A5:D5"/>
    <mergeCell ref="A17:D17"/>
    <mergeCell ref="A25:D25"/>
    <mergeCell ref="B6:C6"/>
    <mergeCell ref="B18:C18"/>
    <mergeCell ref="B33:C33"/>
    <mergeCell ref="J26:N26"/>
    <mergeCell ref="A26:D26"/>
    <mergeCell ref="B27:C27"/>
    <mergeCell ref="B32:C32"/>
    <mergeCell ref="B30:C30"/>
    <mergeCell ref="B31:C3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88"/>
  <sheetViews>
    <sheetView tabSelected="1" topLeftCell="A9" zoomScale="107" zoomScaleNormal="107" zoomScalePageLayoutView="150" workbookViewId="0">
      <selection activeCell="M32" sqref="M32"/>
    </sheetView>
  </sheetViews>
  <sheetFormatPr baseColWidth="10" defaultColWidth="11.42578125" defaultRowHeight="12.75" x14ac:dyDescent="0.2"/>
  <cols>
    <col min="1" max="1" width="36.7109375" bestFit="1" customWidth="1"/>
    <col min="2" max="2" width="14.42578125" customWidth="1"/>
    <col min="3" max="3" width="5.140625" customWidth="1"/>
    <col min="4" max="4" width="22.7109375" bestFit="1" customWidth="1"/>
    <col min="5" max="5" width="7.28515625" customWidth="1"/>
    <col min="6" max="6" width="9.5703125" customWidth="1"/>
    <col min="7" max="7" width="11.42578125" bestFit="1" customWidth="1"/>
    <col min="8" max="8" width="7.42578125" bestFit="1" customWidth="1"/>
    <col min="9" max="9" width="13.7109375" customWidth="1"/>
    <col min="10" max="10" width="8.85546875" customWidth="1"/>
    <col min="11" max="11" width="8" customWidth="1"/>
    <col min="12" max="12" width="12.5703125" customWidth="1"/>
    <col min="13" max="13" width="12.85546875" customWidth="1"/>
    <col min="14" max="14" width="5.7109375" customWidth="1"/>
    <col min="15" max="16" width="3.42578125" customWidth="1"/>
    <col min="17" max="23" width="3" bestFit="1" customWidth="1"/>
    <col min="24" max="24" width="4" bestFit="1" customWidth="1"/>
    <col min="25" max="26" width="3.28515625" customWidth="1"/>
    <col min="27" max="27" width="3.140625" customWidth="1"/>
    <col min="28" max="28" width="3.42578125" customWidth="1"/>
    <col min="29" max="29" width="3" customWidth="1"/>
    <col min="30" max="30" width="3.5703125" customWidth="1"/>
    <col min="31" max="31" width="3.28515625" customWidth="1"/>
    <col min="32" max="32" width="3.140625" customWidth="1"/>
    <col min="33" max="33" width="3.28515625" customWidth="1"/>
    <col min="34" max="34" width="3.140625" customWidth="1"/>
  </cols>
  <sheetData>
    <row r="1" spans="1:14" ht="38.25" customHeight="1" x14ac:dyDescent="0.2">
      <c r="A1" s="187" t="s">
        <v>147</v>
      </c>
      <c r="B1" s="187"/>
      <c r="C1" s="1"/>
    </row>
    <row r="2" spans="1:14" x14ac:dyDescent="0.2">
      <c r="A2" s="188"/>
      <c r="B2" s="188"/>
      <c r="C2" s="1"/>
      <c r="D2" s="3"/>
      <c r="E2" s="7"/>
      <c r="F2" s="7"/>
      <c r="G2" s="7"/>
      <c r="H2" s="7"/>
      <c r="I2" s="7"/>
      <c r="J2" s="7"/>
      <c r="K2" s="7"/>
      <c r="L2" s="7"/>
      <c r="M2" s="7"/>
      <c r="N2" s="23"/>
    </row>
    <row r="3" spans="1:14" x14ac:dyDescent="0.2">
      <c r="A3" s="1"/>
      <c r="B3" s="16"/>
      <c r="C3" s="1"/>
      <c r="D3" s="3"/>
      <c r="E3" s="7"/>
      <c r="F3" s="7"/>
      <c r="G3" s="7"/>
      <c r="H3" s="7"/>
      <c r="I3" s="7"/>
      <c r="J3" s="7"/>
      <c r="K3" s="7"/>
      <c r="L3" s="7"/>
      <c r="M3" s="7"/>
      <c r="N3" s="23"/>
    </row>
    <row r="4" spans="1:14" x14ac:dyDescent="0.2">
      <c r="A4" s="42" t="s">
        <v>62</v>
      </c>
      <c r="B4" s="16"/>
      <c r="C4" s="1"/>
      <c r="D4" s="24"/>
      <c r="E4" s="24"/>
      <c r="F4" s="24"/>
      <c r="G4" s="24"/>
      <c r="H4" s="24"/>
      <c r="I4" s="24"/>
      <c r="J4" s="24"/>
      <c r="K4" s="24"/>
      <c r="L4" s="24"/>
      <c r="M4" s="24"/>
      <c r="N4" s="23"/>
    </row>
    <row r="5" spans="1:14" x14ac:dyDescent="0.2">
      <c r="A5" s="17"/>
      <c r="B5" s="16"/>
      <c r="C5" s="1"/>
      <c r="D5" s="9"/>
      <c r="E5" s="25"/>
      <c r="F5" s="25"/>
      <c r="G5" s="25"/>
      <c r="H5" s="25"/>
      <c r="I5" s="25"/>
      <c r="J5" s="25"/>
      <c r="K5" s="25"/>
      <c r="L5" s="26"/>
      <c r="M5" s="26"/>
      <c r="N5" s="23"/>
    </row>
    <row r="6" spans="1:14" x14ac:dyDescent="0.2">
      <c r="A6" s="18" t="s">
        <v>1</v>
      </c>
      <c r="B6" s="16"/>
      <c r="C6" s="1"/>
      <c r="D6" s="9"/>
      <c r="E6" s="25"/>
      <c r="F6" s="25"/>
      <c r="G6" s="25"/>
      <c r="H6" s="25"/>
      <c r="I6" s="25"/>
      <c r="J6" s="25"/>
      <c r="K6" s="25"/>
      <c r="L6" s="26"/>
      <c r="M6" s="26"/>
      <c r="N6" s="23"/>
    </row>
    <row r="7" spans="1:14" x14ac:dyDescent="0.2">
      <c r="A7" s="17"/>
      <c r="B7" s="16"/>
      <c r="C7" s="1"/>
      <c r="D7" s="9"/>
      <c r="E7" s="25"/>
      <c r="F7" s="25"/>
      <c r="G7" s="25"/>
      <c r="H7" s="25"/>
      <c r="I7" s="25"/>
      <c r="J7" s="25"/>
      <c r="K7" s="25"/>
      <c r="L7" s="26"/>
      <c r="M7" s="26"/>
      <c r="N7" s="23"/>
    </row>
    <row r="8" spans="1:14" x14ac:dyDescent="0.2">
      <c r="A8" s="1" t="s">
        <v>2</v>
      </c>
      <c r="B8" s="16"/>
      <c r="C8" s="1"/>
      <c r="D8" s="18"/>
      <c r="E8" s="3"/>
      <c r="F8" s="3"/>
      <c r="G8" s="3"/>
      <c r="H8" s="3"/>
      <c r="I8" s="3"/>
      <c r="J8" s="3"/>
      <c r="K8" s="20"/>
      <c r="L8" s="21"/>
      <c r="M8" s="22"/>
      <c r="N8" s="23"/>
    </row>
    <row r="9" spans="1:14" x14ac:dyDescent="0.2">
      <c r="A9" s="1" t="s">
        <v>3</v>
      </c>
      <c r="B9" s="16"/>
      <c r="C9" s="1"/>
      <c r="D9" s="23"/>
      <c r="E9" s="23"/>
      <c r="F9" s="23"/>
      <c r="G9" s="23"/>
      <c r="H9" s="23"/>
      <c r="I9" s="23"/>
      <c r="J9" s="23"/>
      <c r="K9" s="23"/>
      <c r="L9" s="23"/>
      <c r="M9" s="23"/>
      <c r="N9" s="23"/>
    </row>
    <row r="10" spans="1:14" x14ac:dyDescent="0.2">
      <c r="A10" s="1" t="s">
        <v>4</v>
      </c>
      <c r="B10" s="16"/>
      <c r="C10" s="1"/>
      <c r="D10" s="23"/>
      <c r="E10" s="23"/>
      <c r="F10" s="5"/>
      <c r="G10" s="27"/>
      <c r="H10" s="28"/>
      <c r="I10" s="23"/>
      <c r="J10" s="23"/>
      <c r="K10" s="23"/>
      <c r="L10" s="23"/>
      <c r="M10" s="23"/>
      <c r="N10" s="23"/>
    </row>
    <row r="11" spans="1:14" x14ac:dyDescent="0.2">
      <c r="A11" s="19" t="s">
        <v>59</v>
      </c>
      <c r="B11" s="16"/>
      <c r="C11" s="1"/>
    </row>
    <row r="12" spans="1:14" ht="14.25" customHeight="1" x14ac:dyDescent="0.2">
      <c r="A12" s="84" t="s">
        <v>134</v>
      </c>
      <c r="B12" s="85">
        <f>'Tabla cálculo LOC'!B3</f>
        <v>9.9</v>
      </c>
      <c r="C12" s="182" t="s">
        <v>133</v>
      </c>
      <c r="D12" s="182"/>
    </row>
    <row r="13" spans="1:14" x14ac:dyDescent="0.2">
      <c r="A13" s="1"/>
      <c r="B13" s="16"/>
      <c r="C13" s="1"/>
    </row>
    <row r="14" spans="1:14" x14ac:dyDescent="0.2">
      <c r="A14" s="19" t="s">
        <v>60</v>
      </c>
      <c r="B14" s="16"/>
      <c r="C14" s="1"/>
    </row>
    <row r="15" spans="1:14" x14ac:dyDescent="0.2">
      <c r="A15" s="19" t="s">
        <v>67</v>
      </c>
      <c r="B15" s="16"/>
      <c r="C15" s="1"/>
    </row>
    <row r="16" spans="1:14" x14ac:dyDescent="0.2">
      <c r="A16" s="1"/>
      <c r="B16" s="16"/>
      <c r="C16" s="1"/>
    </row>
    <row r="17" spans="1:34" ht="22.5" x14ac:dyDescent="0.2">
      <c r="A17" s="33" t="s">
        <v>130</v>
      </c>
      <c r="B17" s="16"/>
      <c r="C17" s="1"/>
    </row>
    <row r="18" spans="1:34" x14ac:dyDescent="0.2">
      <c r="A18" s="17"/>
      <c r="B18" s="16"/>
      <c r="C18" s="1"/>
      <c r="D18" s="71"/>
    </row>
    <row r="19" spans="1:34" x14ac:dyDescent="0.2">
      <c r="A19" s="19"/>
      <c r="B19" s="16"/>
      <c r="C19" s="1"/>
    </row>
    <row r="20" spans="1:34" x14ac:dyDescent="0.2">
      <c r="A20" s="19"/>
      <c r="B20" s="16"/>
      <c r="C20" s="33"/>
      <c r="D20" s="53"/>
    </row>
    <row r="21" spans="1:34" x14ac:dyDescent="0.2">
      <c r="A21" s="19"/>
      <c r="B21" s="16"/>
      <c r="C21" s="33"/>
      <c r="D21" s="53"/>
      <c r="O21" s="7"/>
      <c r="P21" s="7"/>
      <c r="Q21" s="7"/>
      <c r="R21" s="7"/>
      <c r="S21" s="7"/>
      <c r="T21" s="7"/>
      <c r="U21" s="7"/>
      <c r="V21" s="7"/>
      <c r="W21" s="7"/>
      <c r="X21" s="7"/>
      <c r="Y21" s="7"/>
      <c r="Z21" s="7"/>
      <c r="AA21" s="7"/>
    </row>
    <row r="22" spans="1:34" x14ac:dyDescent="0.2">
      <c r="A22" s="2"/>
      <c r="B22" s="16"/>
      <c r="C22" s="1"/>
      <c r="D22" s="53"/>
      <c r="O22" s="7"/>
      <c r="P22" s="7"/>
      <c r="Q22" s="7"/>
      <c r="R22" s="7"/>
      <c r="S22" s="7"/>
      <c r="T22" s="7"/>
      <c r="U22" s="7"/>
      <c r="V22" s="7"/>
      <c r="W22" s="7"/>
      <c r="X22" s="7"/>
      <c r="Y22" s="7"/>
      <c r="Z22" s="7"/>
      <c r="AA22" s="7"/>
    </row>
    <row r="24" spans="1:34" ht="15" x14ac:dyDescent="0.2">
      <c r="A24" s="61" t="s">
        <v>69</v>
      </c>
      <c r="B24" s="61"/>
      <c r="C24" s="33"/>
      <c r="O24" s="37" t="s">
        <v>57</v>
      </c>
    </row>
    <row r="25" spans="1:34" x14ac:dyDescent="0.2">
      <c r="A25" s="38" t="s">
        <v>66</v>
      </c>
      <c r="B25" s="6"/>
      <c r="C25" s="3"/>
      <c r="D25" s="90" t="s">
        <v>239</v>
      </c>
      <c r="E25" s="7"/>
      <c r="F25" s="7"/>
      <c r="G25" s="7"/>
      <c r="H25" s="7"/>
      <c r="I25" s="7"/>
      <c r="J25" s="7"/>
      <c r="K25" s="8"/>
      <c r="L25" s="78"/>
      <c r="M25" s="7"/>
      <c r="O25" s="183" t="s">
        <v>87</v>
      </c>
      <c r="P25" s="184"/>
      <c r="Q25" s="184"/>
      <c r="R25" s="184"/>
      <c r="S25" s="184"/>
      <c r="T25" s="184"/>
      <c r="U25" s="184"/>
      <c r="V25" s="184"/>
      <c r="W25" s="184"/>
      <c r="X25" s="184"/>
      <c r="Y25" s="184"/>
      <c r="Z25" s="184"/>
      <c r="AA25" s="184"/>
      <c r="AB25" s="184"/>
      <c r="AC25" s="184"/>
      <c r="AD25" s="184"/>
      <c r="AE25" s="184"/>
      <c r="AF25" s="184"/>
      <c r="AG25" s="184"/>
      <c r="AH25" s="185"/>
    </row>
    <row r="26" spans="1:34" ht="26.25" customHeight="1" x14ac:dyDescent="0.2">
      <c r="A26" s="160" t="s">
        <v>61</v>
      </c>
      <c r="B26" s="186"/>
      <c r="C26" s="4"/>
      <c r="D26" s="35" t="s">
        <v>58</v>
      </c>
      <c r="E26" s="35" t="s">
        <v>42</v>
      </c>
      <c r="F26" s="35" t="s">
        <v>36</v>
      </c>
      <c r="G26" s="35" t="s">
        <v>34</v>
      </c>
      <c r="H26" s="35" t="s">
        <v>5</v>
      </c>
      <c r="I26" s="35" t="s">
        <v>35</v>
      </c>
      <c r="J26" s="35" t="s">
        <v>6</v>
      </c>
      <c r="K26" s="35" t="s">
        <v>7</v>
      </c>
      <c r="L26" s="35" t="s">
        <v>150</v>
      </c>
      <c r="M26" s="35" t="s">
        <v>151</v>
      </c>
      <c r="O26" s="39" t="s">
        <v>98</v>
      </c>
      <c r="P26" s="39" t="s">
        <v>99</v>
      </c>
      <c r="Q26" s="39" t="s">
        <v>100</v>
      </c>
      <c r="R26" s="39" t="s">
        <v>101</v>
      </c>
      <c r="S26" s="39" t="s">
        <v>102</v>
      </c>
      <c r="T26" s="39" t="s">
        <v>112</v>
      </c>
      <c r="U26" s="39" t="s">
        <v>113</v>
      </c>
      <c r="V26" s="39" t="s">
        <v>114</v>
      </c>
      <c r="W26" s="39" t="s">
        <v>115</v>
      </c>
      <c r="X26" s="39" t="s">
        <v>116</v>
      </c>
      <c r="Y26" s="39" t="s">
        <v>109</v>
      </c>
      <c r="Z26" s="39" t="s">
        <v>110</v>
      </c>
      <c r="AA26" s="39" t="s">
        <v>88</v>
      </c>
      <c r="AB26" s="39" t="s">
        <v>111</v>
      </c>
      <c r="AC26" s="39" t="s">
        <v>105</v>
      </c>
      <c r="AD26" s="39" t="s">
        <v>106</v>
      </c>
      <c r="AE26" s="39" t="s">
        <v>107</v>
      </c>
      <c r="AF26" s="39" t="s">
        <v>108</v>
      </c>
      <c r="AG26" s="39" t="s">
        <v>103</v>
      </c>
      <c r="AH26" s="39" t="s">
        <v>104</v>
      </c>
    </row>
    <row r="27" spans="1:34" s="7" customFormat="1" ht="11.25" x14ac:dyDescent="0.2">
      <c r="A27" s="29" t="s">
        <v>236</v>
      </c>
      <c r="B27" s="30">
        <f>'Elementos Funcionales'!G10</f>
        <v>22</v>
      </c>
      <c r="C27" s="4"/>
      <c r="D27" s="14" t="s">
        <v>117</v>
      </c>
      <c r="E27" s="49">
        <v>1</v>
      </c>
      <c r="F27" s="81">
        <f>COUNTIF($O$27:$AH$27,"=D")/$E$35</f>
        <v>0.05</v>
      </c>
      <c r="G27" s="81">
        <f>COUNTIF($O$27:$AH$27,"=C")/$E$35</f>
        <v>0.05</v>
      </c>
      <c r="H27" s="81">
        <f>COUNTIF($O$27:$AH$27,"=P")/$E$35</f>
        <v>0.05</v>
      </c>
      <c r="I27" s="81">
        <f>COUNTIF($O$27:$AH$27,"=I")/$E$35</f>
        <v>0.05</v>
      </c>
      <c r="J27" s="81">
        <f>SUM(F27:I27)</f>
        <v>0.2</v>
      </c>
      <c r="K27" s="81">
        <f>E27*J27</f>
        <v>0.2</v>
      </c>
      <c r="L27" s="86">
        <f>J27*$B$35</f>
        <v>4140.7801813170072</v>
      </c>
      <c r="M27" s="76">
        <f>K27*L27</f>
        <v>828.15603626340146</v>
      </c>
      <c r="N27" s="40" t="s">
        <v>122</v>
      </c>
      <c r="O27" s="70" t="s">
        <v>40</v>
      </c>
      <c r="P27" s="70"/>
      <c r="Q27" s="70"/>
      <c r="R27" s="70"/>
      <c r="S27" s="70"/>
      <c r="T27" s="70"/>
      <c r="U27" s="70" t="s">
        <v>39</v>
      </c>
      <c r="V27" s="70"/>
      <c r="W27" s="70"/>
      <c r="X27" s="70"/>
      <c r="Y27" s="70"/>
      <c r="Z27" s="70"/>
      <c r="AA27" s="70" t="s">
        <v>127</v>
      </c>
      <c r="AB27" s="70"/>
      <c r="AC27" s="70" t="s">
        <v>128</v>
      </c>
      <c r="AD27" s="70"/>
      <c r="AE27" s="70"/>
      <c r="AF27" s="70"/>
      <c r="AG27" s="70"/>
      <c r="AH27" s="70"/>
    </row>
    <row r="28" spans="1:34" s="7" customFormat="1" ht="11.25" x14ac:dyDescent="0.2">
      <c r="A28" s="29" t="s">
        <v>235</v>
      </c>
      <c r="B28" s="30">
        <f>'Elementos Funcionales'!F10</f>
        <v>90</v>
      </c>
      <c r="D28" s="14" t="s">
        <v>118</v>
      </c>
      <c r="E28" s="49">
        <v>1</v>
      </c>
      <c r="F28" s="81">
        <f>COUNTIF($O$28:$AH$28,"=D")/$E$35</f>
        <v>0.1</v>
      </c>
      <c r="G28" s="81">
        <f>COUNTIF($O$28:$AH$28,"=C")/$E$35</f>
        <v>0.05</v>
      </c>
      <c r="H28" s="81">
        <f>COUNTIF($O$28:$AH$28,"=P")/$E$35</f>
        <v>0.05</v>
      </c>
      <c r="I28" s="81">
        <f>COUNTIF($O$28:$AH$28,"=I")/$E$35</f>
        <v>0.05</v>
      </c>
      <c r="J28" s="81">
        <f>SUM(F28:I28)</f>
        <v>0.25</v>
      </c>
      <c r="K28" s="81">
        <f>E28*J28</f>
        <v>0.25</v>
      </c>
      <c r="L28" s="86">
        <f>J28*$B$35</f>
        <v>5175.9752266462583</v>
      </c>
      <c r="M28" s="76">
        <f>K28*L28</f>
        <v>1293.9938066615646</v>
      </c>
      <c r="N28" s="40" t="s">
        <v>123</v>
      </c>
      <c r="O28" s="70" t="s">
        <v>40</v>
      </c>
      <c r="P28" s="70" t="s">
        <v>40</v>
      </c>
      <c r="Q28" s="70"/>
      <c r="R28" s="70"/>
      <c r="S28" s="70" t="s">
        <v>39</v>
      </c>
      <c r="T28" s="70"/>
      <c r="U28" s="70"/>
      <c r="V28" s="70"/>
      <c r="W28" s="70"/>
      <c r="X28" s="70"/>
      <c r="Y28" s="70"/>
      <c r="Z28" s="70" t="s">
        <v>127</v>
      </c>
      <c r="AA28" s="70"/>
      <c r="AB28" s="70"/>
      <c r="AC28" s="70" t="s">
        <v>128</v>
      </c>
      <c r="AD28" s="70"/>
      <c r="AE28" s="70"/>
      <c r="AF28" s="70"/>
      <c r="AG28" s="70"/>
      <c r="AH28" s="70"/>
    </row>
    <row r="29" spans="1:34" s="7" customFormat="1" ht="11.25" x14ac:dyDescent="0.2">
      <c r="A29" s="29" t="s">
        <v>8</v>
      </c>
      <c r="B29" s="30">
        <v>2.94</v>
      </c>
      <c r="D29" s="14" t="s">
        <v>119</v>
      </c>
      <c r="E29" s="49">
        <v>1</v>
      </c>
      <c r="F29" s="81">
        <f>COUNTIF($O$29:$AH$29,"=D")/$E$35</f>
        <v>0.15</v>
      </c>
      <c r="G29" s="81">
        <f>COUNTIF($O$29:$AH$29,"=C")/$E$35</f>
        <v>0.05</v>
      </c>
      <c r="H29" s="81">
        <f>COUNTIF($O$29:$AH$29,"=P")/$E$35</f>
        <v>0</v>
      </c>
      <c r="I29" s="81">
        <f>COUNTIF($O$29:$AH$29,"=I")/$E$35</f>
        <v>0.1</v>
      </c>
      <c r="J29" s="81">
        <f>SUM(F29:I29)</f>
        <v>0.30000000000000004</v>
      </c>
      <c r="K29" s="81">
        <f>E29*J29</f>
        <v>0.30000000000000004</v>
      </c>
      <c r="L29" s="86">
        <f t="shared" ref="L29:L31" si="0">J29*$B$35</f>
        <v>6211.1702719755112</v>
      </c>
      <c r="M29" s="76">
        <f>K29*L29</f>
        <v>1863.3510815926536</v>
      </c>
      <c r="N29" s="40" t="s">
        <v>124</v>
      </c>
      <c r="O29" s="70" t="s">
        <v>40</v>
      </c>
      <c r="P29" s="70" t="s">
        <v>40</v>
      </c>
      <c r="Q29" s="70" t="s">
        <v>40</v>
      </c>
      <c r="R29" s="68" t="s">
        <v>39</v>
      </c>
      <c r="S29" s="70"/>
      <c r="T29" s="68"/>
      <c r="U29" s="68"/>
      <c r="V29" s="68"/>
      <c r="W29" s="68"/>
      <c r="X29" s="68"/>
      <c r="Y29" s="70"/>
      <c r="Z29" s="70"/>
      <c r="AA29" s="70"/>
      <c r="AB29" s="70" t="s">
        <v>128</v>
      </c>
      <c r="AC29" s="70" t="s">
        <v>128</v>
      </c>
      <c r="AD29" s="68"/>
      <c r="AE29" s="70"/>
      <c r="AF29" s="68"/>
      <c r="AG29" s="68"/>
      <c r="AH29" s="68"/>
    </row>
    <row r="30" spans="1:34" s="7" customFormat="1" ht="11.25" x14ac:dyDescent="0.2">
      <c r="A30" s="29" t="s">
        <v>33</v>
      </c>
      <c r="B30" s="36">
        <f>B12</f>
        <v>9.9</v>
      </c>
      <c r="D30" s="14" t="s">
        <v>120</v>
      </c>
      <c r="E30" s="49">
        <v>1</v>
      </c>
      <c r="F30" s="81">
        <f>COUNTIF($O$30:$AH$30,"=D")/$E$35</f>
        <v>0.1</v>
      </c>
      <c r="G30" s="81">
        <f>COUNTIF($O$30:$AH$30,"=C")/$E$35</f>
        <v>0.35</v>
      </c>
      <c r="H30" s="81">
        <f>COUNTIF($O$30:$AH$30,"=P")/$E$35</f>
        <v>0.05</v>
      </c>
      <c r="I30" s="81">
        <f>COUNTIF($O$30:$AH$30,"=I")/$E$35</f>
        <v>0.05</v>
      </c>
      <c r="J30" s="81">
        <f>SUM(F30:I30)</f>
        <v>0.54999999999999993</v>
      </c>
      <c r="K30" s="81">
        <f>E30*J30</f>
        <v>0.54999999999999993</v>
      </c>
      <c r="L30" s="86">
        <f t="shared" si="0"/>
        <v>11387.145498621767</v>
      </c>
      <c r="M30" s="76">
        <f>K30*L30</f>
        <v>6262.9300242419713</v>
      </c>
      <c r="N30" s="40" t="s">
        <v>125</v>
      </c>
      <c r="O30" s="70"/>
      <c r="P30" s="70" t="s">
        <v>40</v>
      </c>
      <c r="Q30" s="70" t="s">
        <v>40</v>
      </c>
      <c r="R30" s="70" t="s">
        <v>39</v>
      </c>
      <c r="S30" s="70" t="s">
        <v>39</v>
      </c>
      <c r="T30" s="70" t="s">
        <v>39</v>
      </c>
      <c r="U30" s="70" t="s">
        <v>39</v>
      </c>
      <c r="V30" s="70" t="s">
        <v>39</v>
      </c>
      <c r="W30" s="70" t="s">
        <v>39</v>
      </c>
      <c r="X30" s="70" t="s">
        <v>39</v>
      </c>
      <c r="Y30" s="70" t="s">
        <v>127</v>
      </c>
      <c r="Z30" s="70"/>
      <c r="AA30" s="70"/>
      <c r="AB30" s="70" t="s">
        <v>128</v>
      </c>
      <c r="AC30" s="70"/>
      <c r="AD30" s="70"/>
      <c r="AE30" s="70"/>
      <c r="AF30" s="70"/>
      <c r="AG30" s="70"/>
      <c r="AH30" s="70"/>
    </row>
    <row r="31" spans="1:34" s="7" customFormat="1" ht="11.25" x14ac:dyDescent="0.2">
      <c r="A31" s="29" t="s">
        <v>9</v>
      </c>
      <c r="B31" s="30">
        <f>'Factores Complejidad Tecnica'!$E$16</f>
        <v>1.105</v>
      </c>
      <c r="D31" s="14" t="s">
        <v>121</v>
      </c>
      <c r="E31" s="49">
        <v>1</v>
      </c>
      <c r="F31" s="81">
        <f>COUNTIF($O$31:$AH$31,"=D")/$E$35</f>
        <v>0.05</v>
      </c>
      <c r="G31" s="81">
        <f>COUNTIF($O$31:$AH$31,"=C")/$E$35</f>
        <v>0</v>
      </c>
      <c r="H31" s="81">
        <f>COUNTIF($O$31:$AH$31,"=P")/$E$35</f>
        <v>0.25</v>
      </c>
      <c r="I31" s="81">
        <f>COUNTIF($O$31:$AH$31,"=I")/$E$35</f>
        <v>0.05</v>
      </c>
      <c r="J31" s="81">
        <f>SUM(F31:I31)</f>
        <v>0.35</v>
      </c>
      <c r="K31" s="81">
        <f>E31*J31</f>
        <v>0.35</v>
      </c>
      <c r="L31" s="86">
        <f t="shared" si="0"/>
        <v>7246.3653173047614</v>
      </c>
      <c r="M31" s="76">
        <f>K31*L31</f>
        <v>2536.2278610566664</v>
      </c>
      <c r="N31" s="40" t="s">
        <v>126</v>
      </c>
      <c r="O31" s="70"/>
      <c r="P31" s="70"/>
      <c r="Q31" s="70" t="s">
        <v>40</v>
      </c>
      <c r="R31" s="70"/>
      <c r="S31" s="70"/>
      <c r="T31" s="70"/>
      <c r="U31" s="70"/>
      <c r="V31" s="70" t="s">
        <v>127</v>
      </c>
      <c r="W31" s="70" t="s">
        <v>127</v>
      </c>
      <c r="X31" s="70"/>
      <c r="Y31" s="70" t="s">
        <v>127</v>
      </c>
      <c r="Z31" s="70" t="s">
        <v>127</v>
      </c>
      <c r="AA31" s="70" t="s">
        <v>127</v>
      </c>
      <c r="AB31" s="70" t="s">
        <v>128</v>
      </c>
      <c r="AC31" s="70"/>
      <c r="AD31" s="70"/>
      <c r="AE31" s="70"/>
      <c r="AF31" s="70"/>
      <c r="AG31" s="70"/>
      <c r="AH31" s="70"/>
    </row>
    <row r="32" spans="1:34" s="7" customFormat="1" x14ac:dyDescent="0.2">
      <c r="A32" s="29" t="s">
        <v>10</v>
      </c>
      <c r="B32" s="30">
        <f>B28*B30/1000</f>
        <v>0.89100000000000001</v>
      </c>
      <c r="D32" s="15" t="s">
        <v>0</v>
      </c>
      <c r="E32" s="73">
        <f>SUM(E27:E31)</f>
        <v>5</v>
      </c>
      <c r="F32" s="73"/>
      <c r="G32" s="73"/>
      <c r="H32" s="73"/>
      <c r="I32" s="73"/>
      <c r="J32" s="73"/>
      <c r="K32" s="74">
        <f>SUM(K27:K31)</f>
        <v>1.65</v>
      </c>
      <c r="L32" s="11" t="s">
        <v>152</v>
      </c>
      <c r="M32" s="77">
        <f>SUM(M27:M31)</f>
        <v>12784.658809816257</v>
      </c>
      <c r="O32" s="89" t="s">
        <v>40</v>
      </c>
      <c r="P32" s="7" t="s">
        <v>41</v>
      </c>
      <c r="Q32" s="8"/>
      <c r="R32" s="8"/>
      <c r="AA32"/>
      <c r="AB32"/>
      <c r="AC32"/>
      <c r="AD32"/>
      <c r="AE32"/>
      <c r="AF32"/>
      <c r="AG32"/>
      <c r="AH32"/>
    </row>
    <row r="33" spans="1:26" x14ac:dyDescent="0.2">
      <c r="A33" s="31" t="s">
        <v>237</v>
      </c>
      <c r="B33" s="32">
        <f>B29*POWER(B32,B31)</f>
        <v>2.5879876133231288</v>
      </c>
      <c r="D33" s="18"/>
      <c r="E33" s="3"/>
      <c r="F33" s="3"/>
      <c r="G33" s="3"/>
      <c r="H33" s="3"/>
      <c r="I33" s="3"/>
      <c r="J33" s="3"/>
      <c r="K33" s="67"/>
      <c r="L33" s="21"/>
      <c r="M33" s="22"/>
      <c r="N33" s="7"/>
      <c r="O33" s="41" t="s">
        <v>39</v>
      </c>
      <c r="P33" s="7" t="s">
        <v>43</v>
      </c>
      <c r="Q33" s="7"/>
      <c r="R33" s="7"/>
      <c r="S33" s="7"/>
      <c r="T33" s="7"/>
      <c r="U33" s="7"/>
      <c r="V33" s="7"/>
      <c r="W33" s="7"/>
      <c r="X33" s="7"/>
      <c r="Y33" s="7"/>
      <c r="Z33" s="7"/>
    </row>
    <row r="34" spans="1:26" x14ac:dyDescent="0.2">
      <c r="A34" s="29" t="s">
        <v>68</v>
      </c>
      <c r="B34" s="82">
        <v>50</v>
      </c>
      <c r="D34" s="14" t="s">
        <v>90</v>
      </c>
      <c r="E34" s="87">
        <v>4</v>
      </c>
      <c r="F34" s="88" t="s">
        <v>93</v>
      </c>
      <c r="G34" s="7"/>
      <c r="H34" s="7"/>
      <c r="I34" s="7"/>
      <c r="J34" s="7"/>
      <c r="N34" s="7"/>
      <c r="O34" s="79" t="s">
        <v>127</v>
      </c>
      <c r="P34" s="7" t="s">
        <v>97</v>
      </c>
      <c r="Q34" s="7"/>
      <c r="R34" s="7"/>
      <c r="S34" s="7"/>
      <c r="T34" s="7"/>
      <c r="U34" s="7"/>
      <c r="V34" s="7"/>
      <c r="W34" s="7"/>
      <c r="X34" s="7"/>
      <c r="Y34" s="7"/>
      <c r="Z34" s="7"/>
    </row>
    <row r="35" spans="1:26" x14ac:dyDescent="0.2">
      <c r="A35" s="29" t="s">
        <v>240</v>
      </c>
      <c r="B35" s="82">
        <f>B34*B33*E35*E37</f>
        <v>20703.900906585033</v>
      </c>
      <c r="D35" s="14" t="s">
        <v>89</v>
      </c>
      <c r="E35" s="49">
        <v>20</v>
      </c>
      <c r="F35" s="50" t="s">
        <v>94</v>
      </c>
      <c r="G35" s="7"/>
      <c r="H35" s="7"/>
      <c r="I35" s="7"/>
      <c r="J35" s="7"/>
      <c r="L35" s="66"/>
      <c r="N35" s="7"/>
      <c r="O35" s="80" t="s">
        <v>128</v>
      </c>
      <c r="P35" s="7" t="s">
        <v>96</v>
      </c>
    </row>
    <row r="36" spans="1:26" x14ac:dyDescent="0.2">
      <c r="D36" s="50" t="s">
        <v>91</v>
      </c>
      <c r="E36" s="49">
        <v>5</v>
      </c>
      <c r="F36" s="50" t="s">
        <v>94</v>
      </c>
      <c r="G36" s="7"/>
      <c r="H36" s="7"/>
      <c r="I36" s="7"/>
      <c r="J36" s="7"/>
    </row>
    <row r="37" spans="1:26" ht="25.9" customHeight="1" x14ac:dyDescent="0.2">
      <c r="A37" s="189" t="s">
        <v>238</v>
      </c>
      <c r="B37" s="189"/>
      <c r="D37" s="50" t="s">
        <v>92</v>
      </c>
      <c r="E37" s="49">
        <v>8</v>
      </c>
      <c r="F37" s="50" t="s">
        <v>95</v>
      </c>
      <c r="G37" s="75"/>
      <c r="H37" s="7"/>
      <c r="I37" s="7"/>
      <c r="J37" s="7"/>
      <c r="N37" s="7"/>
      <c r="O37" s="68"/>
      <c r="P37" s="7"/>
      <c r="Q37" s="7"/>
      <c r="R37" s="7"/>
      <c r="S37" s="7"/>
      <c r="T37" s="7"/>
      <c r="U37" s="7"/>
      <c r="V37" s="7"/>
      <c r="W37" s="7"/>
      <c r="X37" s="7"/>
      <c r="Y37" s="7"/>
      <c r="Z37" s="7"/>
    </row>
    <row r="38" spans="1:26" x14ac:dyDescent="0.2">
      <c r="A38" s="6"/>
      <c r="B38" s="6"/>
      <c r="D38" s="7"/>
      <c r="E38" s="7"/>
      <c r="F38" s="7"/>
      <c r="G38" s="7"/>
      <c r="H38" s="7"/>
      <c r="I38" s="7"/>
      <c r="J38" s="75"/>
      <c r="K38" s="72"/>
      <c r="N38" s="7"/>
      <c r="O38" s="69"/>
      <c r="P38" s="7"/>
      <c r="Q38" s="7"/>
      <c r="R38" s="7"/>
      <c r="S38" s="7"/>
      <c r="T38" s="7"/>
      <c r="U38" s="7"/>
      <c r="V38" s="7"/>
      <c r="W38" s="7"/>
      <c r="X38" s="7"/>
      <c r="Y38" s="7"/>
      <c r="Z38" s="7"/>
    </row>
    <row r="39" spans="1:26" ht="17.25" x14ac:dyDescent="0.2">
      <c r="D39" s="194" t="s">
        <v>241</v>
      </c>
      <c r="E39" s="194"/>
      <c r="F39" s="194"/>
      <c r="G39" s="194"/>
      <c r="H39" s="194"/>
      <c r="I39" s="194"/>
      <c r="J39" s="194"/>
      <c r="K39" s="194"/>
      <c r="L39" s="194"/>
      <c r="M39" s="194"/>
      <c r="N39" s="194"/>
      <c r="O39" s="194"/>
    </row>
    <row r="40" spans="1:26" x14ac:dyDescent="0.2">
      <c r="D40" s="128"/>
    </row>
    <row r="41" spans="1:26" x14ac:dyDescent="0.2">
      <c r="D41" s="135" t="s">
        <v>242</v>
      </c>
      <c r="H41" s="71"/>
      <c r="I41" s="71"/>
    </row>
    <row r="42" spans="1:26" x14ac:dyDescent="0.2">
      <c r="D42" s="135" t="s">
        <v>274</v>
      </c>
    </row>
    <row r="43" spans="1:26" x14ac:dyDescent="0.2">
      <c r="D43" s="135" t="s">
        <v>275</v>
      </c>
    </row>
    <row r="44" spans="1:26" x14ac:dyDescent="0.2">
      <c r="D44" s="135" t="s">
        <v>276</v>
      </c>
    </row>
    <row r="45" spans="1:26" x14ac:dyDescent="0.2">
      <c r="D45" s="125"/>
    </row>
    <row r="46" spans="1:26" x14ac:dyDescent="0.2">
      <c r="D46" s="135" t="s">
        <v>243</v>
      </c>
    </row>
    <row r="47" spans="1:26" x14ac:dyDescent="0.2">
      <c r="D47" s="135" t="s">
        <v>277</v>
      </c>
    </row>
    <row r="48" spans="1:26" x14ac:dyDescent="0.2">
      <c r="D48" s="135" t="s">
        <v>278</v>
      </c>
    </row>
    <row r="49" spans="4:40" x14ac:dyDescent="0.2">
      <c r="D49" s="135" t="s">
        <v>279</v>
      </c>
    </row>
    <row r="50" spans="4:40" x14ac:dyDescent="0.2">
      <c r="D50" s="128"/>
    </row>
    <row r="51" spans="4:40" x14ac:dyDescent="0.2">
      <c r="D51" s="135" t="s">
        <v>244</v>
      </c>
    </row>
    <row r="52" spans="4:40" x14ac:dyDescent="0.2">
      <c r="D52" s="135" t="s">
        <v>280</v>
      </c>
    </row>
    <row r="53" spans="4:40" ht="31.15" customHeight="1" x14ac:dyDescent="0.2">
      <c r="D53" s="196" t="s">
        <v>281</v>
      </c>
      <c r="E53" s="196"/>
      <c r="F53" s="196"/>
      <c r="G53" s="196"/>
      <c r="H53" s="196"/>
      <c r="I53" s="196"/>
      <c r="J53" s="196"/>
      <c r="K53" s="196"/>
      <c r="L53" s="196"/>
      <c r="M53" s="196"/>
      <c r="N53" s="196"/>
      <c r="O53" s="196"/>
      <c r="P53" s="196"/>
      <c r="Q53" s="196"/>
      <c r="R53" s="196"/>
      <c r="S53" s="196"/>
      <c r="T53" s="196"/>
      <c r="U53" s="196"/>
      <c r="V53" s="196"/>
      <c r="W53" s="196"/>
      <c r="X53" s="196"/>
      <c r="Y53" s="196"/>
      <c r="Z53" s="196"/>
      <c r="AA53" s="196"/>
      <c r="AB53" s="196"/>
      <c r="AC53" s="196"/>
      <c r="AD53" s="196"/>
    </row>
    <row r="54" spans="4:40" x14ac:dyDescent="0.2">
      <c r="D54" s="135" t="s">
        <v>282</v>
      </c>
    </row>
    <row r="55" spans="4:40" x14ac:dyDescent="0.2">
      <c r="D55" s="128"/>
    </row>
    <row r="56" spans="4:40" x14ac:dyDescent="0.2">
      <c r="D56" s="135" t="s">
        <v>245</v>
      </c>
    </row>
    <row r="57" spans="4:40" x14ac:dyDescent="0.2">
      <c r="D57" s="135" t="s">
        <v>283</v>
      </c>
    </row>
    <row r="58" spans="4:40" x14ac:dyDescent="0.2">
      <c r="D58" s="135" t="s">
        <v>284</v>
      </c>
    </row>
    <row r="59" spans="4:40" x14ac:dyDescent="0.2">
      <c r="D59" s="135" t="s">
        <v>285</v>
      </c>
    </row>
    <row r="60" spans="4:40" x14ac:dyDescent="0.2">
      <c r="D60" s="128"/>
    </row>
    <row r="61" spans="4:40" x14ac:dyDescent="0.2">
      <c r="D61" s="135" t="s">
        <v>246</v>
      </c>
    </row>
    <row r="62" spans="4:40" x14ac:dyDescent="0.2">
      <c r="D62" s="135" t="s">
        <v>286</v>
      </c>
    </row>
    <row r="63" spans="4:40" ht="28.15" customHeight="1" x14ac:dyDescent="0.2">
      <c r="D63" s="195" t="s">
        <v>287</v>
      </c>
      <c r="E63" s="195"/>
      <c r="F63" s="195"/>
      <c r="G63" s="195"/>
      <c r="H63" s="195"/>
      <c r="I63" s="195"/>
      <c r="J63" s="195"/>
      <c r="K63" s="195"/>
      <c r="L63" s="195"/>
      <c r="M63" s="195"/>
      <c r="N63" s="195"/>
      <c r="O63" s="195"/>
      <c r="P63" s="195"/>
      <c r="Q63" s="195"/>
      <c r="R63" s="195"/>
      <c r="S63" s="195"/>
      <c r="T63" s="195"/>
      <c r="U63" s="195"/>
      <c r="V63" s="195"/>
      <c r="W63" s="195"/>
      <c r="X63" s="195"/>
      <c r="Y63" s="135"/>
      <c r="Z63" s="135"/>
      <c r="AA63" s="135"/>
      <c r="AB63" s="135"/>
      <c r="AC63" s="135"/>
      <c r="AD63" s="135"/>
      <c r="AE63" s="135"/>
      <c r="AF63" s="135"/>
      <c r="AG63" s="135"/>
      <c r="AH63" s="135"/>
      <c r="AI63" s="135"/>
      <c r="AJ63" s="135"/>
      <c r="AK63" s="135"/>
      <c r="AL63" s="135"/>
      <c r="AM63" s="135"/>
      <c r="AN63" s="135"/>
    </row>
    <row r="64" spans="4:40" x14ac:dyDescent="0.2">
      <c r="D64" s="135" t="s">
        <v>288</v>
      </c>
    </row>
    <row r="67" spans="2:29" x14ac:dyDescent="0.2">
      <c r="B67" s="90" t="s">
        <v>247</v>
      </c>
      <c r="D67" s="190" t="s">
        <v>289</v>
      </c>
      <c r="E67" s="190"/>
      <c r="F67" s="190"/>
      <c r="G67" s="190"/>
      <c r="H67" s="190"/>
      <c r="I67" s="190"/>
      <c r="J67" s="190"/>
      <c r="K67" s="190"/>
      <c r="L67" s="190"/>
      <c r="M67" s="190"/>
    </row>
    <row r="68" spans="2:29" x14ac:dyDescent="0.2">
      <c r="D68" s="190"/>
      <c r="E68" s="190"/>
      <c r="F68" s="190"/>
      <c r="G68" s="190"/>
      <c r="H68" s="190"/>
      <c r="I68" s="190"/>
      <c r="J68" s="190"/>
      <c r="K68" s="190"/>
      <c r="L68" s="190"/>
      <c r="M68" s="190"/>
    </row>
    <row r="69" spans="2:29" ht="20.45" customHeight="1" x14ac:dyDescent="0.2">
      <c r="D69" s="190"/>
      <c r="E69" s="190"/>
      <c r="F69" s="190"/>
      <c r="G69" s="190"/>
      <c r="H69" s="190"/>
      <c r="I69" s="190"/>
      <c r="J69" s="190"/>
      <c r="K69" s="190"/>
      <c r="L69" s="190"/>
      <c r="M69" s="190"/>
    </row>
    <row r="75" spans="2:29" ht="17.25" x14ac:dyDescent="0.2">
      <c r="B75" s="193" t="s">
        <v>248</v>
      </c>
      <c r="C75" s="193"/>
      <c r="D75" s="193"/>
      <c r="E75" s="193"/>
      <c r="F75" s="193"/>
      <c r="G75" s="193"/>
      <c r="H75" s="193"/>
      <c r="I75" s="193"/>
      <c r="J75" s="193"/>
      <c r="K75" s="193"/>
      <c r="L75" s="193"/>
      <c r="M75" s="193"/>
      <c r="N75" s="193"/>
      <c r="O75" s="193"/>
      <c r="P75" s="193"/>
      <c r="Q75" s="193"/>
      <c r="R75" s="193"/>
      <c r="S75" s="193"/>
      <c r="T75" s="193"/>
      <c r="U75" s="193"/>
      <c r="V75" s="193"/>
      <c r="W75" s="193"/>
      <c r="X75" s="193"/>
      <c r="Y75" s="193"/>
      <c r="Z75" s="193"/>
      <c r="AA75" s="193"/>
      <c r="AB75" s="136"/>
      <c r="AC75" s="136"/>
    </row>
    <row r="76" spans="2:29" x14ac:dyDescent="0.2">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row>
    <row r="77" spans="2:29" x14ac:dyDescent="0.2">
      <c r="B77" s="136" t="s">
        <v>249</v>
      </c>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row>
    <row r="78" spans="2:29" x14ac:dyDescent="0.2">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row>
    <row r="79" spans="2:29" x14ac:dyDescent="0.2">
      <c r="B79" s="192" t="s">
        <v>250</v>
      </c>
      <c r="C79" s="192"/>
      <c r="D79" s="192"/>
      <c r="E79" s="192"/>
      <c r="F79" s="192"/>
      <c r="G79" s="192"/>
      <c r="H79" s="192"/>
      <c r="I79" s="192"/>
      <c r="J79" s="192"/>
      <c r="K79" s="192"/>
      <c r="L79" s="192"/>
      <c r="M79" s="192"/>
      <c r="N79" s="192"/>
      <c r="O79" s="192"/>
      <c r="P79" s="192"/>
      <c r="Q79" s="136"/>
      <c r="R79" s="136"/>
      <c r="S79" s="136"/>
      <c r="T79" s="136"/>
      <c r="U79" s="136"/>
      <c r="V79" s="136"/>
      <c r="W79" s="136"/>
      <c r="X79" s="136"/>
      <c r="Y79" s="136"/>
      <c r="Z79" s="136"/>
      <c r="AA79" s="136"/>
      <c r="AB79" s="136"/>
      <c r="AC79" s="136"/>
    </row>
    <row r="80" spans="2:29" x14ac:dyDescent="0.2">
      <c r="B80" s="192"/>
      <c r="C80" s="192"/>
      <c r="D80" s="192"/>
      <c r="E80" s="192"/>
      <c r="F80" s="192"/>
      <c r="G80" s="192"/>
      <c r="H80" s="192"/>
      <c r="I80" s="192"/>
      <c r="J80" s="192"/>
      <c r="K80" s="192"/>
      <c r="L80" s="192"/>
      <c r="M80" s="192"/>
      <c r="N80" s="192"/>
      <c r="O80" s="192"/>
      <c r="P80" s="192"/>
      <c r="Q80" s="136"/>
      <c r="R80" s="136"/>
      <c r="S80" s="136"/>
      <c r="T80" s="136"/>
      <c r="U80" s="136"/>
      <c r="V80" s="136"/>
      <c r="W80" s="136"/>
      <c r="X80" s="136"/>
      <c r="Y80" s="136"/>
      <c r="Z80" s="136"/>
      <c r="AA80" s="136"/>
      <c r="AB80" s="136"/>
      <c r="AC80" s="136"/>
    </row>
    <row r="81" spans="2:29" x14ac:dyDescent="0.2">
      <c r="B81" s="137" t="s">
        <v>255</v>
      </c>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row>
    <row r="82" spans="2:29" x14ac:dyDescent="0.2">
      <c r="B82" s="192" t="s">
        <v>251</v>
      </c>
      <c r="C82" s="192"/>
      <c r="D82" s="192"/>
      <c r="E82" s="192"/>
      <c r="F82" s="192"/>
      <c r="G82" s="192"/>
      <c r="H82" s="192"/>
      <c r="I82" s="192"/>
      <c r="J82" s="192"/>
      <c r="K82" s="192"/>
      <c r="L82" s="192"/>
      <c r="M82" s="192"/>
      <c r="N82" s="192"/>
      <c r="O82" s="192"/>
      <c r="P82" s="192"/>
      <c r="Q82" s="136"/>
      <c r="R82" s="136"/>
      <c r="S82" s="136"/>
      <c r="T82" s="136"/>
      <c r="U82" s="136"/>
      <c r="V82" s="136"/>
      <c r="W82" s="136"/>
      <c r="X82" s="136"/>
      <c r="Y82" s="136"/>
      <c r="Z82" s="136"/>
      <c r="AA82" s="136"/>
      <c r="AB82" s="136"/>
      <c r="AC82" s="136"/>
    </row>
    <row r="83" spans="2:29" x14ac:dyDescent="0.2">
      <c r="B83" s="192"/>
      <c r="C83" s="192"/>
      <c r="D83" s="192"/>
      <c r="E83" s="192"/>
      <c r="F83" s="192"/>
      <c r="G83" s="192"/>
      <c r="H83" s="192"/>
      <c r="I83" s="192"/>
      <c r="J83" s="192"/>
      <c r="K83" s="192"/>
      <c r="L83" s="192"/>
      <c r="M83" s="192"/>
      <c r="N83" s="192"/>
      <c r="O83" s="192"/>
      <c r="P83" s="192"/>
      <c r="Q83" s="136"/>
      <c r="R83" s="136"/>
      <c r="S83" s="136"/>
      <c r="T83" s="136"/>
      <c r="U83" s="136"/>
      <c r="V83" s="136"/>
      <c r="W83" s="136"/>
      <c r="X83" s="136"/>
      <c r="Y83" s="136"/>
      <c r="Z83" s="136"/>
      <c r="AA83" s="136"/>
      <c r="AB83" s="136"/>
      <c r="AC83" s="136"/>
    </row>
    <row r="84" spans="2:29" x14ac:dyDescent="0.2">
      <c r="B84" s="137" t="s">
        <v>252</v>
      </c>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row>
    <row r="85" spans="2:29" x14ac:dyDescent="0.2">
      <c r="B85" s="137" t="s">
        <v>253</v>
      </c>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row>
    <row r="86" spans="2:29" x14ac:dyDescent="0.2">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row>
    <row r="87" spans="2:29" x14ac:dyDescent="0.2">
      <c r="B87" s="191" t="s">
        <v>254</v>
      </c>
      <c r="C87" s="191"/>
      <c r="D87" s="191"/>
      <c r="E87" s="191"/>
      <c r="F87" s="191"/>
      <c r="G87" s="191"/>
      <c r="H87" s="191"/>
      <c r="I87" s="191"/>
      <c r="J87" s="191"/>
      <c r="K87" s="191"/>
      <c r="L87" s="191"/>
      <c r="M87" s="191"/>
      <c r="N87" s="191"/>
      <c r="O87" s="191"/>
      <c r="P87" s="191"/>
      <c r="Q87" s="136"/>
      <c r="R87" s="136"/>
      <c r="S87" s="136"/>
      <c r="T87" s="136"/>
      <c r="U87" s="136"/>
      <c r="V87" s="136"/>
      <c r="W87" s="136"/>
      <c r="X87" s="136"/>
      <c r="Y87" s="136"/>
      <c r="Z87" s="136"/>
      <c r="AA87" s="136"/>
      <c r="AB87" s="136"/>
      <c r="AC87" s="136"/>
    </row>
    <row r="88" spans="2:29" x14ac:dyDescent="0.2">
      <c r="B88" s="191"/>
      <c r="C88" s="191"/>
      <c r="D88" s="191"/>
      <c r="E88" s="191"/>
      <c r="F88" s="191"/>
      <c r="G88" s="191"/>
      <c r="H88" s="191"/>
      <c r="I88" s="191"/>
      <c r="J88" s="191"/>
      <c r="K88" s="191"/>
      <c r="L88" s="191"/>
      <c r="M88" s="191"/>
      <c r="N88" s="191"/>
      <c r="O88" s="191"/>
      <c r="P88" s="191"/>
    </row>
  </sheetData>
  <mergeCells count="14">
    <mergeCell ref="A37:B37"/>
    <mergeCell ref="D67:M69"/>
    <mergeCell ref="B87:P88"/>
    <mergeCell ref="B82:P83"/>
    <mergeCell ref="B79:P80"/>
    <mergeCell ref="B75:AA75"/>
    <mergeCell ref="D39:O39"/>
    <mergeCell ref="D63:X63"/>
    <mergeCell ref="D53:AD53"/>
    <mergeCell ref="C12:D12"/>
    <mergeCell ref="O25:AH25"/>
    <mergeCell ref="A26:B26"/>
    <mergeCell ref="A1:B1"/>
    <mergeCell ref="A2:B2"/>
  </mergeCells>
  <phoneticPr fontId="2" type="noConversion"/>
  <conditionalFormatting sqref="O27:AH31">
    <cfRule type="cellIs" dxfId="3" priority="1" stopIfTrue="1" operator="equal">
      <formula>"I"</formula>
    </cfRule>
    <cfRule type="cellIs" dxfId="2" priority="2" stopIfTrue="1" operator="equal">
      <formula>"P"</formula>
    </cfRule>
    <cfRule type="cellIs" dxfId="1" priority="3" stopIfTrue="1" operator="equal">
      <formula>"C"</formula>
    </cfRule>
    <cfRule type="cellIs" dxfId="0" priority="4" stopIfTrue="1" operator="equal">
      <formula>"D"</formula>
    </cfRule>
  </conditionalFormatting>
  <pageMargins left="0.75" right="0.75" top="1" bottom="1" header="0" footer="0"/>
  <pageSetup paperSize="9" orientation="portrait"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24"/>
  <sheetViews>
    <sheetView topLeftCell="A11" zoomScale="130" zoomScaleNormal="130" workbookViewId="0">
      <selection activeCell="A16" sqref="A16:I16"/>
    </sheetView>
  </sheetViews>
  <sheetFormatPr baseColWidth="10" defaultRowHeight="12.75" x14ac:dyDescent="0.2"/>
  <cols>
    <col min="9" max="9" width="24" customWidth="1"/>
  </cols>
  <sheetData>
    <row r="2" spans="1:10" ht="15.75" x14ac:dyDescent="0.25">
      <c r="A2" s="197" t="s">
        <v>72</v>
      </c>
      <c r="B2" s="197"/>
      <c r="C2" s="197"/>
      <c r="D2" s="197"/>
      <c r="E2" s="197"/>
      <c r="F2" s="197"/>
      <c r="G2" s="197"/>
      <c r="H2" s="197"/>
      <c r="I2" s="197"/>
    </row>
    <row r="4" spans="1:10" ht="75.75" customHeight="1" x14ac:dyDescent="0.2">
      <c r="A4" s="199" t="s">
        <v>256</v>
      </c>
      <c r="B4" s="199"/>
      <c r="C4" s="199"/>
      <c r="D4" s="199"/>
      <c r="E4" s="199"/>
      <c r="F4" s="199"/>
      <c r="G4" s="199"/>
      <c r="H4" s="199"/>
      <c r="I4" s="199"/>
    </row>
    <row r="5" spans="1:10" x14ac:dyDescent="0.2">
      <c r="B5" s="16"/>
      <c r="C5" s="16"/>
      <c r="D5" s="16"/>
      <c r="E5" s="16"/>
      <c r="F5" s="16"/>
      <c r="G5" s="16"/>
    </row>
    <row r="6" spans="1:10" ht="31.5" customHeight="1" x14ac:dyDescent="0.2">
      <c r="A6" s="200" t="s">
        <v>71</v>
      </c>
      <c r="B6" s="200"/>
      <c r="C6" s="200"/>
      <c r="D6" s="200"/>
      <c r="E6" s="200"/>
      <c r="F6" s="200"/>
      <c r="G6" s="200"/>
      <c r="H6" s="200"/>
      <c r="I6" s="200"/>
    </row>
    <row r="7" spans="1:10" ht="109.5" customHeight="1" x14ac:dyDescent="0.2">
      <c r="A7" s="201" t="s">
        <v>257</v>
      </c>
      <c r="B7" s="201"/>
      <c r="C7" s="201"/>
      <c r="D7" s="201"/>
      <c r="E7" s="201"/>
      <c r="F7" s="201"/>
      <c r="G7" s="201"/>
      <c r="H7" s="201"/>
      <c r="I7" s="201"/>
    </row>
    <row r="8" spans="1:10" ht="88.5" customHeight="1" x14ac:dyDescent="0.2">
      <c r="A8" s="201" t="s">
        <v>258</v>
      </c>
      <c r="B8" s="201"/>
      <c r="C8" s="201"/>
      <c r="D8" s="201"/>
      <c r="E8" s="201"/>
      <c r="F8" s="201"/>
      <c r="G8" s="201"/>
      <c r="H8" s="201"/>
      <c r="I8" s="201"/>
    </row>
    <row r="10" spans="1:10" x14ac:dyDescent="0.2">
      <c r="J10" s="64" t="s">
        <v>73</v>
      </c>
    </row>
    <row r="11" spans="1:10" ht="47.25" customHeight="1" x14ac:dyDescent="0.2">
      <c r="A11" s="202" t="s">
        <v>74</v>
      </c>
      <c r="B11" s="202"/>
      <c r="C11" s="202"/>
      <c r="D11" s="202"/>
      <c r="E11" s="202"/>
      <c r="F11" s="202"/>
      <c r="G11" s="202"/>
      <c r="H11" s="202"/>
      <c r="I11" s="202"/>
      <c r="J11" s="65">
        <v>2</v>
      </c>
    </row>
    <row r="12" spans="1:10" ht="61.5" customHeight="1" x14ac:dyDescent="0.2">
      <c r="A12" s="203" t="s">
        <v>75</v>
      </c>
      <c r="B12" s="203"/>
      <c r="C12" s="203"/>
      <c r="D12" s="203"/>
      <c r="E12" s="203"/>
      <c r="F12" s="203"/>
      <c r="G12" s="203"/>
      <c r="H12" s="203"/>
      <c r="I12" s="203"/>
      <c r="J12" s="65">
        <v>1</v>
      </c>
    </row>
    <row r="13" spans="1:10" ht="44.25" customHeight="1" x14ac:dyDescent="0.2">
      <c r="A13" s="203" t="s">
        <v>76</v>
      </c>
      <c r="B13" s="203"/>
      <c r="C13" s="203"/>
      <c r="D13" s="203"/>
      <c r="E13" s="203"/>
      <c r="F13" s="203"/>
      <c r="G13" s="203"/>
      <c r="H13" s="203"/>
      <c r="I13" s="203"/>
      <c r="J13" s="65">
        <v>1</v>
      </c>
    </row>
    <row r="14" spans="1:10" ht="45" customHeight="1" x14ac:dyDescent="0.2">
      <c r="A14" s="203" t="s">
        <v>77</v>
      </c>
      <c r="B14" s="203"/>
      <c r="C14" s="203"/>
      <c r="D14" s="203"/>
      <c r="E14" s="203"/>
      <c r="F14" s="203"/>
      <c r="G14" s="203"/>
      <c r="H14" s="203"/>
      <c r="I14" s="203"/>
      <c r="J14" s="65">
        <v>1</v>
      </c>
    </row>
    <row r="15" spans="1:10" ht="71.25" customHeight="1" x14ac:dyDescent="0.2">
      <c r="A15" s="203" t="s">
        <v>78</v>
      </c>
      <c r="B15" s="203"/>
      <c r="C15" s="203"/>
      <c r="D15" s="203"/>
      <c r="E15" s="203"/>
      <c r="F15" s="203"/>
      <c r="G15" s="203"/>
      <c r="H15" s="203"/>
      <c r="I15" s="203"/>
      <c r="J15" s="65">
        <v>1</v>
      </c>
    </row>
    <row r="16" spans="1:10" ht="38.25" customHeight="1" x14ac:dyDescent="0.2">
      <c r="A16" s="198" t="s">
        <v>79</v>
      </c>
      <c r="B16" s="198"/>
      <c r="C16" s="198"/>
      <c r="D16" s="198"/>
      <c r="E16" s="198"/>
      <c r="F16" s="198"/>
      <c r="G16" s="198"/>
      <c r="H16" s="198"/>
      <c r="I16" s="198"/>
      <c r="J16" s="65">
        <v>0.5</v>
      </c>
    </row>
    <row r="17" spans="1:10" ht="42.75" customHeight="1" x14ac:dyDescent="0.2">
      <c r="A17" s="198" t="s">
        <v>80</v>
      </c>
      <c r="B17" s="198"/>
      <c r="C17" s="198"/>
      <c r="D17" s="198"/>
      <c r="E17" s="198"/>
      <c r="F17" s="198"/>
      <c r="G17" s="198"/>
      <c r="H17" s="198"/>
      <c r="I17" s="198"/>
      <c r="J17" s="65">
        <v>0.5</v>
      </c>
    </row>
    <row r="18" spans="1:10" ht="34.5" customHeight="1" x14ac:dyDescent="0.2">
      <c r="A18" s="203" t="s">
        <v>81</v>
      </c>
      <c r="B18" s="203"/>
      <c r="C18" s="203"/>
      <c r="D18" s="203"/>
      <c r="E18" s="203"/>
      <c r="F18" s="203"/>
      <c r="G18" s="203"/>
      <c r="H18" s="203"/>
      <c r="I18" s="203"/>
      <c r="J18" s="65">
        <v>2</v>
      </c>
    </row>
    <row r="19" spans="1:10" ht="42" customHeight="1" x14ac:dyDescent="0.2">
      <c r="A19" s="203" t="s">
        <v>82</v>
      </c>
      <c r="B19" s="203"/>
      <c r="C19" s="203"/>
      <c r="D19" s="203"/>
      <c r="E19" s="203"/>
      <c r="F19" s="203"/>
      <c r="G19" s="203"/>
      <c r="H19" s="203"/>
      <c r="I19" s="203"/>
      <c r="J19" s="65">
        <v>1</v>
      </c>
    </row>
    <row r="20" spans="1:10" ht="47.25" customHeight="1" x14ac:dyDescent="0.2">
      <c r="A20" s="203" t="s">
        <v>83</v>
      </c>
      <c r="B20" s="203"/>
      <c r="C20" s="203"/>
      <c r="D20" s="203"/>
      <c r="E20" s="203"/>
      <c r="F20" s="203"/>
      <c r="G20" s="203"/>
      <c r="H20" s="203"/>
      <c r="I20" s="203"/>
      <c r="J20" s="65">
        <v>1</v>
      </c>
    </row>
    <row r="21" spans="1:10" ht="43.5" customHeight="1" x14ac:dyDescent="0.2">
      <c r="A21" s="203" t="s">
        <v>84</v>
      </c>
      <c r="B21" s="203"/>
      <c r="C21" s="203"/>
      <c r="D21" s="203"/>
      <c r="E21" s="203"/>
      <c r="F21" s="203"/>
      <c r="G21" s="203"/>
      <c r="H21" s="203"/>
      <c r="I21" s="203"/>
      <c r="J21" s="65">
        <v>1</v>
      </c>
    </row>
    <row r="22" spans="1:10" ht="51" customHeight="1" x14ac:dyDescent="0.2">
      <c r="A22" s="203" t="s">
        <v>85</v>
      </c>
      <c r="B22" s="203"/>
      <c r="C22" s="203"/>
      <c r="D22" s="203"/>
      <c r="E22" s="203"/>
      <c r="F22" s="203"/>
      <c r="G22" s="203"/>
      <c r="H22" s="203"/>
      <c r="I22" s="203"/>
      <c r="J22" s="65">
        <v>1</v>
      </c>
    </row>
    <row r="23" spans="1:10" ht="44.25" customHeight="1" x14ac:dyDescent="0.2">
      <c r="A23" s="198" t="s">
        <v>86</v>
      </c>
      <c r="B23" s="198"/>
      <c r="C23" s="198"/>
      <c r="D23" s="198"/>
      <c r="E23" s="198"/>
      <c r="F23" s="198"/>
      <c r="G23" s="198"/>
      <c r="H23" s="198"/>
      <c r="I23" s="198"/>
      <c r="J23" s="65">
        <v>1</v>
      </c>
    </row>
    <row r="24" spans="1:10" x14ac:dyDescent="0.2">
      <c r="A24" s="63"/>
    </row>
  </sheetData>
  <mergeCells count="18">
    <mergeCell ref="A23:I23"/>
    <mergeCell ref="A17:I17"/>
    <mergeCell ref="A18:I18"/>
    <mergeCell ref="A19:I19"/>
    <mergeCell ref="A20:I20"/>
    <mergeCell ref="A21:I21"/>
    <mergeCell ref="A22:I22"/>
    <mergeCell ref="A2:I2"/>
    <mergeCell ref="A16:I16"/>
    <mergeCell ref="A4:I4"/>
    <mergeCell ref="A6:I6"/>
    <mergeCell ref="A7:I7"/>
    <mergeCell ref="A8:I8"/>
    <mergeCell ref="A11:I11"/>
    <mergeCell ref="A12:I12"/>
    <mergeCell ref="A13:I13"/>
    <mergeCell ref="A14:I14"/>
    <mergeCell ref="A15:I15"/>
  </mergeCells>
  <hyperlinks>
    <hyperlink ref="A16" r:id="rId1" tooltip="Trabajar con usuarios competentes" display="https://tynerblain.com/blog/2006/04/02/competent-users-and-software-design/" xr:uid="{00000000-0004-0000-0400-000000000000}"/>
    <hyperlink ref="A17" r:id="rId2" tooltip="La usabilidad vende software" display="https://tynerblain.com/blog/2007/01/10/usability-sells-software/" xr:uid="{00000000-0004-0000-0400-000001000000}"/>
    <hyperlink ref="A23" r:id="rId3" tooltip="Superando el umbral de succión" display="https://tynerblain.com/blog/2005/12/14/getting-past-the-suck-threshold/" xr:uid="{00000000-0004-0000-0400-000002000000}"/>
  </hyperlinks>
  <pageMargins left="0.7" right="0.7" top="0.75" bottom="0.75" header="0.3" footer="0.3"/>
  <pageSetup orientation="portrait" horizontalDpi="0" verticalDpi="0"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6399-A1CF-4A16-9C8D-1B78A6776C33}">
  <dimension ref="B1:G9"/>
  <sheetViews>
    <sheetView workbookViewId="0">
      <selection activeCell="C7" sqref="C7"/>
    </sheetView>
  </sheetViews>
  <sheetFormatPr baseColWidth="10" defaultRowHeight="12.75" x14ac:dyDescent="0.2"/>
  <cols>
    <col min="2" max="2" width="16.28515625" customWidth="1"/>
    <col min="3" max="3" width="34.140625" customWidth="1"/>
    <col min="4" max="4" width="25.28515625" customWidth="1"/>
    <col min="5" max="5" width="23" customWidth="1"/>
    <col min="6" max="6" width="26.140625" customWidth="1"/>
    <col min="7" max="7" width="22.7109375" customWidth="1"/>
  </cols>
  <sheetData>
    <row r="1" spans="2:7" ht="23.25" x14ac:dyDescent="0.35">
      <c r="B1" s="204" t="s">
        <v>202</v>
      </c>
      <c r="C1" s="204"/>
      <c r="D1" s="204"/>
      <c r="E1" s="204"/>
      <c r="F1" s="204"/>
      <c r="G1" s="204"/>
    </row>
    <row r="3" spans="2:7" ht="25.5" x14ac:dyDescent="0.2">
      <c r="B3" s="112" t="s">
        <v>156</v>
      </c>
      <c r="C3" s="112" t="s">
        <v>168</v>
      </c>
      <c r="D3" s="112" t="s">
        <v>169</v>
      </c>
      <c r="E3" s="112" t="s">
        <v>170</v>
      </c>
      <c r="F3" s="112" t="s">
        <v>171</v>
      </c>
      <c r="G3" s="112" t="s">
        <v>172</v>
      </c>
    </row>
    <row r="4" spans="2:7" ht="51" x14ac:dyDescent="0.2">
      <c r="B4" s="113" t="s">
        <v>165</v>
      </c>
      <c r="C4" s="114" t="s">
        <v>173</v>
      </c>
      <c r="D4" s="114" t="s">
        <v>174</v>
      </c>
      <c r="E4" s="114" t="s">
        <v>175</v>
      </c>
      <c r="F4" s="114" t="s">
        <v>176</v>
      </c>
      <c r="G4" s="114" t="s">
        <v>177</v>
      </c>
    </row>
    <row r="5" spans="2:7" ht="38.25" x14ac:dyDescent="0.2">
      <c r="B5" s="115" t="s">
        <v>178</v>
      </c>
      <c r="C5" s="116" t="s">
        <v>179</v>
      </c>
      <c r="D5" s="116" t="s">
        <v>180</v>
      </c>
      <c r="E5" s="116" t="s">
        <v>181</v>
      </c>
      <c r="F5" s="116" t="s">
        <v>182</v>
      </c>
      <c r="G5" s="116" t="s">
        <v>140</v>
      </c>
    </row>
    <row r="6" spans="2:7" ht="51" x14ac:dyDescent="0.2">
      <c r="B6" s="117" t="s">
        <v>63</v>
      </c>
      <c r="C6" s="118" t="s">
        <v>183</v>
      </c>
      <c r="D6" s="118" t="s">
        <v>184</v>
      </c>
      <c r="E6" s="118" t="s">
        <v>185</v>
      </c>
      <c r="F6" s="118" t="s">
        <v>186</v>
      </c>
      <c r="G6" s="118" t="s">
        <v>187</v>
      </c>
    </row>
    <row r="7" spans="2:7" ht="51" x14ac:dyDescent="0.2">
      <c r="B7" s="119" t="s">
        <v>166</v>
      </c>
      <c r="C7" s="120" t="s">
        <v>188</v>
      </c>
      <c r="D7" s="120" t="s">
        <v>189</v>
      </c>
      <c r="E7" s="120" t="s">
        <v>190</v>
      </c>
      <c r="F7" s="120" t="s">
        <v>191</v>
      </c>
      <c r="G7" s="120" t="s">
        <v>192</v>
      </c>
    </row>
    <row r="8" spans="2:7" ht="63.75" x14ac:dyDescent="0.2">
      <c r="B8" s="121" t="s">
        <v>193</v>
      </c>
      <c r="C8" s="122" t="s">
        <v>194</v>
      </c>
      <c r="D8" s="122" t="s">
        <v>195</v>
      </c>
      <c r="E8" s="122" t="s">
        <v>196</v>
      </c>
      <c r="F8" s="122" t="s">
        <v>197</v>
      </c>
      <c r="G8" s="122" t="s">
        <v>143</v>
      </c>
    </row>
    <row r="9" spans="2:7" ht="63.75" x14ac:dyDescent="0.2">
      <c r="B9" s="123" t="s">
        <v>167</v>
      </c>
      <c r="C9" s="124" t="s">
        <v>198</v>
      </c>
      <c r="D9" s="124" t="s">
        <v>199</v>
      </c>
      <c r="E9" s="124" t="s">
        <v>200</v>
      </c>
      <c r="F9" s="124" t="s">
        <v>201</v>
      </c>
      <c r="G9" s="124" t="s">
        <v>143</v>
      </c>
    </row>
  </sheetData>
  <mergeCells count="1">
    <mergeCell ref="B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Elementos Funcionales</vt:lpstr>
      <vt:lpstr>Factores Complejidad Tecnica</vt:lpstr>
      <vt:lpstr>Tabla cálculo LOC</vt:lpstr>
      <vt:lpstr>Costo Desarrollo</vt:lpstr>
      <vt:lpstr>Tablas</vt:lpstr>
      <vt:lpstr>Clas_Elem_Funci</vt:lpstr>
    </vt:vector>
  </TitlesOfParts>
  <Company>Windows 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Ricardo Yanapa Huayta</cp:lastModifiedBy>
  <dcterms:created xsi:type="dcterms:W3CDTF">2008-06-16T19:41:41Z</dcterms:created>
  <dcterms:modified xsi:type="dcterms:W3CDTF">2026-09-09T03:36:48Z</dcterms:modified>
</cp:coreProperties>
</file>