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45" windowWidth="12450" windowHeight="10620" activeTab="4"/>
  </bookViews>
  <sheets>
    <sheet name="turbidity_ODL_#40" sheetId="1" r:id="rId1"/>
    <sheet name="turbidity_soilTest_#60" sheetId="4" r:id="rId2"/>
    <sheet name="turbidity_soilTest_#60 (ODL)" sheetId="5" r:id="rId3"/>
    <sheet name="pressure" sheetId="2" r:id="rId4"/>
    <sheet name="datasheet" sheetId="3" r:id="rId5"/>
  </sheets>
  <definedNames>
    <definedName name="_xlnm.Print_Area" localSheetId="0">'turbidity_ODL_#40'!#REF!</definedName>
    <definedName name="_xlnm.Print_Area" localSheetId="1">'turbidity_soilTest_#60'!#REF!</definedName>
    <definedName name="_xlnm.Print_Area" localSheetId="2">'turbidity_soilTest_#60 (ODL)'!#REF!</definedName>
  </definedNames>
  <calcPr calcId="145621"/>
</workbook>
</file>

<file path=xl/calcChain.xml><?xml version="1.0" encoding="utf-8"?>
<calcChain xmlns="http://schemas.openxmlformats.org/spreadsheetml/2006/main">
  <c r="H21" i="3" l="1"/>
  <c r="H20" i="3"/>
  <c r="G21" i="3"/>
  <c r="G20" i="3"/>
  <c r="B52" i="5" l="1"/>
  <c r="B9" i="5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G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D33" i="5" l="1"/>
  <c r="B34" i="5"/>
  <c r="C15" i="5"/>
  <c r="C14" i="5"/>
  <c r="C13" i="5"/>
  <c r="C12" i="5"/>
  <c r="C11" i="5"/>
  <c r="C10" i="5"/>
  <c r="C9" i="5"/>
  <c r="C6" i="5"/>
  <c r="D2" i="5"/>
  <c r="C8" i="5"/>
  <c r="C7" i="5"/>
  <c r="B7" i="5"/>
  <c r="B8" i="5" s="1"/>
  <c r="B6" i="5"/>
  <c r="D6" i="5" s="1"/>
  <c r="D34" i="5" l="1"/>
  <c r="B35" i="5"/>
  <c r="D8" i="5"/>
  <c r="D7" i="5"/>
  <c r="B6" i="4"/>
  <c r="D6" i="4" s="1"/>
  <c r="C23" i="4"/>
  <c r="C22" i="4"/>
  <c r="D32" i="4"/>
  <c r="B32" i="4"/>
  <c r="C32" i="4"/>
  <c r="C31" i="4"/>
  <c r="C30" i="4"/>
  <c r="C29" i="4"/>
  <c r="C28" i="4"/>
  <c r="C27" i="4"/>
  <c r="C26" i="4"/>
  <c r="C25" i="4"/>
  <c r="C24" i="4"/>
  <c r="C21" i="4"/>
  <c r="C20" i="4"/>
  <c r="C19" i="4"/>
  <c r="C18" i="4"/>
  <c r="C17" i="4"/>
  <c r="C16" i="4"/>
  <c r="C15" i="4"/>
  <c r="C14" i="4"/>
  <c r="C13" i="4"/>
  <c r="C12" i="4"/>
  <c r="C11" i="4"/>
  <c r="C10" i="4"/>
  <c r="C8" i="4"/>
  <c r="C6" i="4"/>
  <c r="C7" i="4"/>
  <c r="C9" i="4"/>
  <c r="B7" i="4"/>
  <c r="B8" i="4" s="1"/>
  <c r="B36" i="5" l="1"/>
  <c r="D35" i="5"/>
  <c r="D9" i="5"/>
  <c r="D7" i="4"/>
  <c r="B9" i="4"/>
  <c r="D8" i="4"/>
  <c r="D6" i="1"/>
  <c r="C22" i="2"/>
  <c r="B22" i="2"/>
  <c r="C19" i="2"/>
  <c r="B19" i="2"/>
  <c r="C16" i="2"/>
  <c r="B16" i="2"/>
  <c r="C13" i="2"/>
  <c r="B13" i="2"/>
  <c r="C10" i="2"/>
  <c r="B10" i="2"/>
  <c r="C7" i="2"/>
  <c r="B7" i="2"/>
  <c r="C4" i="2"/>
  <c r="B4" i="2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B6" i="1"/>
  <c r="B37" i="5" l="1"/>
  <c r="D36" i="5"/>
  <c r="D10" i="5"/>
  <c r="B10" i="4"/>
  <c r="D9" i="4"/>
  <c r="B7" i="1"/>
  <c r="D7" i="1" s="1"/>
  <c r="B38" i="5" l="1"/>
  <c r="D37" i="5"/>
  <c r="D11" i="5"/>
  <c r="B11" i="4"/>
  <c r="D10" i="4"/>
  <c r="B8" i="1"/>
  <c r="D8" i="1" s="1"/>
  <c r="D38" i="5" l="1"/>
  <c r="B39" i="5"/>
  <c r="D12" i="5"/>
  <c r="D11" i="4"/>
  <c r="B12" i="4"/>
  <c r="B9" i="1"/>
  <c r="D9" i="1" s="1"/>
  <c r="B40" i="5" l="1"/>
  <c r="D39" i="5"/>
  <c r="D13" i="5"/>
  <c r="B13" i="4"/>
  <c r="D12" i="4"/>
  <c r="B10" i="1"/>
  <c r="D10" i="1" s="1"/>
  <c r="D40" i="5" l="1"/>
  <c r="B41" i="5"/>
  <c r="D14" i="5"/>
  <c r="D13" i="4"/>
  <c r="B14" i="4"/>
  <c r="B11" i="1"/>
  <c r="D11" i="1" s="1"/>
  <c r="B42" i="5" l="1"/>
  <c r="D41" i="5"/>
  <c r="D15" i="5"/>
  <c r="B15" i="4"/>
  <c r="D14" i="4"/>
  <c r="B12" i="1"/>
  <c r="D12" i="1" s="1"/>
  <c r="D42" i="5" l="1"/>
  <c r="B43" i="5"/>
  <c r="D16" i="5"/>
  <c r="D15" i="4"/>
  <c r="B16" i="4"/>
  <c r="B13" i="1"/>
  <c r="D13" i="1" s="1"/>
  <c r="B44" i="5" l="1"/>
  <c r="D43" i="5"/>
  <c r="D17" i="5"/>
  <c r="B17" i="4"/>
  <c r="D16" i="4"/>
  <c r="B14" i="1"/>
  <c r="D14" i="1" s="1"/>
  <c r="B45" i="5" l="1"/>
  <c r="D44" i="5"/>
  <c r="D18" i="5"/>
  <c r="D17" i="4"/>
  <c r="B18" i="4"/>
  <c r="B15" i="1"/>
  <c r="D15" i="1" s="1"/>
  <c r="B46" i="5" l="1"/>
  <c r="D45" i="5"/>
  <c r="D19" i="5"/>
  <c r="B19" i="4"/>
  <c r="D18" i="4"/>
  <c r="B16" i="1"/>
  <c r="D16" i="1" s="1"/>
  <c r="D46" i="5" l="1"/>
  <c r="B47" i="5"/>
  <c r="D20" i="5"/>
  <c r="D19" i="4"/>
  <c r="B20" i="4"/>
  <c r="B17" i="1"/>
  <c r="D17" i="1" s="1"/>
  <c r="B48" i="5" l="1"/>
  <c r="D47" i="5"/>
  <c r="D21" i="5"/>
  <c r="B21" i="4"/>
  <c r="D20" i="4"/>
  <c r="B18" i="1"/>
  <c r="D18" i="1" s="1"/>
  <c r="D48" i="5" l="1"/>
  <c r="B49" i="5"/>
  <c r="D22" i="5"/>
  <c r="D21" i="4"/>
  <c r="B22" i="4"/>
  <c r="B19" i="1"/>
  <c r="D19" i="1" s="1"/>
  <c r="B50" i="5" l="1"/>
  <c r="D49" i="5"/>
  <c r="D23" i="5"/>
  <c r="B23" i="4"/>
  <c r="D22" i="4"/>
  <c r="B20" i="1"/>
  <c r="D20" i="1" s="1"/>
  <c r="D50" i="5" l="1"/>
  <c r="B51" i="5"/>
  <c r="D51" i="5" s="1"/>
  <c r="D24" i="5"/>
  <c r="D23" i="4"/>
  <c r="B24" i="4"/>
  <c r="B21" i="1"/>
  <c r="D21" i="1" s="1"/>
  <c r="D25" i="5" l="1"/>
  <c r="B25" i="4"/>
  <c r="D24" i="4"/>
  <c r="B22" i="1"/>
  <c r="D22" i="1" s="1"/>
  <c r="D26" i="5" l="1"/>
  <c r="D25" i="4"/>
  <c r="B26" i="4"/>
  <c r="B23" i="1"/>
  <c r="D23" i="1" s="1"/>
  <c r="D27" i="5" l="1"/>
  <c r="D26" i="4"/>
  <c r="B27" i="4"/>
  <c r="B24" i="1"/>
  <c r="D24" i="1" s="1"/>
  <c r="D28" i="5" l="1"/>
  <c r="D27" i="4"/>
  <c r="B28" i="4"/>
  <c r="D29" i="5" l="1"/>
  <c r="D28" i="4"/>
  <c r="B29" i="4"/>
  <c r="D30" i="5" l="1"/>
  <c r="D29" i="4"/>
  <c r="B30" i="4"/>
  <c r="D32" i="5" l="1"/>
  <c r="D31" i="5"/>
  <c r="D30" i="4"/>
  <c r="B31" i="4"/>
  <c r="D31" i="4" s="1"/>
</calcChain>
</file>

<file path=xl/comments1.xml><?xml version="1.0" encoding="utf-8"?>
<comments xmlns="http://schemas.openxmlformats.org/spreadsheetml/2006/main">
  <authors>
    <author>Ricardo Neves Correia dos Santos</author>
  </authors>
  <commentList>
    <comment ref="A4" authorId="0">
      <text>
        <r>
          <rPr>
            <b/>
            <sz val="9"/>
            <color indexed="81"/>
            <rFont val="Tahoma"/>
            <family val="2"/>
          </rPr>
          <t>Ricardo Neves Correia dos Santos:</t>
        </r>
        <r>
          <rPr>
            <sz val="9"/>
            <color indexed="81"/>
            <rFont val="Tahoma"/>
            <family val="2"/>
          </rPr>
          <t xml:space="preserve">
soil passing #40 sieve
</t>
        </r>
      </text>
    </comment>
  </commentList>
</comments>
</file>

<file path=xl/comments2.xml><?xml version="1.0" encoding="utf-8"?>
<comments xmlns="http://schemas.openxmlformats.org/spreadsheetml/2006/main">
  <authors>
    <author>Ricardo Neves Correia dos Santos</author>
  </authors>
  <commentList>
    <comment ref="A4" authorId="0">
      <text>
        <r>
          <rPr>
            <b/>
            <sz val="9"/>
            <color indexed="81"/>
            <rFont val="Tahoma"/>
            <family val="2"/>
          </rPr>
          <t>Ricardo Neves Correia dos Santos:</t>
        </r>
        <r>
          <rPr>
            <sz val="9"/>
            <color indexed="81"/>
            <rFont val="Tahoma"/>
            <family val="2"/>
          </rPr>
          <t xml:space="preserve">
soil passing #40 sieve
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Ricardo Neves Correia dos Santos:</t>
        </r>
        <r>
          <rPr>
            <sz val="9"/>
            <color indexed="81"/>
            <rFont val="Tahoma"/>
            <family val="2"/>
          </rPr>
          <t xml:space="preserve">
sujidade parasita</t>
        </r>
      </text>
    </comment>
    <comment ref="C6" authorId="0">
      <text>
        <r>
          <rPr>
            <b/>
            <sz val="9"/>
            <color indexed="81"/>
            <rFont val="Tahoma"/>
            <family val="2"/>
          </rPr>
          <t>Ricardo Neves Correia dos Santos:</t>
        </r>
        <r>
          <rPr>
            <sz val="9"/>
            <color indexed="81"/>
            <rFont val="Tahoma"/>
            <family val="2"/>
          </rPr>
          <t xml:space="preserve">
tap water
</t>
        </r>
      </text>
    </comment>
  </commentList>
</comments>
</file>

<file path=xl/comments3.xml><?xml version="1.0" encoding="utf-8"?>
<comments xmlns="http://schemas.openxmlformats.org/spreadsheetml/2006/main">
  <authors>
    <author>Ricardo Neves Correia dos Santos</author>
  </authors>
  <commentList>
    <comment ref="D2" authorId="0">
      <text>
        <r>
          <rPr>
            <b/>
            <sz val="9"/>
            <color indexed="81"/>
            <rFont val="Tahoma"/>
            <charset val="1"/>
          </rPr>
          <t>Ricardo Neves Correia dos Santos:</t>
        </r>
        <r>
          <rPr>
            <sz val="9"/>
            <color indexed="81"/>
            <rFont val="Tahoma"/>
            <charset val="1"/>
          </rPr>
          <t xml:space="preserve">
agua limpa sem spin
</t>
        </r>
      </text>
    </comment>
    <comment ref="A4" authorId="0">
      <text>
        <r>
          <rPr>
            <b/>
            <sz val="9"/>
            <color indexed="81"/>
            <rFont val="Tahoma"/>
            <family val="2"/>
          </rPr>
          <t>Ricardo Neves Correia dos Santos:</t>
        </r>
        <r>
          <rPr>
            <sz val="9"/>
            <color indexed="81"/>
            <rFont val="Tahoma"/>
            <family val="2"/>
          </rPr>
          <t xml:space="preserve">
soil passing #40 sieve
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Ricardo Neves Correia dos Santos:</t>
        </r>
        <r>
          <rPr>
            <sz val="9"/>
            <color indexed="81"/>
            <rFont val="Tahoma"/>
            <family val="2"/>
          </rPr>
          <t xml:space="preserve">
"zer0"</t>
        </r>
      </text>
    </comment>
    <comment ref="C6" authorId="0">
      <text>
        <r>
          <rPr>
            <b/>
            <sz val="9"/>
            <color indexed="81"/>
            <rFont val="Tahoma"/>
            <family val="2"/>
          </rPr>
          <t>Ricardo Neves Correia dos Santos:</t>
        </r>
        <r>
          <rPr>
            <sz val="9"/>
            <color indexed="81"/>
            <rFont val="Tahoma"/>
            <family val="2"/>
          </rPr>
          <t xml:space="preserve">
tap water
com piklete a rodar
</t>
        </r>
      </text>
    </comment>
  </commentList>
</comments>
</file>

<file path=xl/sharedStrings.xml><?xml version="1.0" encoding="utf-8"?>
<sst xmlns="http://schemas.openxmlformats.org/spreadsheetml/2006/main" count="48" uniqueCount="29">
  <si>
    <t>psi</t>
  </si>
  <si>
    <t>mmH2O</t>
  </si>
  <si>
    <t>mV_int</t>
  </si>
  <si>
    <t>mV_dwn</t>
  </si>
  <si>
    <t>mV_ups</t>
  </si>
  <si>
    <t>kPa_efect</t>
  </si>
  <si>
    <t>grams/liter</t>
  </si>
  <si>
    <t>measured</t>
  </si>
  <si>
    <t>analog number</t>
  </si>
  <si>
    <t xml:space="preserve"> grams</t>
  </si>
  <si>
    <t>ml</t>
  </si>
  <si>
    <t>soil tested</t>
  </si>
  <si>
    <t>cumulative</t>
  </si>
  <si>
    <t>grams</t>
  </si>
  <si>
    <t>water volume used:</t>
  </si>
  <si>
    <t>analog#</t>
  </si>
  <si>
    <t>turbidity</t>
  </si>
  <si>
    <t>peso total=</t>
  </si>
  <si>
    <t>x2</t>
  </si>
  <si>
    <t>x</t>
  </si>
  <si>
    <t>www.amphenol-sensors.com</t>
  </si>
  <si>
    <t>TSW-10</t>
  </si>
  <si>
    <t>Turbidity Sensor</t>
  </si>
  <si>
    <r>
      <t>1E-11x</t>
    </r>
    <r>
      <rPr>
        <vertAlign val="superscript"/>
        <sz val="10"/>
        <color rgb="FF000000"/>
        <rFont val="Calibri"/>
        <family val="2"/>
        <scheme val="minor"/>
      </rPr>
      <t>3</t>
    </r>
    <r>
      <rPr>
        <sz val="10"/>
        <color rgb="FF000000"/>
        <rFont val="Calibri"/>
        <family val="2"/>
        <scheme val="minor"/>
      </rPr>
      <t xml:space="preserve"> + 2E-07x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- 0.0016x + 4.7176</t>
    </r>
  </si>
  <si>
    <r>
      <t>-1E-10x</t>
    </r>
    <r>
      <rPr>
        <vertAlign val="superscript"/>
        <sz val="10"/>
        <color rgb="FF000000"/>
        <rFont val="Calibri"/>
        <family val="2"/>
        <scheme val="minor"/>
      </rPr>
      <t>3</t>
    </r>
    <r>
      <rPr>
        <sz val="10"/>
        <color rgb="FF000000"/>
        <rFont val="Calibri"/>
        <family val="2"/>
        <scheme val="minor"/>
      </rPr>
      <t xml:space="preserve"> + 8E-07x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- 0.0019x + 3.6454</t>
    </r>
  </si>
  <si>
    <t>x3</t>
  </si>
  <si>
    <t>NTU</t>
  </si>
  <si>
    <t>V</t>
  </si>
  <si>
    <t>https://pt.mouser.com/datasheet/2/18/AAS-920-479B-Thermometrics-TSW-10-052214-web-1315877.pdf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</si>
</sst>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000000"/>
      <name val="Calibri"/>
      <family val="2"/>
      <scheme val="minor"/>
    </font>
    <font>
      <vertAlign val="superscript"/>
      <sz val="10"/>
      <color rgb="FF000000"/>
      <name val="Calibri"/>
      <family val="2"/>
      <scheme val="minor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theme="4" tint="0.3999755851924192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indexed="64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8" fillId="3" borderId="5" applyNumberFormat="0" applyAlignment="0" applyProtection="0"/>
    <xf numFmtId="0" fontId="9" fillId="4" borderId="6" applyNumberFormat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2" fillId="0" borderId="1" xfId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2" xfId="3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0" borderId="2" xfId="2" applyFont="1" applyAlignment="1">
      <alignment horizontal="center" vertical="center"/>
    </xf>
    <xf numFmtId="1" fontId="5" fillId="0" borderId="2" xfId="2" applyNumberFormat="1" applyFont="1" applyAlignment="1">
      <alignment horizontal="center" vertical="center"/>
    </xf>
    <xf numFmtId="0" fontId="0" fillId="0" borderId="0" xfId="0" applyNumberFormat="1" applyAlignment="1">
      <alignment horizontal="center"/>
    </xf>
    <xf numFmtId="0" fontId="10" fillId="0" borderId="0" xfId="0" applyFont="1" applyAlignment="1">
      <alignment horizontal="center"/>
    </xf>
    <xf numFmtId="0" fontId="8" fillId="3" borderId="5" xfId="5" applyAlignment="1">
      <alignment horizontal="center"/>
    </xf>
    <xf numFmtId="0" fontId="0" fillId="0" borderId="0" xfId="0" applyAlignment="1">
      <alignment horizontal="left"/>
    </xf>
    <xf numFmtId="0" fontId="8" fillId="3" borderId="5" xfId="5" applyAlignment="1">
      <alignment horizontal="right"/>
    </xf>
    <xf numFmtId="1" fontId="9" fillId="4" borderId="6" xfId="6" applyNumberFormat="1" applyAlignment="1">
      <alignment horizontal="center"/>
    </xf>
    <xf numFmtId="0" fontId="3" fillId="0" borderId="0" xfId="4" applyAlignment="1">
      <alignment horizontal="center"/>
    </xf>
    <xf numFmtId="0" fontId="3" fillId="0" borderId="2" xfId="2" applyAlignment="1">
      <alignment horizontal="center"/>
    </xf>
    <xf numFmtId="1" fontId="3" fillId="0" borderId="2" xfId="2" applyNumberFormat="1" applyAlignment="1">
      <alignment horizontal="center"/>
    </xf>
    <xf numFmtId="0" fontId="8" fillId="3" borderId="7" xfId="5" applyBorder="1" applyAlignment="1">
      <alignment horizontal="center"/>
    </xf>
    <xf numFmtId="1" fontId="9" fillId="4" borderId="8" xfId="6" applyNumberFormat="1" applyBorder="1" applyAlignment="1">
      <alignment horizontal="center"/>
    </xf>
    <xf numFmtId="0" fontId="8" fillId="3" borderId="9" xfId="5" applyBorder="1" applyAlignment="1">
      <alignment horizontal="center"/>
    </xf>
    <xf numFmtId="0" fontId="0" fillId="0" borderId="3" xfId="0" applyBorder="1" applyAlignment="1">
      <alignment horizontal="center"/>
    </xf>
    <xf numFmtId="1" fontId="9" fillId="4" borderId="10" xfId="6" applyNumberFormat="1" applyBorder="1" applyAlignment="1">
      <alignment horizontal="center"/>
    </xf>
    <xf numFmtId="0" fontId="0" fillId="0" borderId="0" xfId="0" applyAlignment="1">
      <alignment horizontal="right"/>
    </xf>
    <xf numFmtId="164" fontId="5" fillId="0" borderId="4" xfId="2" applyNumberFormat="1" applyFont="1" applyBorder="1" applyAlignment="1">
      <alignment horizontal="center" vertical="center"/>
    </xf>
    <xf numFmtId="164" fontId="5" fillId="0" borderId="0" xfId="2" applyNumberFormat="1" applyFont="1" applyBorder="1" applyAlignment="1">
      <alignment horizontal="center" vertical="center"/>
    </xf>
    <xf numFmtId="164" fontId="5" fillId="0" borderId="2" xfId="2" applyNumberFormat="1" applyFont="1" applyAlignment="1">
      <alignment horizontal="center" vertical="center"/>
    </xf>
    <xf numFmtId="1" fontId="5" fillId="0" borderId="4" xfId="2" applyNumberFormat="1" applyFont="1" applyBorder="1" applyAlignment="1">
      <alignment horizontal="center" vertical="center"/>
    </xf>
    <xf numFmtId="1" fontId="5" fillId="0" borderId="0" xfId="2" applyNumberFormat="1" applyFont="1" applyBorder="1" applyAlignment="1">
      <alignment horizontal="center" vertical="center"/>
    </xf>
    <xf numFmtId="1" fontId="5" fillId="0" borderId="2" xfId="2" applyNumberFormat="1" applyFont="1" applyAlignment="1">
      <alignment horizontal="center" vertical="center"/>
    </xf>
    <xf numFmtId="0" fontId="13" fillId="0" borderId="0" xfId="0" applyFont="1" applyAlignment="1">
      <alignment horizontal="left" vertical="center" readingOrder="1"/>
    </xf>
    <xf numFmtId="11" fontId="0" fillId="0" borderId="0" xfId="0" applyNumberFormat="1"/>
    <xf numFmtId="0" fontId="15" fillId="0" borderId="0" xfId="0" applyFont="1" applyAlignment="1">
      <alignment vertical="center"/>
    </xf>
  </cellXfs>
  <cellStyles count="7">
    <cellStyle name="20% - Accent1" xfId="3" builtinId="30"/>
    <cellStyle name="Heading 1" xfId="1" builtinId="16"/>
    <cellStyle name="Heading 3" xfId="2" builtinId="18"/>
    <cellStyle name="Heading 4" xfId="4" builtinId="19"/>
    <cellStyle name="Input" xfId="5" builtinId="20"/>
    <cellStyle name="Normal" xfId="0" builtinId="0"/>
    <cellStyle name="Output" xfId="6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7379252453472"/>
          <c:y val="0.13180657243895566"/>
          <c:w val="0.81047018481099953"/>
          <c:h val="0.69997412269670545"/>
        </c:manualLayout>
      </c:layout>
      <c:scatterChart>
        <c:scatterStyle val="lineMarker"/>
        <c:varyColors val="0"/>
        <c:ser>
          <c:idx val="0"/>
          <c:order val="0"/>
          <c:tx>
            <c:v>turbidity_ODL#40</c:v>
          </c:tx>
          <c:spPr>
            <a:ln w="28575">
              <a:noFill/>
            </a:ln>
          </c:spPr>
          <c:trendline>
            <c:spPr>
              <a:ln w="19050">
                <a:solidFill>
                  <a:srgbClr val="C00000"/>
                </a:solidFill>
              </a:ln>
            </c:spPr>
            <c:trendlineType val="log"/>
            <c:backward val="100"/>
            <c:dispRSqr val="1"/>
            <c:dispEq val="1"/>
            <c:trendlineLbl>
              <c:layout>
                <c:manualLayout>
                  <c:x val="0.14424770565270861"/>
                  <c:y val="-0.2876410067423647"/>
                </c:manualLayout>
              </c:layout>
              <c:numFmt formatCode="General" sourceLinked="0"/>
            </c:trendlineLbl>
          </c:trendline>
          <c:xVal>
            <c:numRef>
              <c:f>'turbidity_ODL_#40'!$C$6:$C$25</c:f>
              <c:numCache>
                <c:formatCode>0</c:formatCode>
                <c:ptCount val="20"/>
                <c:pt idx="0">
                  <c:v>24971</c:v>
                </c:pt>
                <c:pt idx="1">
                  <c:v>23000</c:v>
                </c:pt>
                <c:pt idx="2">
                  <c:v>21030</c:v>
                </c:pt>
                <c:pt idx="3">
                  <c:v>18900</c:v>
                </c:pt>
                <c:pt idx="4">
                  <c:v>17102</c:v>
                </c:pt>
                <c:pt idx="5">
                  <c:v>15737.8</c:v>
                </c:pt>
                <c:pt idx="6">
                  <c:v>14458.833333333334</c:v>
                </c:pt>
                <c:pt idx="7">
                  <c:v>11934.571428571429</c:v>
                </c:pt>
                <c:pt idx="8">
                  <c:v>10092</c:v>
                </c:pt>
                <c:pt idx="9">
                  <c:v>8060.166666666667</c:v>
                </c:pt>
                <c:pt idx="10">
                  <c:v>6636</c:v>
                </c:pt>
                <c:pt idx="11">
                  <c:v>5493</c:v>
                </c:pt>
                <c:pt idx="12">
                  <c:v>4071.5</c:v>
                </c:pt>
                <c:pt idx="13">
                  <c:v>3425.6666666666665</c:v>
                </c:pt>
                <c:pt idx="14">
                  <c:v>2607.7142857142858</c:v>
                </c:pt>
                <c:pt idx="15">
                  <c:v>2105</c:v>
                </c:pt>
                <c:pt idx="16">
                  <c:v>1548.8</c:v>
                </c:pt>
                <c:pt idx="17">
                  <c:v>1334</c:v>
                </c:pt>
                <c:pt idx="18">
                  <c:v>895</c:v>
                </c:pt>
              </c:numCache>
            </c:numRef>
          </c:xVal>
          <c:yVal>
            <c:numRef>
              <c:f>'turbidity_ODL_#40'!$D$6:$D$25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0.75000000000000011</c:v>
                </c:pt>
                <c:pt idx="3">
                  <c:v>1</c:v>
                </c:pt>
                <c:pt idx="4">
                  <c:v>1.5000000000000002</c:v>
                </c:pt>
                <c:pt idx="5">
                  <c:v>2</c:v>
                </c:pt>
                <c:pt idx="6">
                  <c:v>2.5</c:v>
                </c:pt>
                <c:pt idx="7">
                  <c:v>3.5</c:v>
                </c:pt>
                <c:pt idx="8">
                  <c:v>4.4999999999999991</c:v>
                </c:pt>
                <c:pt idx="9">
                  <c:v>5.4999999999999991</c:v>
                </c:pt>
                <c:pt idx="10">
                  <c:v>6.4999999999999991</c:v>
                </c:pt>
                <c:pt idx="11">
                  <c:v>7.4999999999999991</c:v>
                </c:pt>
                <c:pt idx="12">
                  <c:v>8.7499999999999982</c:v>
                </c:pt>
                <c:pt idx="13">
                  <c:v>9.9999999999999982</c:v>
                </c:pt>
                <c:pt idx="14">
                  <c:v>11.25</c:v>
                </c:pt>
                <c:pt idx="15">
                  <c:v>12.5</c:v>
                </c:pt>
                <c:pt idx="16">
                  <c:v>13.75</c:v>
                </c:pt>
                <c:pt idx="17">
                  <c:v>15</c:v>
                </c:pt>
                <c:pt idx="18">
                  <c:v>17.5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90976"/>
        <c:axId val="49792896"/>
      </c:scatterChart>
      <c:valAx>
        <c:axId val="49790976"/>
        <c:scaling>
          <c:orientation val="minMax"/>
          <c:max val="32768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# analog (15bits)</a:t>
                </a:r>
              </a:p>
            </c:rich>
          </c:tx>
          <c:layout>
            <c:manualLayout>
              <c:xMode val="edge"/>
              <c:yMode val="edge"/>
              <c:x val="0.46414698162729656"/>
              <c:y val="0.9120370370370370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49792896"/>
        <c:crosses val="autoZero"/>
        <c:crossBetween val="midCat"/>
      </c:valAx>
      <c:valAx>
        <c:axId val="4979289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turbidity (grams/)</a:t>
                </a:r>
              </a:p>
            </c:rich>
          </c:tx>
          <c:layout>
            <c:manualLayout>
              <c:xMode val="edge"/>
              <c:yMode val="edge"/>
              <c:x val="1.8885931469860125E-2"/>
              <c:y val="0.3132886800255748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97909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7182272008645582"/>
          <c:y val="0.19790461224366812"/>
          <c:w val="0.47277865266841645"/>
          <c:h val="0.1527774880577400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Turbidimeter </a:t>
            </a:r>
          </a:p>
          <a:p>
            <a:pPr>
              <a:defRPr/>
            </a:pPr>
            <a:r>
              <a:rPr lang="en-US"/>
              <a:t>Calibration</a:t>
            </a:r>
          </a:p>
        </c:rich>
      </c:tx>
      <c:layout>
        <c:manualLayout>
          <c:xMode val="edge"/>
          <c:yMode val="edge"/>
          <c:x val="0.35307830168057441"/>
          <c:y val="3.35348726367981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77379252453472"/>
          <c:y val="0.13180657243895566"/>
          <c:w val="0.81047018481099953"/>
          <c:h val="0.69997412269670545"/>
        </c:manualLayout>
      </c:layout>
      <c:scatterChart>
        <c:scatterStyle val="lineMarker"/>
        <c:varyColors val="0"/>
        <c:ser>
          <c:idx val="0"/>
          <c:order val="0"/>
          <c:tx>
            <c:v>Test_soil</c:v>
          </c:tx>
          <c:spPr>
            <a:ln w="28575">
              <a:noFill/>
            </a:ln>
          </c:spPr>
          <c:xVal>
            <c:numRef>
              <c:f>'turbidity_soilTest_#60'!$C$6:$C$32</c:f>
              <c:numCache>
                <c:formatCode>0</c:formatCode>
                <c:ptCount val="27"/>
                <c:pt idx="0">
                  <c:v>27603.599999999999</c:v>
                </c:pt>
                <c:pt idx="1">
                  <c:v>25595.200000000001</c:v>
                </c:pt>
                <c:pt idx="2">
                  <c:v>23722.400000000001</c:v>
                </c:pt>
                <c:pt idx="3">
                  <c:v>22490.799999999999</c:v>
                </c:pt>
                <c:pt idx="4">
                  <c:v>20808.833333333332</c:v>
                </c:pt>
                <c:pt idx="5">
                  <c:v>19433.333333333332</c:v>
                </c:pt>
                <c:pt idx="6">
                  <c:v>17197</c:v>
                </c:pt>
                <c:pt idx="7">
                  <c:v>15390.375</c:v>
                </c:pt>
                <c:pt idx="8">
                  <c:v>13685.222222222223</c:v>
                </c:pt>
                <c:pt idx="9">
                  <c:v>12108.5</c:v>
                </c:pt>
                <c:pt idx="10">
                  <c:v>10443.09090909091</c:v>
                </c:pt>
                <c:pt idx="11">
                  <c:v>8695.0769230769238</c:v>
                </c:pt>
                <c:pt idx="12">
                  <c:v>7080.9</c:v>
                </c:pt>
                <c:pt idx="13">
                  <c:v>5723.9</c:v>
                </c:pt>
                <c:pt idx="14">
                  <c:v>4666.4666666666662</c:v>
                </c:pt>
                <c:pt idx="15">
                  <c:v>4080.7333333333331</c:v>
                </c:pt>
                <c:pt idx="16">
                  <c:v>3232</c:v>
                </c:pt>
                <c:pt idx="17">
                  <c:v>2591.4375</c:v>
                </c:pt>
                <c:pt idx="18">
                  <c:v>2178.818181818182</c:v>
                </c:pt>
                <c:pt idx="19">
                  <c:v>1907.8888888888889</c:v>
                </c:pt>
                <c:pt idx="20">
                  <c:v>1649.2307692307693</c:v>
                </c:pt>
                <c:pt idx="21">
                  <c:v>1309.1818181818182</c:v>
                </c:pt>
                <c:pt idx="22">
                  <c:v>1005.4545454545455</c:v>
                </c:pt>
                <c:pt idx="23">
                  <c:v>747</c:v>
                </c:pt>
                <c:pt idx="24">
                  <c:v>620.08333333333337</c:v>
                </c:pt>
                <c:pt idx="25">
                  <c:v>503.90909090909093</c:v>
                </c:pt>
                <c:pt idx="26">
                  <c:v>447.5</c:v>
                </c:pt>
              </c:numCache>
            </c:numRef>
          </c:xVal>
          <c:yVal>
            <c:numRef>
              <c:f>'turbidity_soilTest_#60'!$D$6:$D$32</c:f>
              <c:numCache>
                <c:formatCode>General</c:formatCode>
                <c:ptCount val="2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0.75000000000000011</c:v>
                </c:pt>
                <c:pt idx="4">
                  <c:v>1</c:v>
                </c:pt>
                <c:pt idx="5">
                  <c:v>1.25</c:v>
                </c:pt>
                <c:pt idx="6">
                  <c:v>1.75</c:v>
                </c:pt>
                <c:pt idx="7">
                  <c:v>2.2499999999999996</c:v>
                </c:pt>
                <c:pt idx="8">
                  <c:v>2.7499999999999996</c:v>
                </c:pt>
                <c:pt idx="9">
                  <c:v>3.2499999999999996</c:v>
                </c:pt>
                <c:pt idx="10">
                  <c:v>3.7499999999999996</c:v>
                </c:pt>
                <c:pt idx="11">
                  <c:v>4.75</c:v>
                </c:pt>
                <c:pt idx="12">
                  <c:v>5.75</c:v>
                </c:pt>
                <c:pt idx="13">
                  <c:v>6.7499999999999991</c:v>
                </c:pt>
                <c:pt idx="14">
                  <c:v>7.7499999999999991</c:v>
                </c:pt>
                <c:pt idx="15">
                  <c:v>8.7499999999999982</c:v>
                </c:pt>
                <c:pt idx="16">
                  <c:v>9.9999999999999982</c:v>
                </c:pt>
                <c:pt idx="17">
                  <c:v>11.25</c:v>
                </c:pt>
                <c:pt idx="18">
                  <c:v>12.5</c:v>
                </c:pt>
                <c:pt idx="19">
                  <c:v>13.75</c:v>
                </c:pt>
                <c:pt idx="20">
                  <c:v>15</c:v>
                </c:pt>
                <c:pt idx="21">
                  <c:v>17.5</c:v>
                </c:pt>
                <c:pt idx="22">
                  <c:v>20</c:v>
                </c:pt>
                <c:pt idx="23">
                  <c:v>25</c:v>
                </c:pt>
                <c:pt idx="24">
                  <c:v>30</c:v>
                </c:pt>
                <c:pt idx="25">
                  <c:v>35</c:v>
                </c:pt>
                <c:pt idx="26">
                  <c:v>40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'turbidity_soilTest_#60'!$C$6:$C$32</c:f>
              <c:numCache>
                <c:formatCode>0</c:formatCode>
                <c:ptCount val="27"/>
                <c:pt idx="0">
                  <c:v>27603.599999999999</c:v>
                </c:pt>
                <c:pt idx="1">
                  <c:v>25595.200000000001</c:v>
                </c:pt>
                <c:pt idx="2">
                  <c:v>23722.400000000001</c:v>
                </c:pt>
                <c:pt idx="3">
                  <c:v>22490.799999999999</c:v>
                </c:pt>
                <c:pt idx="4">
                  <c:v>20808.833333333332</c:v>
                </c:pt>
                <c:pt idx="5">
                  <c:v>19433.333333333332</c:v>
                </c:pt>
                <c:pt idx="6">
                  <c:v>17197</c:v>
                </c:pt>
                <c:pt idx="7">
                  <c:v>15390.375</c:v>
                </c:pt>
                <c:pt idx="8">
                  <c:v>13685.222222222223</c:v>
                </c:pt>
                <c:pt idx="9">
                  <c:v>12108.5</c:v>
                </c:pt>
                <c:pt idx="10">
                  <c:v>10443.09090909091</c:v>
                </c:pt>
                <c:pt idx="11">
                  <c:v>8695.0769230769238</c:v>
                </c:pt>
                <c:pt idx="12">
                  <c:v>7080.9</c:v>
                </c:pt>
                <c:pt idx="13">
                  <c:v>5723.9</c:v>
                </c:pt>
                <c:pt idx="14">
                  <c:v>4666.4666666666662</c:v>
                </c:pt>
                <c:pt idx="15">
                  <c:v>4080.7333333333331</c:v>
                </c:pt>
                <c:pt idx="16">
                  <c:v>3232</c:v>
                </c:pt>
                <c:pt idx="17">
                  <c:v>2591.4375</c:v>
                </c:pt>
                <c:pt idx="18">
                  <c:v>2178.818181818182</c:v>
                </c:pt>
                <c:pt idx="19">
                  <c:v>1907.8888888888889</c:v>
                </c:pt>
                <c:pt idx="20">
                  <c:v>1649.2307692307693</c:v>
                </c:pt>
                <c:pt idx="21">
                  <c:v>1309.1818181818182</c:v>
                </c:pt>
                <c:pt idx="22">
                  <c:v>1005.4545454545455</c:v>
                </c:pt>
                <c:pt idx="23">
                  <c:v>747</c:v>
                </c:pt>
                <c:pt idx="24">
                  <c:v>620.08333333333337</c:v>
                </c:pt>
                <c:pt idx="25">
                  <c:v>503.90909090909093</c:v>
                </c:pt>
                <c:pt idx="26">
                  <c:v>447.5</c:v>
                </c:pt>
              </c:numCache>
            </c:numRef>
          </c:xVal>
          <c:yVal>
            <c:numRef>
              <c:f>'turbidity_soilTest_#60'!$D$6:$D$32</c:f>
              <c:numCache>
                <c:formatCode>General</c:formatCode>
                <c:ptCount val="2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0.75000000000000011</c:v>
                </c:pt>
                <c:pt idx="4">
                  <c:v>1</c:v>
                </c:pt>
                <c:pt idx="5">
                  <c:v>1.25</c:v>
                </c:pt>
                <c:pt idx="6">
                  <c:v>1.75</c:v>
                </c:pt>
                <c:pt idx="7">
                  <c:v>2.2499999999999996</c:v>
                </c:pt>
                <c:pt idx="8">
                  <c:v>2.7499999999999996</c:v>
                </c:pt>
                <c:pt idx="9">
                  <c:v>3.2499999999999996</c:v>
                </c:pt>
                <c:pt idx="10">
                  <c:v>3.7499999999999996</c:v>
                </c:pt>
                <c:pt idx="11">
                  <c:v>4.75</c:v>
                </c:pt>
                <c:pt idx="12">
                  <c:v>5.75</c:v>
                </c:pt>
                <c:pt idx="13">
                  <c:v>6.7499999999999991</c:v>
                </c:pt>
                <c:pt idx="14">
                  <c:v>7.7499999999999991</c:v>
                </c:pt>
                <c:pt idx="15">
                  <c:v>8.7499999999999982</c:v>
                </c:pt>
                <c:pt idx="16">
                  <c:v>9.9999999999999982</c:v>
                </c:pt>
                <c:pt idx="17">
                  <c:v>11.25</c:v>
                </c:pt>
                <c:pt idx="18">
                  <c:v>12.5</c:v>
                </c:pt>
                <c:pt idx="19">
                  <c:v>13.75</c:v>
                </c:pt>
                <c:pt idx="20">
                  <c:v>15</c:v>
                </c:pt>
                <c:pt idx="21">
                  <c:v>17.5</c:v>
                </c:pt>
                <c:pt idx="22">
                  <c:v>20</c:v>
                </c:pt>
                <c:pt idx="23">
                  <c:v>25</c:v>
                </c:pt>
                <c:pt idx="24">
                  <c:v>30</c:v>
                </c:pt>
                <c:pt idx="25">
                  <c:v>35</c:v>
                </c:pt>
                <c:pt idx="26">
                  <c:v>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51776"/>
        <c:axId val="49870336"/>
      </c:scatterChart>
      <c:valAx>
        <c:axId val="49851776"/>
        <c:scaling>
          <c:orientation val="minMax"/>
          <c:max val="250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# analog (15bits)</a:t>
                </a:r>
              </a:p>
            </c:rich>
          </c:tx>
          <c:layout>
            <c:manualLayout>
              <c:xMode val="edge"/>
              <c:yMode val="edge"/>
              <c:x val="0.46414698162729656"/>
              <c:y val="0.9120370370370370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49870336"/>
        <c:crosses val="autoZero"/>
        <c:crossBetween val="midCat"/>
      </c:valAx>
      <c:valAx>
        <c:axId val="49870336"/>
        <c:scaling>
          <c:orientation val="minMax"/>
          <c:min val="1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turbidity (grams/)</a:t>
                </a:r>
              </a:p>
            </c:rich>
          </c:tx>
          <c:layout>
            <c:manualLayout>
              <c:xMode val="edge"/>
              <c:yMode val="edge"/>
              <c:x val="1.8885931469860125E-2"/>
              <c:y val="0.3132886800255748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9851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76361548323586"/>
          <c:y val="0.2482069075236279"/>
          <c:w val="0.28419197842827121"/>
          <c:h val="0.1485855611248969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Turbidimeter </a:t>
            </a:r>
          </a:p>
          <a:p>
            <a:pPr>
              <a:defRPr sz="1100"/>
            </a:pPr>
            <a:r>
              <a:rPr lang="en-US" sz="1100"/>
              <a:t>Calibration</a:t>
            </a:r>
          </a:p>
        </c:rich>
      </c:tx>
      <c:layout>
        <c:manualLayout>
          <c:xMode val="edge"/>
          <c:yMode val="edge"/>
          <c:x val="0.44610680654982737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77379252453472"/>
          <c:y val="0.13180657243895566"/>
          <c:w val="0.81047018481099953"/>
          <c:h val="0.69997412269670545"/>
        </c:manualLayout>
      </c:layout>
      <c:scatterChart>
        <c:scatterStyle val="lineMarker"/>
        <c:varyColors val="0"/>
        <c:ser>
          <c:idx val="0"/>
          <c:order val="0"/>
          <c:spPr>
            <a:ln w="12700"/>
          </c:spPr>
          <c:marker>
            <c:symbol val="square"/>
            <c:size val="2"/>
          </c:marker>
          <c:xVal>
            <c:numRef>
              <c:f>'turbidity_soilTest_#60 (ODL)'!$C$6:$C$51</c:f>
              <c:numCache>
                <c:formatCode>0</c:formatCode>
                <c:ptCount val="46"/>
                <c:pt idx="0">
                  <c:v>29617.555555555555</c:v>
                </c:pt>
                <c:pt idx="1">
                  <c:v>29586.375</c:v>
                </c:pt>
                <c:pt idx="2">
                  <c:v>29429.625</c:v>
                </c:pt>
                <c:pt idx="3">
                  <c:v>29364.111111111109</c:v>
                </c:pt>
                <c:pt idx="4">
                  <c:v>29211</c:v>
                </c:pt>
                <c:pt idx="5">
                  <c:v>29102.5</c:v>
                </c:pt>
                <c:pt idx="6">
                  <c:v>28956.777777777777</c:v>
                </c:pt>
                <c:pt idx="7">
                  <c:v>28890</c:v>
                </c:pt>
                <c:pt idx="8">
                  <c:v>28513.666666666668</c:v>
                </c:pt>
                <c:pt idx="9">
                  <c:v>28282.5</c:v>
                </c:pt>
                <c:pt idx="10">
                  <c:v>28124.666666666668</c:v>
                </c:pt>
                <c:pt idx="11">
                  <c:v>27914</c:v>
                </c:pt>
                <c:pt idx="12">
                  <c:v>27665.333333333332</c:v>
                </c:pt>
                <c:pt idx="13">
                  <c:v>27385.333333333332</c:v>
                </c:pt>
                <c:pt idx="14">
                  <c:v>27176.777777777777</c:v>
                </c:pt>
                <c:pt idx="15">
                  <c:v>26767.7</c:v>
                </c:pt>
                <c:pt idx="16">
                  <c:v>26015</c:v>
                </c:pt>
                <c:pt idx="17">
                  <c:v>25780.3</c:v>
                </c:pt>
                <c:pt idx="18">
                  <c:v>25482.5</c:v>
                </c:pt>
                <c:pt idx="19">
                  <c:v>24898.1</c:v>
                </c:pt>
                <c:pt idx="20">
                  <c:v>24496</c:v>
                </c:pt>
                <c:pt idx="21">
                  <c:v>23781.5</c:v>
                </c:pt>
                <c:pt idx="22">
                  <c:v>23270.7</c:v>
                </c:pt>
                <c:pt idx="23">
                  <c:v>22913.4</c:v>
                </c:pt>
                <c:pt idx="24">
                  <c:v>22414.444444444445</c:v>
                </c:pt>
                <c:pt idx="25">
                  <c:v>21633.25</c:v>
                </c:pt>
                <c:pt idx="26">
                  <c:v>20709.888888888891</c:v>
                </c:pt>
                <c:pt idx="27">
                  <c:v>19952.666666666668</c:v>
                </c:pt>
                <c:pt idx="28">
                  <c:v>19187.875</c:v>
                </c:pt>
                <c:pt idx="29">
                  <c:v>18408.714285714286</c:v>
                </c:pt>
                <c:pt idx="30">
                  <c:v>17835.25</c:v>
                </c:pt>
                <c:pt idx="31">
                  <c:v>16783.25</c:v>
                </c:pt>
                <c:pt idx="32">
                  <c:v>15633.428571428571</c:v>
                </c:pt>
                <c:pt idx="33">
                  <c:v>13957.111111111111</c:v>
                </c:pt>
                <c:pt idx="34">
                  <c:v>12716.125</c:v>
                </c:pt>
                <c:pt idx="35">
                  <c:v>10903.285714285714</c:v>
                </c:pt>
                <c:pt idx="36">
                  <c:v>9472.8333333333339</c:v>
                </c:pt>
                <c:pt idx="37">
                  <c:v>8024.1428571428569</c:v>
                </c:pt>
                <c:pt idx="38">
                  <c:v>6389.1428571428569</c:v>
                </c:pt>
                <c:pt idx="39">
                  <c:v>5229.7142857142853</c:v>
                </c:pt>
                <c:pt idx="40">
                  <c:v>4013.8571428571427</c:v>
                </c:pt>
                <c:pt idx="41">
                  <c:v>3169.5714285714284</c:v>
                </c:pt>
                <c:pt idx="42">
                  <c:v>2283.4285714285716</c:v>
                </c:pt>
                <c:pt idx="43">
                  <c:v>1671.4285714285713</c:v>
                </c:pt>
                <c:pt idx="44">
                  <c:v>1153.8</c:v>
                </c:pt>
                <c:pt idx="45">
                  <c:v>777.5</c:v>
                </c:pt>
              </c:numCache>
            </c:numRef>
          </c:xVal>
          <c:yVal>
            <c:numRef>
              <c:f>'turbidity_soilTest_#60 (ODL)'!$D$6:$D$51</c:f>
              <c:numCache>
                <c:formatCode>General</c:formatCode>
                <c:ptCount val="46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0.15000000000000002</c:v>
                </c:pt>
                <c:pt idx="7">
                  <c:v>0.17499999999999999</c:v>
                </c:pt>
                <c:pt idx="8">
                  <c:v>0.23749999999999999</c:v>
                </c:pt>
                <c:pt idx="9">
                  <c:v>0.3</c:v>
                </c:pt>
                <c:pt idx="10">
                  <c:v>0.36249999999999999</c:v>
                </c:pt>
                <c:pt idx="11">
                  <c:v>0.42499999999999993</c:v>
                </c:pt>
                <c:pt idx="12">
                  <c:v>0.48749999999999993</c:v>
                </c:pt>
                <c:pt idx="13">
                  <c:v>0.54999999999999993</c:v>
                </c:pt>
                <c:pt idx="14">
                  <c:v>0.61249999999999993</c:v>
                </c:pt>
                <c:pt idx="15">
                  <c:v>0.67499999999999982</c:v>
                </c:pt>
                <c:pt idx="16">
                  <c:v>0.86250000000000004</c:v>
                </c:pt>
                <c:pt idx="17">
                  <c:v>0.98749999999999982</c:v>
                </c:pt>
                <c:pt idx="18">
                  <c:v>1.0999999999999999</c:v>
                </c:pt>
                <c:pt idx="19">
                  <c:v>1.2249999999999999</c:v>
                </c:pt>
                <c:pt idx="20">
                  <c:v>1.3499999999999996</c:v>
                </c:pt>
                <c:pt idx="21">
                  <c:v>1.5249999999999997</c:v>
                </c:pt>
                <c:pt idx="22">
                  <c:v>1.6499999999999997</c:v>
                </c:pt>
                <c:pt idx="23">
                  <c:v>1.8</c:v>
                </c:pt>
                <c:pt idx="24">
                  <c:v>1.9</c:v>
                </c:pt>
                <c:pt idx="25">
                  <c:v>2.15</c:v>
                </c:pt>
                <c:pt idx="26">
                  <c:v>2.4</c:v>
                </c:pt>
                <c:pt idx="27">
                  <c:v>2.65</c:v>
                </c:pt>
                <c:pt idx="28">
                  <c:v>2.9000000000000004</c:v>
                </c:pt>
                <c:pt idx="29">
                  <c:v>3.1500000000000004</c:v>
                </c:pt>
                <c:pt idx="30">
                  <c:v>3.4000000000000004</c:v>
                </c:pt>
                <c:pt idx="31">
                  <c:v>3.9000000000000004</c:v>
                </c:pt>
                <c:pt idx="32">
                  <c:v>4.5500000000000007</c:v>
                </c:pt>
                <c:pt idx="33">
                  <c:v>5.3</c:v>
                </c:pt>
                <c:pt idx="34">
                  <c:v>6.0750000000000002</c:v>
                </c:pt>
                <c:pt idx="35">
                  <c:v>7.0750000000000002</c:v>
                </c:pt>
                <c:pt idx="36">
                  <c:v>8.3249999999999993</c:v>
                </c:pt>
                <c:pt idx="37">
                  <c:v>9.8249999999999993</c:v>
                </c:pt>
                <c:pt idx="38">
                  <c:v>11.574999999999999</c:v>
                </c:pt>
                <c:pt idx="39">
                  <c:v>13.574999999999999</c:v>
                </c:pt>
                <c:pt idx="40">
                  <c:v>15.824999999999999</c:v>
                </c:pt>
                <c:pt idx="41">
                  <c:v>18.324999999999999</c:v>
                </c:pt>
                <c:pt idx="42">
                  <c:v>22.074999999999999</c:v>
                </c:pt>
                <c:pt idx="43">
                  <c:v>27.074999999999999</c:v>
                </c:pt>
                <c:pt idx="44">
                  <c:v>34.575000000000003</c:v>
                </c:pt>
                <c:pt idx="45">
                  <c:v>47.075000000000003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62400"/>
        <c:axId val="50676864"/>
      </c:scatterChart>
      <c:valAx>
        <c:axId val="50662400"/>
        <c:scaling>
          <c:orientation val="minMax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# analog (15bits)</a:t>
                </a:r>
              </a:p>
            </c:rich>
          </c:tx>
          <c:layout>
            <c:manualLayout>
              <c:xMode val="edge"/>
              <c:yMode val="edge"/>
              <c:x val="0.46414698162729656"/>
              <c:y val="0.9120370370370370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50676864"/>
        <c:crosses val="autoZero"/>
        <c:crossBetween val="midCat"/>
      </c:valAx>
      <c:valAx>
        <c:axId val="5067686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turbidity (grams/liter)</a:t>
                </a:r>
              </a:p>
            </c:rich>
          </c:tx>
          <c:layout>
            <c:manualLayout>
              <c:xMode val="edge"/>
              <c:yMode val="edge"/>
              <c:x val="1.8885931469860125E-2"/>
              <c:y val="0.3132886800255748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06624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7007989507039403"/>
          <c:y val="0.17694530317043178"/>
          <c:w val="0.1621783756280252"/>
          <c:h val="7.580102466199423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-0.28456933508311461"/>
                  <c:y val="-0.49985922847177261"/>
                </c:manualLayout>
              </c:layout>
              <c:numFmt formatCode="General" sourceLinked="0"/>
            </c:trendlineLbl>
          </c:trendline>
          <c:xVal>
            <c:numRef>
              <c:f>datasheet!$F$9:$F$17</c:f>
              <c:numCache>
                <c:formatCode>General</c:formatCode>
                <c:ptCount val="9"/>
                <c:pt idx="0">
                  <c:v>1E-3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</c:numCache>
            </c:numRef>
          </c:xVal>
          <c:yVal>
            <c:numRef>
              <c:f>datasheet!$G$9:$G$17</c:f>
              <c:numCache>
                <c:formatCode>General</c:formatCode>
                <c:ptCount val="9"/>
                <c:pt idx="0">
                  <c:v>4.7</c:v>
                </c:pt>
                <c:pt idx="1">
                  <c:v>4.38</c:v>
                </c:pt>
                <c:pt idx="2">
                  <c:v>4</c:v>
                </c:pt>
                <c:pt idx="3">
                  <c:v>3.68</c:v>
                </c:pt>
                <c:pt idx="4">
                  <c:v>3.4</c:v>
                </c:pt>
                <c:pt idx="5">
                  <c:v>3.2</c:v>
                </c:pt>
                <c:pt idx="6">
                  <c:v>3</c:v>
                </c:pt>
                <c:pt idx="7">
                  <c:v>2.82</c:v>
                </c:pt>
                <c:pt idx="8">
                  <c:v>2.7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-6.6248906386701658E-3"/>
                  <c:y val="3.0577915161135363E-2"/>
                </c:manualLayout>
              </c:layout>
              <c:numFmt formatCode="General" sourceLinked="0"/>
            </c:trendlineLbl>
          </c:trendline>
          <c:xVal>
            <c:numRef>
              <c:f>datasheet!$F$9:$F$17</c:f>
              <c:numCache>
                <c:formatCode>General</c:formatCode>
                <c:ptCount val="9"/>
                <c:pt idx="0">
                  <c:v>1E-3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</c:numCache>
            </c:numRef>
          </c:xVal>
          <c:yVal>
            <c:numRef>
              <c:f>datasheet!$H$9:$H$17</c:f>
              <c:numCache>
                <c:formatCode>General</c:formatCode>
                <c:ptCount val="9"/>
                <c:pt idx="0">
                  <c:v>3.65</c:v>
                </c:pt>
                <c:pt idx="1">
                  <c:v>3.2</c:v>
                </c:pt>
                <c:pt idx="2">
                  <c:v>2.85</c:v>
                </c:pt>
                <c:pt idx="3">
                  <c:v>2.6</c:v>
                </c:pt>
                <c:pt idx="4">
                  <c:v>2.35</c:v>
                </c:pt>
                <c:pt idx="5">
                  <c:v>2.1800000000000002</c:v>
                </c:pt>
                <c:pt idx="6">
                  <c:v>2.0499999999999998</c:v>
                </c:pt>
                <c:pt idx="7">
                  <c:v>1.92</c:v>
                </c:pt>
                <c:pt idx="8">
                  <c:v>1.81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120"/>
        <c:axId val="44879232"/>
      </c:scatterChart>
      <c:valAx>
        <c:axId val="44885120"/>
        <c:scaling>
          <c:orientation val="minMax"/>
          <c:max val="2000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44879232"/>
        <c:crosses val="autoZero"/>
        <c:crossBetween val="midCat"/>
        <c:majorUnit val="500"/>
        <c:minorUnit val="250"/>
      </c:valAx>
      <c:valAx>
        <c:axId val="44879232"/>
        <c:scaling>
          <c:orientation val="minMax"/>
          <c:min val="1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885120"/>
        <c:crosses val="autoZero"/>
        <c:crossBetween val="midCat"/>
        <c:majorUnit val="0.2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691661</xdr:colOff>
      <xdr:row>7</xdr:row>
      <xdr:rowOff>6594</xdr:rowOff>
    </xdr:from>
    <xdr:to>
      <xdr:col>10</xdr:col>
      <xdr:colOff>565638</xdr:colOff>
      <xdr:row>22</xdr:row>
      <xdr:rowOff>178776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486757</xdr:colOff>
      <xdr:row>11</xdr:row>
      <xdr:rowOff>72107</xdr:rowOff>
    </xdr:from>
    <xdr:to>
      <xdr:col>16</xdr:col>
      <xdr:colOff>175345</xdr:colOff>
      <xdr:row>27</xdr:row>
      <xdr:rowOff>53789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218866</xdr:colOff>
      <xdr:row>11</xdr:row>
      <xdr:rowOff>185216</xdr:rowOff>
    </xdr:from>
    <xdr:to>
      <xdr:col>14</xdr:col>
      <xdr:colOff>169392</xdr:colOff>
      <xdr:row>27</xdr:row>
      <xdr:rowOff>166898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10</xdr:row>
      <xdr:rowOff>57150</xdr:rowOff>
    </xdr:from>
    <xdr:to>
      <xdr:col>18</xdr:col>
      <xdr:colOff>381000</xdr:colOff>
      <xdr:row>29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590550</xdr:colOff>
      <xdr:row>5</xdr:row>
      <xdr:rowOff>95250</xdr:rowOff>
    </xdr:from>
    <xdr:to>
      <xdr:col>28</xdr:col>
      <xdr:colOff>342550</xdr:colOff>
      <xdr:row>44</xdr:row>
      <xdr:rowOff>8608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11350" y="1257300"/>
          <a:ext cx="2800000" cy="73428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E24"/>
  <sheetViews>
    <sheetView zoomScaleNormal="100" zoomScaleSheetLayoutView="85" workbookViewId="0">
      <selection activeCell="D34" sqref="D34"/>
    </sheetView>
  </sheetViews>
  <sheetFormatPr defaultRowHeight="15" x14ac:dyDescent="0.25"/>
  <cols>
    <col min="1" max="1" width="19.42578125" style="1" bestFit="1" customWidth="1"/>
    <col min="2" max="2" width="15.7109375" style="1" customWidth="1"/>
    <col min="3" max="3" width="18" style="1" customWidth="1"/>
    <col min="4" max="4" width="15.5703125" style="1" customWidth="1"/>
    <col min="5" max="5" width="14.5703125" style="1" customWidth="1"/>
    <col min="6" max="7" width="14.28515625" style="1" customWidth="1"/>
    <col min="8" max="16384" width="9.140625" style="1"/>
  </cols>
  <sheetData>
    <row r="2" spans="1:5" ht="15.75" thickBot="1" x14ac:dyDescent="0.3">
      <c r="A2" s="15" t="s">
        <v>14</v>
      </c>
      <c r="B2" s="12">
        <v>400</v>
      </c>
      <c r="C2" s="11" t="s">
        <v>10</v>
      </c>
    </row>
    <row r="4" spans="1:5" x14ac:dyDescent="0.25">
      <c r="A4" s="14" t="s">
        <v>11</v>
      </c>
      <c r="B4" s="14" t="s">
        <v>12</v>
      </c>
      <c r="C4" s="14" t="s">
        <v>7</v>
      </c>
      <c r="D4" s="14"/>
    </row>
    <row r="5" spans="1:5" ht="15.75" thickBot="1" x14ac:dyDescent="0.3">
      <c r="A5" s="15" t="s">
        <v>9</v>
      </c>
      <c r="B5" s="15" t="s">
        <v>13</v>
      </c>
      <c r="C5" s="15" t="s">
        <v>8</v>
      </c>
      <c r="D5" s="15" t="s">
        <v>6</v>
      </c>
      <c r="E5" s="9"/>
    </row>
    <row r="6" spans="1:5" x14ac:dyDescent="0.25">
      <c r="A6" s="10">
        <v>0.1</v>
      </c>
      <c r="B6" s="1">
        <f>A6</f>
        <v>0.1</v>
      </c>
      <c r="C6" s="13">
        <v>24971</v>
      </c>
      <c r="D6" s="1">
        <f t="shared" ref="D6:D24" si="0">B6*1000/400</f>
        <v>0.25</v>
      </c>
      <c r="E6" s="8"/>
    </row>
    <row r="7" spans="1:5" x14ac:dyDescent="0.25">
      <c r="A7" s="10">
        <v>0.1</v>
      </c>
      <c r="B7" s="1">
        <f t="shared" ref="B7:B24" si="1">B6+A7</f>
        <v>0.2</v>
      </c>
      <c r="C7" s="13">
        <v>23000</v>
      </c>
      <c r="D7" s="1">
        <f t="shared" si="0"/>
        <v>0.5</v>
      </c>
      <c r="E7" s="8"/>
    </row>
    <row r="8" spans="1:5" x14ac:dyDescent="0.25">
      <c r="A8" s="10">
        <v>0.1</v>
      </c>
      <c r="B8" s="1">
        <f t="shared" si="1"/>
        <v>0.30000000000000004</v>
      </c>
      <c r="C8" s="13">
        <v>21030</v>
      </c>
      <c r="D8" s="1">
        <f t="shared" si="0"/>
        <v>0.75000000000000011</v>
      </c>
      <c r="E8" s="8"/>
    </row>
    <row r="9" spans="1:5" x14ac:dyDescent="0.25">
      <c r="A9" s="10">
        <v>0.1</v>
      </c>
      <c r="B9" s="1">
        <f t="shared" si="1"/>
        <v>0.4</v>
      </c>
      <c r="C9" s="13">
        <v>18900</v>
      </c>
      <c r="D9" s="1">
        <f t="shared" si="0"/>
        <v>1</v>
      </c>
      <c r="E9" s="8"/>
    </row>
    <row r="10" spans="1:5" x14ac:dyDescent="0.25">
      <c r="A10" s="10">
        <v>0.2</v>
      </c>
      <c r="B10" s="1">
        <f t="shared" si="1"/>
        <v>0.60000000000000009</v>
      </c>
      <c r="C10" s="13">
        <f>(17190+17164+16962+17092)/4</f>
        <v>17102</v>
      </c>
      <c r="D10" s="1">
        <f t="shared" si="0"/>
        <v>1.5000000000000002</v>
      </c>
      <c r="E10" s="8"/>
    </row>
    <row r="11" spans="1:5" x14ac:dyDescent="0.25">
      <c r="A11" s="10">
        <v>0.2</v>
      </c>
      <c r="B11" s="1">
        <f t="shared" si="1"/>
        <v>0.8</v>
      </c>
      <c r="C11" s="13">
        <f>AVERAGE(15931,15525,15646,15700,15887)</f>
        <v>15737.8</v>
      </c>
      <c r="D11" s="1">
        <f t="shared" si="0"/>
        <v>2</v>
      </c>
      <c r="E11" s="8"/>
    </row>
    <row r="12" spans="1:5" x14ac:dyDescent="0.25">
      <c r="A12" s="10">
        <v>0.2</v>
      </c>
      <c r="B12" s="1">
        <f t="shared" si="1"/>
        <v>1</v>
      </c>
      <c r="C12" s="13">
        <f>AVERAGE(14338,14923,14497,14826,14165,14004)</f>
        <v>14458.833333333334</v>
      </c>
      <c r="D12" s="1">
        <f t="shared" si="0"/>
        <v>2.5</v>
      </c>
      <c r="E12" s="8"/>
    </row>
    <row r="13" spans="1:5" x14ac:dyDescent="0.25">
      <c r="A13" s="10">
        <v>0.4</v>
      </c>
      <c r="B13" s="1">
        <f t="shared" si="1"/>
        <v>1.4</v>
      </c>
      <c r="C13" s="13">
        <f>AVERAGE(12271,12076,11432,12390,11981,11883,11509)</f>
        <v>11934.571428571429</v>
      </c>
      <c r="D13" s="1">
        <f t="shared" si="0"/>
        <v>3.5</v>
      </c>
      <c r="E13" s="8"/>
    </row>
    <row r="14" spans="1:5" x14ac:dyDescent="0.25">
      <c r="A14" s="10">
        <v>0.4</v>
      </c>
      <c r="B14" s="1">
        <f t="shared" si="1"/>
        <v>1.7999999999999998</v>
      </c>
      <c r="C14" s="13">
        <f>AVERAGE(10493,10032,10434,10142,9794,9782,9881,10178)</f>
        <v>10092</v>
      </c>
      <c r="D14" s="1">
        <f t="shared" si="0"/>
        <v>4.4999999999999991</v>
      </c>
      <c r="E14" s="8"/>
    </row>
    <row r="15" spans="1:5" x14ac:dyDescent="0.25">
      <c r="A15" s="10">
        <v>0.4</v>
      </c>
      <c r="B15" s="1">
        <f t="shared" si="1"/>
        <v>2.1999999999999997</v>
      </c>
      <c r="C15" s="13">
        <f>AVERAGE(8157,8402,7866,8100,7800,8036)</f>
        <v>8060.166666666667</v>
      </c>
      <c r="D15" s="1">
        <f t="shared" si="0"/>
        <v>5.4999999999999991</v>
      </c>
      <c r="E15" s="8"/>
    </row>
    <row r="16" spans="1:5" x14ac:dyDescent="0.25">
      <c r="A16" s="10">
        <v>0.4</v>
      </c>
      <c r="B16" s="1">
        <f t="shared" si="1"/>
        <v>2.5999999999999996</v>
      </c>
      <c r="C16" s="13">
        <f>AVERAGE(7202,7003,6497,6375,6374,6352,6649)</f>
        <v>6636</v>
      </c>
      <c r="D16" s="1">
        <f t="shared" si="0"/>
        <v>6.4999999999999991</v>
      </c>
      <c r="E16" s="8"/>
    </row>
    <row r="17" spans="1:5" x14ac:dyDescent="0.25">
      <c r="A17" s="10">
        <v>0.4</v>
      </c>
      <c r="B17" s="1">
        <f t="shared" si="1"/>
        <v>2.9999999999999996</v>
      </c>
      <c r="C17" s="13">
        <f>AVERAGE(5746,5369,5286,5464,5708,5385)</f>
        <v>5493</v>
      </c>
      <c r="D17" s="1">
        <f t="shared" si="0"/>
        <v>7.4999999999999991</v>
      </c>
      <c r="E17" s="8"/>
    </row>
    <row r="18" spans="1:5" x14ac:dyDescent="0.25">
      <c r="A18" s="10">
        <v>0.5</v>
      </c>
      <c r="B18" s="1">
        <f t="shared" si="1"/>
        <v>3.4999999999999996</v>
      </c>
      <c r="C18" s="13">
        <f>AVERAGE(4210,4056,3922,4070,4238,3933)</f>
        <v>4071.5</v>
      </c>
      <c r="D18" s="1">
        <f t="shared" si="0"/>
        <v>8.7499999999999982</v>
      </c>
      <c r="E18" s="8"/>
    </row>
    <row r="19" spans="1:5" x14ac:dyDescent="0.25">
      <c r="A19" s="10">
        <v>0.5</v>
      </c>
      <c r="B19" s="1">
        <f t="shared" si="1"/>
        <v>3.9999999999999996</v>
      </c>
      <c r="C19" s="13">
        <f>AVERAGE(3560,3541,3434,3386,3307,3326)</f>
        <v>3425.6666666666665</v>
      </c>
      <c r="D19" s="1">
        <f t="shared" si="0"/>
        <v>9.9999999999999982</v>
      </c>
      <c r="E19" s="8"/>
    </row>
    <row r="20" spans="1:5" x14ac:dyDescent="0.25">
      <c r="A20" s="10">
        <v>0.5</v>
      </c>
      <c r="B20" s="1">
        <f t="shared" si="1"/>
        <v>4.5</v>
      </c>
      <c r="C20" s="13">
        <f>AVERAGE(2722,2604,2738,2603,2574,2492,2521)</f>
        <v>2607.7142857142858</v>
      </c>
      <c r="D20" s="1">
        <f t="shared" si="0"/>
        <v>11.25</v>
      </c>
      <c r="E20" s="8"/>
    </row>
    <row r="21" spans="1:5" x14ac:dyDescent="0.25">
      <c r="A21" s="10">
        <v>0.5</v>
      </c>
      <c r="B21" s="1">
        <f t="shared" si="1"/>
        <v>5</v>
      </c>
      <c r="C21" s="13">
        <f>AVERAGE(2074,2109,2118,2166,2058)</f>
        <v>2105</v>
      </c>
      <c r="D21" s="1">
        <f t="shared" si="0"/>
        <v>12.5</v>
      </c>
      <c r="E21" s="8"/>
    </row>
    <row r="22" spans="1:5" x14ac:dyDescent="0.25">
      <c r="A22" s="10">
        <v>0.5</v>
      </c>
      <c r="B22" s="1">
        <f t="shared" si="1"/>
        <v>5.5</v>
      </c>
      <c r="C22" s="13">
        <f>AVERAGE(1493,1589,1548,1587,1527)</f>
        <v>1548.8</v>
      </c>
      <c r="D22" s="1">
        <f t="shared" si="0"/>
        <v>13.75</v>
      </c>
      <c r="E22" s="8"/>
    </row>
    <row r="23" spans="1:5" x14ac:dyDescent="0.25">
      <c r="A23" s="10">
        <v>0.5</v>
      </c>
      <c r="B23" s="1">
        <f t="shared" si="1"/>
        <v>6</v>
      </c>
      <c r="C23" s="13">
        <f>AVERAGE(1287,1293,1403,1343,1344)</f>
        <v>1334</v>
      </c>
      <c r="D23" s="1">
        <f t="shared" si="0"/>
        <v>15</v>
      </c>
      <c r="E23" s="8"/>
    </row>
    <row r="24" spans="1:5" x14ac:dyDescent="0.25">
      <c r="A24" s="10">
        <v>1</v>
      </c>
      <c r="B24" s="1">
        <f t="shared" si="1"/>
        <v>7</v>
      </c>
      <c r="C24" s="13">
        <f>AVERAGE(828,910,882,857,951,942)</f>
        <v>895</v>
      </c>
      <c r="D24" s="1">
        <f t="shared" si="0"/>
        <v>17.5</v>
      </c>
      <c r="E24" s="8"/>
    </row>
  </sheetData>
  <pageMargins left="0.7" right="0.7" top="0.75" bottom="0.75" header="0.3" footer="0.3"/>
  <pageSetup paperSize="9" orientation="portrait" r:id="rId1"/>
  <headerFooter>
    <oddFooter>&amp;C&amp;D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32"/>
  <sheetViews>
    <sheetView zoomScale="160" zoomScaleNormal="160" zoomScaleSheetLayoutView="85" workbookViewId="0">
      <selection activeCell="F4" sqref="F4:K8"/>
    </sheetView>
  </sheetViews>
  <sheetFormatPr defaultRowHeight="15" x14ac:dyDescent="0.25"/>
  <cols>
    <col min="1" max="1" width="19.42578125" style="1" bestFit="1" customWidth="1"/>
    <col min="2" max="2" width="15.7109375" style="1" customWidth="1"/>
    <col min="3" max="3" width="18" style="1" customWidth="1"/>
    <col min="4" max="4" width="15.5703125" style="1" customWidth="1"/>
    <col min="5" max="5" width="14.5703125" style="1" customWidth="1"/>
    <col min="6" max="6" width="14.28515625" style="1" customWidth="1"/>
    <col min="7" max="7" width="10.28515625" style="1" customWidth="1"/>
    <col min="8" max="8" width="4" style="1" customWidth="1"/>
    <col min="9" max="9" width="2.28515625" style="1" bestFit="1" customWidth="1"/>
    <col min="10" max="10" width="5.140625" style="1" customWidth="1"/>
    <col min="11" max="11" width="7" style="1" customWidth="1"/>
    <col min="12" max="16384" width="9.140625" style="1"/>
  </cols>
  <sheetData>
    <row r="2" spans="1:9" ht="15.75" thickBot="1" x14ac:dyDescent="0.3">
      <c r="A2" s="15" t="s">
        <v>14</v>
      </c>
      <c r="B2" s="12">
        <v>400</v>
      </c>
      <c r="C2" s="11" t="s">
        <v>10</v>
      </c>
    </row>
    <row r="4" spans="1:9" x14ac:dyDescent="0.25">
      <c r="A4" s="14" t="s">
        <v>11</v>
      </c>
      <c r="B4" s="14" t="s">
        <v>12</v>
      </c>
      <c r="C4" s="14" t="s">
        <v>7</v>
      </c>
      <c r="D4" s="14" t="s">
        <v>16</v>
      </c>
      <c r="F4" s="22"/>
      <c r="H4" s="22"/>
      <c r="I4" s="11"/>
    </row>
    <row r="5" spans="1:9" ht="15.75" thickBot="1" x14ac:dyDescent="0.3">
      <c r="A5" s="15" t="s">
        <v>9</v>
      </c>
      <c r="B5" s="15" t="s">
        <v>13</v>
      </c>
      <c r="C5" s="15" t="s">
        <v>15</v>
      </c>
      <c r="D5" s="15" t="s">
        <v>6</v>
      </c>
      <c r="E5" s="9"/>
    </row>
    <row r="6" spans="1:9" ht="15.75" thickBot="1" x14ac:dyDescent="0.3">
      <c r="A6" s="15">
        <v>0</v>
      </c>
      <c r="B6" s="15">
        <f>A6</f>
        <v>0</v>
      </c>
      <c r="C6" s="16">
        <f>AVERAGE(27614,27607,27612,27606,27579)</f>
        <v>27603.599999999999</v>
      </c>
      <c r="D6" s="1">
        <f t="shared" ref="D6:D25" si="0">B6*1000/400</f>
        <v>0</v>
      </c>
      <c r="E6" s="9"/>
      <c r="F6" s="22"/>
      <c r="G6" s="22"/>
    </row>
    <row r="7" spans="1:9" x14ac:dyDescent="0.25">
      <c r="A7" s="10">
        <v>0.1</v>
      </c>
      <c r="B7" s="1">
        <f>A7</f>
        <v>0.1</v>
      </c>
      <c r="C7" s="13">
        <f>AVERAGE(25906,25666,25712,25447,25245)</f>
        <v>25595.200000000001</v>
      </c>
      <c r="D7" s="1">
        <f t="shared" si="0"/>
        <v>0.25</v>
      </c>
      <c r="E7" s="8"/>
      <c r="F7" s="22"/>
    </row>
    <row r="8" spans="1:9" x14ac:dyDescent="0.25">
      <c r="A8" s="10">
        <v>0.1</v>
      </c>
      <c r="B8" s="1">
        <f t="shared" ref="B8:B25" si="1">B7+A8</f>
        <v>0.2</v>
      </c>
      <c r="C8" s="13">
        <f>AVERAGE(23600,23873,23971,23514,23654)</f>
        <v>23722.400000000001</v>
      </c>
      <c r="D8" s="1">
        <f t="shared" si="0"/>
        <v>0.5</v>
      </c>
      <c r="E8" s="8"/>
      <c r="F8" s="22"/>
    </row>
    <row r="9" spans="1:9" x14ac:dyDescent="0.25">
      <c r="A9" s="10">
        <v>0.1</v>
      </c>
      <c r="B9" s="1">
        <f t="shared" si="1"/>
        <v>0.30000000000000004</v>
      </c>
      <c r="C9" s="13">
        <f>AVERAGE(22480,22237,22505,22754,22478)</f>
        <v>22490.799999999999</v>
      </c>
      <c r="D9" s="1">
        <f t="shared" si="0"/>
        <v>0.75000000000000011</v>
      </c>
      <c r="E9" s="8"/>
    </row>
    <row r="10" spans="1:9" x14ac:dyDescent="0.25">
      <c r="A10" s="10">
        <v>0.1</v>
      </c>
      <c r="B10" s="1">
        <f t="shared" si="1"/>
        <v>0.4</v>
      </c>
      <c r="C10" s="13">
        <f>AVERAGE(21102,20758,20478,20888,21021,20606)</f>
        <v>20808.833333333332</v>
      </c>
      <c r="D10" s="1">
        <f t="shared" si="0"/>
        <v>1</v>
      </c>
      <c r="E10" s="8"/>
    </row>
    <row r="11" spans="1:9" x14ac:dyDescent="0.25">
      <c r="A11" s="10">
        <v>0.1</v>
      </c>
      <c r="B11" s="1">
        <f t="shared" si="1"/>
        <v>0.5</v>
      </c>
      <c r="C11" s="13">
        <f>AVERAGE(19032,19376,19951,19682,19508,19051)</f>
        <v>19433.333333333332</v>
      </c>
      <c r="D11" s="1">
        <f t="shared" si="0"/>
        <v>1.25</v>
      </c>
      <c r="E11" s="8"/>
    </row>
    <row r="12" spans="1:9" x14ac:dyDescent="0.25">
      <c r="A12" s="10">
        <v>0.2</v>
      </c>
      <c r="B12" s="1">
        <f t="shared" si="1"/>
        <v>0.7</v>
      </c>
      <c r="C12" s="13">
        <f>AVERAGE(17443,17133,17403,16980,17281,16942)</f>
        <v>17197</v>
      </c>
      <c r="D12" s="1">
        <f t="shared" si="0"/>
        <v>1.75</v>
      </c>
      <c r="E12" s="8"/>
    </row>
    <row r="13" spans="1:9" x14ac:dyDescent="0.25">
      <c r="A13" s="10">
        <v>0.2</v>
      </c>
      <c r="B13" s="1">
        <f t="shared" si="1"/>
        <v>0.89999999999999991</v>
      </c>
      <c r="C13" s="13">
        <f>AVERAGE(15989,15607,15597,15312,15278,15292,15046,15002)</f>
        <v>15390.375</v>
      </c>
      <c r="D13" s="1">
        <f t="shared" si="0"/>
        <v>2.2499999999999996</v>
      </c>
      <c r="E13" s="8"/>
    </row>
    <row r="14" spans="1:9" x14ac:dyDescent="0.25">
      <c r="A14" s="10">
        <v>0.2</v>
      </c>
      <c r="B14" s="1">
        <f t="shared" si="1"/>
        <v>1.0999999999999999</v>
      </c>
      <c r="C14" s="13">
        <f>AVERAGE(13836,14303,13680,13955,13248,13576,13506,13707,13356)</f>
        <v>13685.222222222223</v>
      </c>
      <c r="D14" s="1">
        <f t="shared" si="0"/>
        <v>2.7499999999999996</v>
      </c>
      <c r="E14" s="8"/>
    </row>
    <row r="15" spans="1:9" x14ac:dyDescent="0.25">
      <c r="A15" s="10">
        <v>0.2</v>
      </c>
      <c r="B15" s="1">
        <f t="shared" si="1"/>
        <v>1.2999999999999998</v>
      </c>
      <c r="C15" s="13">
        <f>AVERAGE(12158,12513,12231,12027,12148,12061,11767,12177,12060,11943)</f>
        <v>12108.5</v>
      </c>
      <c r="D15" s="1">
        <f t="shared" si="0"/>
        <v>3.2499999999999996</v>
      </c>
      <c r="E15" s="8"/>
    </row>
    <row r="16" spans="1:9" x14ac:dyDescent="0.25">
      <c r="A16" s="10">
        <v>0.2</v>
      </c>
      <c r="B16" s="1">
        <f t="shared" si="1"/>
        <v>1.4999999999999998</v>
      </c>
      <c r="C16" s="13">
        <f>AVERAGE(10313,10184,10732,10596,10497,10405,10459,10869,10332,10069,10418)</f>
        <v>10443.09090909091</v>
      </c>
      <c r="D16" s="1">
        <f t="shared" si="0"/>
        <v>3.7499999999999996</v>
      </c>
      <c r="E16" s="8"/>
    </row>
    <row r="17" spans="1:5" x14ac:dyDescent="0.25">
      <c r="A17" s="10">
        <v>0.4</v>
      </c>
      <c r="B17" s="1">
        <f t="shared" si="1"/>
        <v>1.9</v>
      </c>
      <c r="C17" s="13">
        <f>AVERAGE(8555,9041,8820,9041,8848,8723,8393,8738,8371,8452,8506,8805,8743)</f>
        <v>8695.0769230769238</v>
      </c>
      <c r="D17" s="1">
        <f t="shared" si="0"/>
        <v>4.75</v>
      </c>
      <c r="E17" s="8"/>
    </row>
    <row r="18" spans="1:5" x14ac:dyDescent="0.25">
      <c r="A18" s="10">
        <v>0.4</v>
      </c>
      <c r="B18" s="1">
        <f t="shared" si="1"/>
        <v>2.2999999999999998</v>
      </c>
      <c r="C18" s="13">
        <f>AVERAGE(7153,7022,7196,6963,7070,7010,7195,7039,7067,7094)</f>
        <v>7080.9</v>
      </c>
      <c r="D18" s="1">
        <f t="shared" si="0"/>
        <v>5.75</v>
      </c>
      <c r="E18" s="8"/>
    </row>
    <row r="19" spans="1:5" x14ac:dyDescent="0.25">
      <c r="A19" s="10">
        <v>0.4</v>
      </c>
      <c r="B19" s="1">
        <f t="shared" si="1"/>
        <v>2.6999999999999997</v>
      </c>
      <c r="C19" s="13">
        <f>AVERAGE(5938,5671,5825,5599,5774,5674,5788,5914,5627,5429)</f>
        <v>5723.9</v>
      </c>
      <c r="D19" s="1">
        <f t="shared" si="0"/>
        <v>6.7499999999999991</v>
      </c>
      <c r="E19" s="8"/>
    </row>
    <row r="20" spans="1:5" x14ac:dyDescent="0.25">
      <c r="A20" s="10">
        <v>0.4</v>
      </c>
      <c r="B20" s="1">
        <f t="shared" si="1"/>
        <v>3.0999999999999996</v>
      </c>
      <c r="C20" s="13">
        <f>AVERAGE(4855,4774,4804,4702,4467,4844,4589,4791,4686,4650,4606,4559,4569,4597,4504)</f>
        <v>4666.4666666666662</v>
      </c>
      <c r="D20" s="1">
        <f t="shared" si="0"/>
        <v>7.7499999999999991</v>
      </c>
      <c r="E20" s="8"/>
    </row>
    <row r="21" spans="1:5" x14ac:dyDescent="0.25">
      <c r="A21" s="10">
        <v>0.4</v>
      </c>
      <c r="B21" s="1">
        <f t="shared" si="1"/>
        <v>3.4999999999999996</v>
      </c>
      <c r="C21" s="13">
        <f>AVERAGE(4234,4149,4143,4090,3981,4099,4263,4035,4048,4062,3978,4027,4078,4009,4015)</f>
        <v>4080.7333333333331</v>
      </c>
      <c r="D21" s="1">
        <f t="shared" si="0"/>
        <v>8.7499999999999982</v>
      </c>
      <c r="E21" s="8"/>
    </row>
    <row r="22" spans="1:5" x14ac:dyDescent="0.25">
      <c r="A22" s="10">
        <v>0.5</v>
      </c>
      <c r="B22" s="1">
        <f t="shared" si="1"/>
        <v>3.9999999999999996</v>
      </c>
      <c r="C22" s="13">
        <f>AVERAGE(3118,3066,3115,2962,3061,2977,3131,2918,2963,3013,3061,3060,2971)+200</f>
        <v>3232</v>
      </c>
      <c r="D22" s="1">
        <f t="shared" si="0"/>
        <v>9.9999999999999982</v>
      </c>
      <c r="E22" s="8"/>
    </row>
    <row r="23" spans="1:5" x14ac:dyDescent="0.25">
      <c r="A23" s="10">
        <v>0.5</v>
      </c>
      <c r="B23" s="1">
        <f t="shared" si="1"/>
        <v>4.5</v>
      </c>
      <c r="C23" s="13">
        <f>AVERAGE(2624,2574,2630,2543,2458,2464,2526,2494,2605,2698,2543,2597,2390,2472,2533,2512)+50</f>
        <v>2591.4375</v>
      </c>
      <c r="D23" s="1">
        <f t="shared" si="0"/>
        <v>11.25</v>
      </c>
      <c r="E23" s="8"/>
    </row>
    <row r="24" spans="1:5" x14ac:dyDescent="0.25">
      <c r="A24" s="10">
        <v>0.5</v>
      </c>
      <c r="B24" s="1">
        <f t="shared" si="1"/>
        <v>5</v>
      </c>
      <c r="C24" s="13">
        <f>AVERAGE(2187,2259,2226,2227,2172,2152,2168,2162,2129,2124,2161)</f>
        <v>2178.818181818182</v>
      </c>
      <c r="D24" s="1">
        <f t="shared" si="0"/>
        <v>12.5</v>
      </c>
      <c r="E24" s="8"/>
    </row>
    <row r="25" spans="1:5" x14ac:dyDescent="0.25">
      <c r="A25" s="10">
        <v>0.5</v>
      </c>
      <c r="B25" s="1">
        <f t="shared" si="1"/>
        <v>5.5</v>
      </c>
      <c r="C25" s="13">
        <f>AVERAGE(1986,1933,1928,1925,1850,1912,1797,1957,1883)</f>
        <v>1907.8888888888889</v>
      </c>
      <c r="D25" s="1">
        <f t="shared" si="0"/>
        <v>13.75</v>
      </c>
      <c r="E25" s="8"/>
    </row>
    <row r="26" spans="1:5" x14ac:dyDescent="0.25">
      <c r="A26" s="19">
        <v>0.5</v>
      </c>
      <c r="B26" s="20">
        <f t="shared" ref="B26:B32" si="2">B25+A26</f>
        <v>6</v>
      </c>
      <c r="C26" s="21">
        <f>AVERAGE(1634,1746,1716,1643,1678,1638,1660,1632,1695,1552,1699,1546,1601)</f>
        <v>1649.2307692307693</v>
      </c>
      <c r="D26" s="20">
        <f t="shared" ref="D26:D32" si="3">B26*1000/400</f>
        <v>15</v>
      </c>
    </row>
    <row r="27" spans="1:5" x14ac:dyDescent="0.25">
      <c r="A27" s="17">
        <v>1</v>
      </c>
      <c r="B27" s="1">
        <f t="shared" si="2"/>
        <v>7</v>
      </c>
      <c r="C27" s="18">
        <f>AVERAGE(1383,1364,1305,1322,1337,1296,1305,1269,1255,1275,1290)</f>
        <v>1309.1818181818182</v>
      </c>
      <c r="D27" s="1">
        <f t="shared" si="3"/>
        <v>17.5</v>
      </c>
    </row>
    <row r="28" spans="1:5" x14ac:dyDescent="0.25">
      <c r="A28" s="10">
        <v>1</v>
      </c>
      <c r="B28" s="1">
        <f t="shared" si="2"/>
        <v>8</v>
      </c>
      <c r="C28" s="13">
        <f>AVERAGE(1098,1053,1017,1054,1002,986,1041,951,938,965,955)</f>
        <v>1005.4545454545455</v>
      </c>
      <c r="D28" s="1">
        <f t="shared" si="3"/>
        <v>20</v>
      </c>
    </row>
    <row r="29" spans="1:5" x14ac:dyDescent="0.25">
      <c r="A29" s="10">
        <v>2</v>
      </c>
      <c r="B29" s="1">
        <f t="shared" si="2"/>
        <v>10</v>
      </c>
      <c r="C29" s="13">
        <f>AVERAGE(783,757,763,769,755,755,750,757,672,727,729)</f>
        <v>747</v>
      </c>
      <c r="D29" s="1">
        <f t="shared" si="3"/>
        <v>25</v>
      </c>
    </row>
    <row r="30" spans="1:5" x14ac:dyDescent="0.25">
      <c r="A30" s="10">
        <v>2</v>
      </c>
      <c r="B30" s="1">
        <f t="shared" si="2"/>
        <v>12</v>
      </c>
      <c r="C30" s="13">
        <f>AVERAGE(617,642,620,638,613,632,599,613,613,621,613,620)</f>
        <v>620.08333333333337</v>
      </c>
      <c r="D30" s="1">
        <f t="shared" si="3"/>
        <v>30</v>
      </c>
    </row>
    <row r="31" spans="1:5" x14ac:dyDescent="0.25">
      <c r="A31" s="10">
        <v>2</v>
      </c>
      <c r="B31" s="1">
        <f t="shared" si="2"/>
        <v>14</v>
      </c>
      <c r="C31" s="13">
        <f>AVERAGE(511,507,499,505,498,499,501,510,506,498,509)</f>
        <v>503.90909090909093</v>
      </c>
      <c r="D31" s="1">
        <f t="shared" si="3"/>
        <v>35</v>
      </c>
    </row>
    <row r="32" spans="1:5" x14ac:dyDescent="0.25">
      <c r="A32" s="10">
        <v>2</v>
      </c>
      <c r="B32" s="1">
        <f t="shared" si="2"/>
        <v>16</v>
      </c>
      <c r="C32" s="13">
        <f>AVERAGE(467,434,440,450,448,453,451,453,465,434,454,463,449,434,428,437)</f>
        <v>447.5</v>
      </c>
      <c r="D32" s="1">
        <f t="shared" si="3"/>
        <v>40</v>
      </c>
    </row>
  </sheetData>
  <pageMargins left="0.7" right="0.7" top="0.75" bottom="0.75" header="0.3" footer="0.3"/>
  <pageSetup paperSize="9" orientation="portrait" r:id="rId1"/>
  <headerFooter>
    <oddFooter>&amp;C&amp;D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52"/>
  <sheetViews>
    <sheetView topLeftCell="A7" zoomScale="160" zoomScaleNormal="160" zoomScaleSheetLayoutView="85" workbookViewId="0">
      <selection activeCell="E13" sqref="E13"/>
    </sheetView>
  </sheetViews>
  <sheetFormatPr defaultRowHeight="15" x14ac:dyDescent="0.25"/>
  <cols>
    <col min="1" max="1" width="19.42578125" style="1" bestFit="1" customWidth="1"/>
    <col min="2" max="2" width="15.7109375" style="1" customWidth="1"/>
    <col min="3" max="3" width="18" style="1" customWidth="1"/>
    <col min="4" max="4" width="15.5703125" style="1" customWidth="1"/>
    <col min="5" max="5" width="14.5703125" style="1" customWidth="1"/>
    <col min="6" max="6" width="14.28515625" style="1" customWidth="1"/>
    <col min="7" max="7" width="10.28515625" style="1" customWidth="1"/>
    <col min="8" max="8" width="4" style="1" customWidth="1"/>
    <col min="9" max="9" width="2.28515625" style="1" bestFit="1" customWidth="1"/>
    <col min="10" max="10" width="5.140625" style="1" customWidth="1"/>
    <col min="11" max="11" width="7" style="1" customWidth="1"/>
    <col min="12" max="16384" width="9.140625" style="1"/>
  </cols>
  <sheetData>
    <row r="2" spans="1:9" ht="15.75" thickBot="1" x14ac:dyDescent="0.3">
      <c r="A2" s="15" t="s">
        <v>14</v>
      </c>
      <c r="B2" s="12">
        <v>500</v>
      </c>
      <c r="C2" s="11" t="s">
        <v>10</v>
      </c>
      <c r="D2" s="1">
        <f>AVERAGE(29552,29556,29555,29577,29574,29554,29619,29615)</f>
        <v>29575.25</v>
      </c>
      <c r="F2" s="1" t="s">
        <v>17</v>
      </c>
      <c r="G2" s="1">
        <f>752-12-214.3-500</f>
        <v>25.700000000000045</v>
      </c>
    </row>
    <row r="4" spans="1:9" x14ac:dyDescent="0.25">
      <c r="A4" s="14" t="s">
        <v>11</v>
      </c>
      <c r="B4" s="14" t="s">
        <v>12</v>
      </c>
      <c r="C4" s="14" t="s">
        <v>7</v>
      </c>
      <c r="D4" s="14" t="s">
        <v>16</v>
      </c>
      <c r="F4" s="22"/>
      <c r="H4" s="22"/>
      <c r="I4" s="11"/>
    </row>
    <row r="5" spans="1:9" ht="15.75" thickBot="1" x14ac:dyDescent="0.3">
      <c r="A5" s="15" t="s">
        <v>9</v>
      </c>
      <c r="B5" s="15" t="s">
        <v>13</v>
      </c>
      <c r="C5" s="15" t="s">
        <v>15</v>
      </c>
      <c r="D5" s="15" t="s">
        <v>6</v>
      </c>
      <c r="E5" s="9"/>
    </row>
    <row r="6" spans="1:9" ht="15.75" thickBot="1" x14ac:dyDescent="0.3">
      <c r="A6" s="15">
        <v>0</v>
      </c>
      <c r="B6" s="15">
        <f>A6</f>
        <v>0</v>
      </c>
      <c r="C6" s="16">
        <f>AVERAGE(29596,29606,29610,29570,29622,29621,29635,29645,29653)</f>
        <v>29617.555555555555</v>
      </c>
      <c r="D6" s="1">
        <f t="shared" ref="D6:D33" si="0">B6*1000/400</f>
        <v>0</v>
      </c>
      <c r="E6" s="9"/>
      <c r="F6" s="22"/>
      <c r="G6" s="22"/>
    </row>
    <row r="7" spans="1:9" x14ac:dyDescent="0.25">
      <c r="A7" s="10">
        <v>0.01</v>
      </c>
      <c r="B7" s="1">
        <f>A7</f>
        <v>0.01</v>
      </c>
      <c r="C7" s="13">
        <f>AVERAGE(29623,29595,29586,29627,29582,29560,29507,29611)</f>
        <v>29586.375</v>
      </c>
      <c r="D7" s="1">
        <f t="shared" si="0"/>
        <v>2.5000000000000001E-2</v>
      </c>
      <c r="E7" s="8"/>
      <c r="F7" s="22"/>
    </row>
    <row r="8" spans="1:9" x14ac:dyDescent="0.25">
      <c r="A8" s="10">
        <v>0.01</v>
      </c>
      <c r="B8" s="1">
        <f t="shared" ref="B8:B51" si="1">B7+A8</f>
        <v>0.02</v>
      </c>
      <c r="C8" s="13">
        <f>AVERAGE(29491,29373,29469,29340,29429,29506,29419,29410)</f>
        <v>29429.625</v>
      </c>
      <c r="D8" s="1">
        <f t="shared" si="0"/>
        <v>0.05</v>
      </c>
      <c r="E8" s="8"/>
      <c r="F8" s="22"/>
    </row>
    <row r="9" spans="1:9" x14ac:dyDescent="0.25">
      <c r="A9" s="10">
        <v>0.01</v>
      </c>
      <c r="B9" s="1">
        <f t="shared" si="1"/>
        <v>0.03</v>
      </c>
      <c r="C9" s="13">
        <f>AVERAGE(29374,29479,29336,29372,29306,29301,29367,29373,29369)</f>
        <v>29364.111111111109</v>
      </c>
      <c r="D9" s="1">
        <f t="shared" si="0"/>
        <v>7.4999999999999997E-2</v>
      </c>
      <c r="E9" s="8"/>
    </row>
    <row r="10" spans="1:9" x14ac:dyDescent="0.25">
      <c r="A10" s="10">
        <v>0.01</v>
      </c>
      <c r="B10" s="1">
        <f t="shared" si="1"/>
        <v>0.04</v>
      </c>
      <c r="C10" s="13">
        <f>AVERAGE(29240,29206,29151,29161,29211,29371,29141,29192,29205,29232)</f>
        <v>29211</v>
      </c>
      <c r="D10" s="1">
        <f t="shared" si="0"/>
        <v>0.1</v>
      </c>
      <c r="E10" s="8"/>
    </row>
    <row r="11" spans="1:9" x14ac:dyDescent="0.25">
      <c r="A11" s="10">
        <v>0.01</v>
      </c>
      <c r="B11" s="1">
        <f t="shared" si="1"/>
        <v>0.05</v>
      </c>
      <c r="C11" s="13">
        <f>AVERAGE(29188,29120,29214,28970,29178,28834,29221,29122,29106,29072)</f>
        <v>29102.5</v>
      </c>
      <c r="D11" s="1">
        <f t="shared" si="0"/>
        <v>0.125</v>
      </c>
      <c r="E11" s="8"/>
    </row>
    <row r="12" spans="1:9" x14ac:dyDescent="0.25">
      <c r="A12" s="10">
        <v>0.01</v>
      </c>
      <c r="B12" s="1">
        <f t="shared" si="1"/>
        <v>6.0000000000000005E-2</v>
      </c>
      <c r="C12" s="13">
        <f>AVERAGE(28909,29049,29054,28875,28895,28825,29002,29065,28937)</f>
        <v>28956.777777777777</v>
      </c>
      <c r="D12" s="1">
        <f t="shared" si="0"/>
        <v>0.15000000000000002</v>
      </c>
      <c r="E12" s="8"/>
    </row>
    <row r="13" spans="1:9" x14ac:dyDescent="0.25">
      <c r="A13" s="10">
        <v>0.01</v>
      </c>
      <c r="B13" s="1">
        <f t="shared" si="1"/>
        <v>7.0000000000000007E-2</v>
      </c>
      <c r="C13" s="13">
        <f>AVERAGE(28990,28936,28998,28930,28900,28930,28615,28888,28823)</f>
        <v>28890</v>
      </c>
      <c r="D13" s="1">
        <f t="shared" si="0"/>
        <v>0.17499999999999999</v>
      </c>
      <c r="E13" s="8"/>
    </row>
    <row r="14" spans="1:9" x14ac:dyDescent="0.25">
      <c r="A14" s="10">
        <v>2.5000000000000001E-2</v>
      </c>
      <c r="B14" s="1">
        <f t="shared" si="1"/>
        <v>9.5000000000000001E-2</v>
      </c>
      <c r="C14" s="13">
        <f>AVERAGE(28415,28435,28445,28635,28821,28316,28387,28536,28633)</f>
        <v>28513.666666666668</v>
      </c>
      <c r="D14" s="1">
        <f t="shared" si="0"/>
        <v>0.23749999999999999</v>
      </c>
      <c r="E14" s="8"/>
    </row>
    <row r="15" spans="1:9" x14ac:dyDescent="0.25">
      <c r="A15" s="10">
        <v>2.5000000000000001E-2</v>
      </c>
      <c r="B15" s="1">
        <f t="shared" si="1"/>
        <v>0.12</v>
      </c>
      <c r="C15" s="13">
        <f>AVERAGE(28420,28407,28490,28413,28097,28265,28376,28186,28064,28107)</f>
        <v>28282.5</v>
      </c>
      <c r="D15" s="1">
        <f t="shared" si="0"/>
        <v>0.3</v>
      </c>
      <c r="E15" s="8"/>
    </row>
    <row r="16" spans="1:9" x14ac:dyDescent="0.25">
      <c r="A16" s="10">
        <v>2.5000000000000001E-2</v>
      </c>
      <c r="B16" s="1">
        <f t="shared" si="1"/>
        <v>0.14499999999999999</v>
      </c>
      <c r="C16" s="13">
        <f>AVERAGE(28140,28156,28344,27998,28138,28296,28083,28166,27801)</f>
        <v>28124.666666666668</v>
      </c>
      <c r="D16" s="1">
        <f t="shared" si="0"/>
        <v>0.36249999999999999</v>
      </c>
      <c r="E16" s="8"/>
    </row>
    <row r="17" spans="1:5" x14ac:dyDescent="0.25">
      <c r="A17" s="10">
        <v>2.5000000000000001E-2</v>
      </c>
      <c r="B17" s="1">
        <f t="shared" si="1"/>
        <v>0.16999999999999998</v>
      </c>
      <c r="C17" s="13">
        <f>AVERAGE(27803,27600,27794,28013,28055,28176,27868,28024,27893)</f>
        <v>27914</v>
      </c>
      <c r="D17" s="1">
        <f t="shared" si="0"/>
        <v>0.42499999999999993</v>
      </c>
      <c r="E17" s="8"/>
    </row>
    <row r="18" spans="1:5" x14ac:dyDescent="0.25">
      <c r="A18" s="10">
        <v>2.5000000000000001E-2</v>
      </c>
      <c r="B18" s="1">
        <f t="shared" si="1"/>
        <v>0.19499999999999998</v>
      </c>
      <c r="C18" s="13">
        <f>AVERAGE(27530,28015,27670,27898,27738,27139,27279,27939,27780)</f>
        <v>27665.333333333332</v>
      </c>
      <c r="D18" s="1">
        <f t="shared" si="0"/>
        <v>0.48749999999999993</v>
      </c>
      <c r="E18" s="8"/>
    </row>
    <row r="19" spans="1:5" x14ac:dyDescent="0.25">
      <c r="A19" s="10">
        <v>2.5000000000000001E-2</v>
      </c>
      <c r="B19" s="1">
        <f t="shared" si="1"/>
        <v>0.21999999999999997</v>
      </c>
      <c r="C19" s="13">
        <f>AVERAGE(27470,27531,27445,27147,27465,27727,27190,27450,27043)</f>
        <v>27385.333333333332</v>
      </c>
      <c r="D19" s="1">
        <f t="shared" si="0"/>
        <v>0.54999999999999993</v>
      </c>
      <c r="E19" s="8"/>
    </row>
    <row r="20" spans="1:5" x14ac:dyDescent="0.25">
      <c r="A20" s="10">
        <v>2.5000000000000001E-2</v>
      </c>
      <c r="B20" s="1">
        <f t="shared" si="1"/>
        <v>0.24499999999999997</v>
      </c>
      <c r="C20" s="13">
        <f>AVERAGE(27509,27256,27069,27244,27409,27106,27052,26860,27086)</f>
        <v>27176.777777777777</v>
      </c>
      <c r="D20" s="1">
        <f t="shared" si="0"/>
        <v>0.61249999999999993</v>
      </c>
      <c r="E20" s="8"/>
    </row>
    <row r="21" spans="1:5" x14ac:dyDescent="0.25">
      <c r="A21" s="10">
        <v>2.5000000000000001E-2</v>
      </c>
      <c r="B21" s="1">
        <f t="shared" si="1"/>
        <v>0.26999999999999996</v>
      </c>
      <c r="C21" s="13">
        <f>AVERAGE(26980,26451,26780,26463,27085,27061,26884,26424,26828,26721)</f>
        <v>26767.7</v>
      </c>
      <c r="D21" s="1">
        <f t="shared" si="0"/>
        <v>0.67499999999999982</v>
      </c>
      <c r="E21" s="8"/>
    </row>
    <row r="22" spans="1:5" x14ac:dyDescent="0.25">
      <c r="A22" s="10">
        <v>7.4999999999999997E-2</v>
      </c>
      <c r="B22" s="1">
        <f t="shared" si="1"/>
        <v>0.34499999999999997</v>
      </c>
      <c r="C22" s="13">
        <f>AVERAGE(26473,26731,26231,26089,25410,25410,25817,25791,26153,26094,25966)</f>
        <v>26015</v>
      </c>
      <c r="D22" s="1">
        <f t="shared" si="0"/>
        <v>0.86250000000000004</v>
      </c>
      <c r="E22" s="8"/>
    </row>
    <row r="23" spans="1:5" x14ac:dyDescent="0.25">
      <c r="A23" s="10">
        <v>0.05</v>
      </c>
      <c r="B23" s="1">
        <f t="shared" si="1"/>
        <v>0.39499999999999996</v>
      </c>
      <c r="C23" s="13">
        <f>AVERAGE(25813,25645,25930,25833,25659,25312,25940,25685,26108,25878)</f>
        <v>25780.3</v>
      </c>
      <c r="D23" s="1">
        <f t="shared" si="0"/>
        <v>0.98749999999999982</v>
      </c>
      <c r="E23" s="8"/>
    </row>
    <row r="24" spans="1:5" x14ac:dyDescent="0.25">
      <c r="A24" s="10">
        <v>4.4999999999999998E-2</v>
      </c>
      <c r="B24" s="1">
        <f t="shared" si="1"/>
        <v>0.43999999999999995</v>
      </c>
      <c r="C24" s="13">
        <f>AVERAGE(25571,25212,25474,25664,26072,25228,25344,25832,25220,25208)</f>
        <v>25482.5</v>
      </c>
      <c r="D24" s="1">
        <f t="shared" si="0"/>
        <v>1.0999999999999999</v>
      </c>
      <c r="E24" s="8"/>
    </row>
    <row r="25" spans="1:5" x14ac:dyDescent="0.25">
      <c r="A25" s="10">
        <v>0.05</v>
      </c>
      <c r="B25" s="1">
        <f t="shared" si="1"/>
        <v>0.48999999999999994</v>
      </c>
      <c r="C25" s="13">
        <f>AVERAGE(25083,25300,25325,24741,24481,25170,24875,24952,25012,24042)</f>
        <v>24898.1</v>
      </c>
      <c r="D25" s="1">
        <f t="shared" si="0"/>
        <v>1.2249999999999999</v>
      </c>
      <c r="E25" s="8"/>
    </row>
    <row r="26" spans="1:5" x14ac:dyDescent="0.25">
      <c r="A26" s="19">
        <v>0.05</v>
      </c>
      <c r="B26" s="1">
        <f t="shared" si="1"/>
        <v>0.53999999999999992</v>
      </c>
      <c r="C26" s="21">
        <f>AVERAGE(24650,24475,24452,24641,24809,24013,24885,24514,23856,24665)</f>
        <v>24496</v>
      </c>
      <c r="D26" s="20">
        <f t="shared" si="0"/>
        <v>1.3499999999999996</v>
      </c>
    </row>
    <row r="27" spans="1:5" x14ac:dyDescent="0.25">
      <c r="A27" s="17">
        <v>7.0000000000000007E-2</v>
      </c>
      <c r="B27" s="1">
        <f t="shared" si="1"/>
        <v>0.60999999999999988</v>
      </c>
      <c r="C27" s="18">
        <f>AVERAGE(23853,24046,23593,23491,23440,24473,23513,24151,23240,24015)</f>
        <v>23781.5</v>
      </c>
      <c r="D27" s="1">
        <f t="shared" si="0"/>
        <v>1.5249999999999997</v>
      </c>
    </row>
    <row r="28" spans="1:5" x14ac:dyDescent="0.25">
      <c r="A28" s="10">
        <v>0.05</v>
      </c>
      <c r="B28" s="1">
        <f t="shared" si="1"/>
        <v>0.65999999999999992</v>
      </c>
      <c r="C28" s="13">
        <f>AVERAGE(23474,22205,23572,23503,23726,23538,22943,23186,23519,23041)</f>
        <v>23270.7</v>
      </c>
      <c r="D28" s="1">
        <f t="shared" si="0"/>
        <v>1.6499999999999997</v>
      </c>
    </row>
    <row r="29" spans="1:5" x14ac:dyDescent="0.25">
      <c r="A29" s="10">
        <v>0.06</v>
      </c>
      <c r="B29" s="1">
        <f t="shared" si="1"/>
        <v>0.72</v>
      </c>
      <c r="C29" s="13">
        <f>AVERAGE(22576,23140,23008,22712,22790,23080,23281,22627,22962,22958)</f>
        <v>22913.4</v>
      </c>
      <c r="D29" s="1">
        <f t="shared" si="0"/>
        <v>1.8</v>
      </c>
    </row>
    <row r="30" spans="1:5" x14ac:dyDescent="0.25">
      <c r="A30" s="10">
        <v>0.04</v>
      </c>
      <c r="B30" s="1">
        <f t="shared" si="1"/>
        <v>0.76</v>
      </c>
      <c r="C30" s="13">
        <f>AVERAGE(22210,22223,22394,23005,22770,22743,22331,22023,22031)</f>
        <v>22414.444444444445</v>
      </c>
      <c r="D30" s="1">
        <f t="shared" si="0"/>
        <v>1.9</v>
      </c>
    </row>
    <row r="31" spans="1:5" x14ac:dyDescent="0.25">
      <c r="A31" s="10">
        <v>0.1</v>
      </c>
      <c r="B31" s="1">
        <f t="shared" si="1"/>
        <v>0.86</v>
      </c>
      <c r="C31" s="13">
        <f>AVERAGE(21827,21300,21619,21183,21434,21847,21931,21925)</f>
        <v>21633.25</v>
      </c>
      <c r="D31" s="1">
        <f t="shared" si="0"/>
        <v>2.15</v>
      </c>
    </row>
    <row r="32" spans="1:5" x14ac:dyDescent="0.25">
      <c r="A32" s="10">
        <v>0.1</v>
      </c>
      <c r="B32" s="1">
        <f t="shared" si="1"/>
        <v>0.96</v>
      </c>
      <c r="C32" s="13">
        <f>AVERAGE(20303,20820,20646,20975,20809,21009,21107,20148,20572)</f>
        <v>20709.888888888891</v>
      </c>
      <c r="D32" s="1">
        <f t="shared" si="0"/>
        <v>2.4</v>
      </c>
    </row>
    <row r="33" spans="1:4" x14ac:dyDescent="0.25">
      <c r="A33" s="10">
        <v>0.1</v>
      </c>
      <c r="B33" s="1">
        <f t="shared" si="1"/>
        <v>1.06</v>
      </c>
      <c r="C33" s="13">
        <f>AVERAGE(20650,19447,19513,20000,19999,20161,19691,20038,20075)</f>
        <v>19952.666666666668</v>
      </c>
      <c r="D33" s="1">
        <f t="shared" si="0"/>
        <v>2.65</v>
      </c>
    </row>
    <row r="34" spans="1:4" x14ac:dyDescent="0.25">
      <c r="A34" s="10">
        <v>0.1</v>
      </c>
      <c r="B34" s="1">
        <f t="shared" si="1"/>
        <v>1.1600000000000001</v>
      </c>
      <c r="C34" s="13">
        <f>AVERAGE(18762,19427,18855,19377,19172,19520,19320,19070)</f>
        <v>19187.875</v>
      </c>
      <c r="D34" s="1">
        <f t="shared" ref="D34:D36" si="2">B34*1000/400</f>
        <v>2.9000000000000004</v>
      </c>
    </row>
    <row r="35" spans="1:4" x14ac:dyDescent="0.25">
      <c r="A35" s="10">
        <v>0.1</v>
      </c>
      <c r="B35" s="1">
        <f t="shared" si="1"/>
        <v>1.2600000000000002</v>
      </c>
      <c r="C35" s="13">
        <f>AVERAGE(18546,18064,18570,18477,18386,18588,18230)</f>
        <v>18408.714285714286</v>
      </c>
      <c r="D35" s="1">
        <f t="shared" si="2"/>
        <v>3.1500000000000004</v>
      </c>
    </row>
    <row r="36" spans="1:4" x14ac:dyDescent="0.25">
      <c r="A36" s="10">
        <v>0.1</v>
      </c>
      <c r="B36" s="1">
        <f t="shared" si="1"/>
        <v>1.3600000000000003</v>
      </c>
      <c r="C36" s="13">
        <f>AVERAGE(17359,17994,17874,18089,17948,17790,18201,17427)</f>
        <v>17835.25</v>
      </c>
      <c r="D36" s="1">
        <f t="shared" si="2"/>
        <v>3.4000000000000004</v>
      </c>
    </row>
    <row r="37" spans="1:4" x14ac:dyDescent="0.25">
      <c r="A37" s="10">
        <v>0.2</v>
      </c>
      <c r="B37" s="1">
        <f t="shared" si="1"/>
        <v>1.5600000000000003</v>
      </c>
      <c r="C37" s="13">
        <f>AVERAGE(16666,16754,17142,17000,16617,16069,16797,17221)</f>
        <v>16783.25</v>
      </c>
      <c r="D37" s="1">
        <f t="shared" ref="D37" si="3">B37*1000/400</f>
        <v>3.9000000000000004</v>
      </c>
    </row>
    <row r="38" spans="1:4" x14ac:dyDescent="0.25">
      <c r="A38" s="10">
        <v>0.26</v>
      </c>
      <c r="B38" s="1">
        <f t="shared" si="1"/>
        <v>1.8200000000000003</v>
      </c>
      <c r="C38" s="13">
        <f>AVERAGE(15515,15083,15486,15839,15806,15609,16096)</f>
        <v>15633.428571428571</v>
      </c>
      <c r="D38" s="1">
        <f t="shared" ref="D38" si="4">B38*1000/400</f>
        <v>4.5500000000000007</v>
      </c>
    </row>
    <row r="39" spans="1:4" x14ac:dyDescent="0.25">
      <c r="A39" s="10">
        <v>0.3</v>
      </c>
      <c r="B39" s="1">
        <f t="shared" si="1"/>
        <v>2.12</v>
      </c>
      <c r="C39" s="13">
        <f>AVERAGE(14138,13663,14197,13640,14124,13666,14059,14048,14079)</f>
        <v>13957.111111111111</v>
      </c>
      <c r="D39" s="1">
        <f t="shared" ref="D39" si="5">B39*1000/400</f>
        <v>5.3</v>
      </c>
    </row>
    <row r="40" spans="1:4" x14ac:dyDescent="0.25">
      <c r="A40" s="10">
        <v>0.31</v>
      </c>
      <c r="B40" s="1">
        <f t="shared" si="1"/>
        <v>2.4300000000000002</v>
      </c>
      <c r="C40" s="13">
        <f>AVERAGE(12774,12888,12846,12820,13100,12616,12090,12595)</f>
        <v>12716.125</v>
      </c>
      <c r="D40" s="1">
        <f t="shared" ref="D40" si="6">B40*1000/400</f>
        <v>6.0750000000000002</v>
      </c>
    </row>
    <row r="41" spans="1:4" x14ac:dyDescent="0.25">
      <c r="A41" s="10">
        <v>0.4</v>
      </c>
      <c r="B41" s="1">
        <f t="shared" si="1"/>
        <v>2.83</v>
      </c>
      <c r="C41" s="13">
        <f>AVERAGE(11006,10724,10758,10409,11260,11250,10916)</f>
        <v>10903.285714285714</v>
      </c>
      <c r="D41" s="1">
        <f t="shared" ref="D41" si="7">B41*1000/400</f>
        <v>7.0750000000000002</v>
      </c>
    </row>
    <row r="42" spans="1:4" x14ac:dyDescent="0.25">
      <c r="A42" s="10">
        <v>0.5</v>
      </c>
      <c r="B42" s="1">
        <f t="shared" si="1"/>
        <v>3.33</v>
      </c>
      <c r="C42" s="13">
        <f>AVERAGE(9191,9493,9938,9394,9418,9403)</f>
        <v>9472.8333333333339</v>
      </c>
      <c r="D42" s="1">
        <f t="shared" ref="D42" si="8">B42*1000/400</f>
        <v>8.3249999999999993</v>
      </c>
    </row>
    <row r="43" spans="1:4" x14ac:dyDescent="0.25">
      <c r="A43" s="10">
        <v>0.6</v>
      </c>
      <c r="B43" s="1">
        <f t="shared" si="1"/>
        <v>3.93</v>
      </c>
      <c r="C43" s="13">
        <f>AVERAGE(8025,7850,8143,7780,8425,8034,7912)</f>
        <v>8024.1428571428569</v>
      </c>
      <c r="D43" s="1">
        <f t="shared" ref="D43" si="9">B43*1000/400</f>
        <v>9.8249999999999993</v>
      </c>
    </row>
    <row r="44" spans="1:4" x14ac:dyDescent="0.25">
      <c r="A44" s="10">
        <v>0.7</v>
      </c>
      <c r="B44" s="1">
        <f t="shared" si="1"/>
        <v>4.63</v>
      </c>
      <c r="C44" s="13">
        <f>AVERAGE(6509,6301,6420,7031,6216,6033,6214)</f>
        <v>6389.1428571428569</v>
      </c>
      <c r="D44" s="1">
        <f t="shared" ref="D44" si="10">B44*1000/400</f>
        <v>11.574999999999999</v>
      </c>
    </row>
    <row r="45" spans="1:4" x14ac:dyDescent="0.25">
      <c r="A45" s="10">
        <v>0.8</v>
      </c>
      <c r="B45" s="1">
        <f t="shared" si="1"/>
        <v>5.43</v>
      </c>
      <c r="C45" s="13">
        <f>AVERAGE(5178,5240,5275,5044,5557,5292,5022)</f>
        <v>5229.7142857142853</v>
      </c>
      <c r="D45" s="1">
        <f t="shared" ref="D45" si="11">B45*1000/400</f>
        <v>13.574999999999999</v>
      </c>
    </row>
    <row r="46" spans="1:4" x14ac:dyDescent="0.25">
      <c r="A46" s="10">
        <v>0.9</v>
      </c>
      <c r="B46" s="1">
        <f t="shared" si="1"/>
        <v>6.33</v>
      </c>
      <c r="C46" s="13">
        <f>AVERAGE(4100,4050,4097,4023,4004,3902,3921)</f>
        <v>4013.8571428571427</v>
      </c>
      <c r="D46" s="1">
        <f t="shared" ref="D46" si="12">B46*1000/400</f>
        <v>15.824999999999999</v>
      </c>
    </row>
    <row r="47" spans="1:4" x14ac:dyDescent="0.25">
      <c r="A47" s="10">
        <v>1</v>
      </c>
      <c r="B47" s="1">
        <f t="shared" si="1"/>
        <v>7.33</v>
      </c>
      <c r="C47" s="13">
        <f>AVERAGE(3127,3177,3173,3195,3092,3207,3216)</f>
        <v>3169.5714285714284</v>
      </c>
      <c r="D47" s="1">
        <f t="shared" ref="D47" si="13">B47*1000/400</f>
        <v>18.324999999999999</v>
      </c>
    </row>
    <row r="48" spans="1:4" x14ac:dyDescent="0.25">
      <c r="A48" s="10">
        <v>1.5</v>
      </c>
      <c r="B48" s="1">
        <f t="shared" si="1"/>
        <v>8.83</v>
      </c>
      <c r="C48" s="13">
        <f>AVERAGE(2309,2338,2262,2338,2272,2245,2220)</f>
        <v>2283.4285714285716</v>
      </c>
      <c r="D48" s="1">
        <f t="shared" ref="D48" si="14">B48*1000/400</f>
        <v>22.074999999999999</v>
      </c>
    </row>
    <row r="49" spans="1:4" x14ac:dyDescent="0.25">
      <c r="A49" s="10">
        <v>2</v>
      </c>
      <c r="B49" s="1">
        <f t="shared" si="1"/>
        <v>10.83</v>
      </c>
      <c r="C49" s="13">
        <f>AVERAGE(1667,1642,1594,1715,1746,1658,1678)</f>
        <v>1671.4285714285713</v>
      </c>
      <c r="D49" s="1">
        <f t="shared" ref="D49" si="15">B49*1000/400</f>
        <v>27.074999999999999</v>
      </c>
    </row>
    <row r="50" spans="1:4" x14ac:dyDescent="0.25">
      <c r="A50" s="10">
        <v>3</v>
      </c>
      <c r="B50" s="1">
        <f t="shared" si="1"/>
        <v>13.83</v>
      </c>
      <c r="C50" s="13">
        <f>AVERAGE(1173,1108,1154,1201,1133)</f>
        <v>1153.8</v>
      </c>
      <c r="D50" s="1">
        <f t="shared" ref="D50" si="16">B50*1000/400</f>
        <v>34.575000000000003</v>
      </c>
    </row>
    <row r="51" spans="1:4" x14ac:dyDescent="0.25">
      <c r="A51" s="10">
        <v>5</v>
      </c>
      <c r="B51" s="1">
        <f t="shared" si="1"/>
        <v>18.829999999999998</v>
      </c>
      <c r="C51" s="13">
        <f>AVERAGE(771,772,782,794,779,760,780,782)</f>
        <v>777.5</v>
      </c>
      <c r="D51" s="1">
        <f t="shared" ref="D51" si="17">B51*1000/400</f>
        <v>47.075000000000003</v>
      </c>
    </row>
    <row r="52" spans="1:4" x14ac:dyDescent="0.25">
      <c r="B52" s="1">
        <f>G2-B51</f>
        <v>6.8700000000000472</v>
      </c>
    </row>
  </sheetData>
  <pageMargins left="0.7" right="0.7" top="0.75" bottom="0.75" header="0.3" footer="0.3"/>
  <pageSetup paperSize="9" orientation="portrait" r:id="rId1"/>
  <headerFooter>
    <oddFooter>&amp;C&amp;D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F28" sqref="F28"/>
    </sheetView>
  </sheetViews>
  <sheetFormatPr defaultRowHeight="15" x14ac:dyDescent="0.25"/>
  <sheetData>
    <row r="1" spans="1:11" ht="20.25" thickBot="1" x14ac:dyDescent="0.3">
      <c r="A1" s="3"/>
      <c r="B1" s="2"/>
      <c r="C1" s="2"/>
      <c r="D1" s="2"/>
      <c r="E1" s="2"/>
      <c r="F1" s="2"/>
      <c r="G1" s="2"/>
      <c r="H1" s="3"/>
      <c r="I1" s="3"/>
      <c r="J1" s="3"/>
      <c r="K1" s="3"/>
    </row>
    <row r="2" spans="1:11" ht="15.75" thickTop="1" x14ac:dyDescent="0.25">
      <c r="A2" s="3"/>
      <c r="B2" s="5"/>
      <c r="C2" s="5"/>
      <c r="D2" s="5"/>
      <c r="E2" s="5"/>
      <c r="F2" s="5"/>
      <c r="G2" s="5"/>
      <c r="H2" s="3"/>
      <c r="I2" s="3"/>
      <c r="J2" s="3"/>
      <c r="K2" s="3"/>
    </row>
    <row r="3" spans="1:11" ht="19.5" thickBot="1" x14ac:dyDescent="0.3">
      <c r="A3" s="3"/>
      <c r="B3" s="4" t="s">
        <v>0</v>
      </c>
      <c r="C3" s="4" t="s">
        <v>1</v>
      </c>
      <c r="D3" s="4" t="s">
        <v>5</v>
      </c>
      <c r="E3" s="4" t="s">
        <v>4</v>
      </c>
      <c r="F3" s="4" t="s">
        <v>2</v>
      </c>
      <c r="G3" s="4" t="s">
        <v>3</v>
      </c>
      <c r="H3" s="3"/>
      <c r="I3" s="3"/>
      <c r="J3" s="3"/>
      <c r="K3" s="3"/>
    </row>
    <row r="4" spans="1:11" ht="16.5" thickBot="1" x14ac:dyDescent="0.3">
      <c r="A4" s="3"/>
      <c r="B4" s="23" t="e">
        <f>#REF!*0.145</f>
        <v>#REF!</v>
      </c>
      <c r="C4" s="26" t="e">
        <f>#REF!*101.97162129779</f>
        <v>#REF!</v>
      </c>
      <c r="D4" s="6"/>
      <c r="E4" s="6"/>
      <c r="F4" s="6"/>
      <c r="G4" s="6"/>
      <c r="H4" s="3"/>
      <c r="I4" s="3"/>
      <c r="J4" s="3"/>
      <c r="K4" s="3"/>
    </row>
    <row r="5" spans="1:11" ht="16.5" thickBot="1" x14ac:dyDescent="0.3">
      <c r="A5" s="3"/>
      <c r="B5" s="24"/>
      <c r="C5" s="27"/>
      <c r="D5" s="6"/>
      <c r="E5" s="6"/>
      <c r="F5" s="6"/>
      <c r="G5" s="6"/>
      <c r="H5" s="3"/>
      <c r="I5" s="3"/>
      <c r="J5" s="3"/>
      <c r="K5" s="3"/>
    </row>
    <row r="6" spans="1:11" ht="16.5" thickBot="1" x14ac:dyDescent="0.3">
      <c r="A6" s="3"/>
      <c r="B6" s="25"/>
      <c r="C6" s="28"/>
      <c r="D6" s="7"/>
      <c r="E6" s="6"/>
      <c r="F6" s="6"/>
      <c r="G6" s="6"/>
      <c r="H6" s="3"/>
      <c r="I6" s="3"/>
      <c r="J6" s="3"/>
      <c r="K6" s="3"/>
    </row>
    <row r="7" spans="1:11" ht="16.5" thickBot="1" x14ac:dyDescent="0.3">
      <c r="A7" s="3"/>
      <c r="B7" s="23" t="e">
        <f>#REF!*0.145</f>
        <v>#REF!</v>
      </c>
      <c r="C7" s="26" t="e">
        <f>#REF!*101.97162129779</f>
        <v>#REF!</v>
      </c>
      <c r="D7" s="6"/>
      <c r="E7" s="6"/>
      <c r="F7" s="6"/>
      <c r="G7" s="6"/>
      <c r="H7" s="3"/>
      <c r="I7" s="3"/>
      <c r="J7" s="3"/>
      <c r="K7" s="3"/>
    </row>
    <row r="8" spans="1:11" ht="16.5" thickBot="1" x14ac:dyDescent="0.3">
      <c r="A8" s="3"/>
      <c r="B8" s="24"/>
      <c r="C8" s="27"/>
      <c r="D8" s="6"/>
      <c r="E8" s="6"/>
      <c r="F8" s="6"/>
      <c r="G8" s="6"/>
      <c r="H8" s="3"/>
      <c r="I8" s="3"/>
      <c r="J8" s="3"/>
      <c r="K8" s="3"/>
    </row>
    <row r="9" spans="1:11" ht="16.5" thickBot="1" x14ac:dyDescent="0.3">
      <c r="A9" s="3"/>
      <c r="B9" s="25"/>
      <c r="C9" s="28"/>
      <c r="D9" s="7"/>
      <c r="E9" s="6"/>
      <c r="F9" s="6"/>
      <c r="G9" s="6"/>
      <c r="H9" s="3"/>
      <c r="I9" s="3"/>
      <c r="J9" s="3"/>
      <c r="K9" s="3"/>
    </row>
    <row r="10" spans="1:11" ht="16.5" thickBot="1" x14ac:dyDescent="0.3">
      <c r="A10" s="3"/>
      <c r="B10" s="23" t="e">
        <f>#REF!*0.145</f>
        <v>#REF!</v>
      </c>
      <c r="C10" s="26" t="e">
        <f>#REF!*101.97162129779</f>
        <v>#REF!</v>
      </c>
      <c r="D10" s="7"/>
      <c r="E10" s="6"/>
      <c r="F10" s="6"/>
      <c r="G10" s="6"/>
      <c r="H10" s="3"/>
      <c r="I10" s="3"/>
      <c r="J10" s="3"/>
      <c r="K10" s="3"/>
    </row>
    <row r="11" spans="1:11" ht="16.5" thickBot="1" x14ac:dyDescent="0.3">
      <c r="A11" s="3"/>
      <c r="B11" s="24"/>
      <c r="C11" s="27"/>
      <c r="D11" s="7"/>
      <c r="E11" s="6"/>
      <c r="F11" s="6"/>
      <c r="G11" s="6"/>
      <c r="H11" s="3"/>
      <c r="I11" s="3"/>
      <c r="J11" s="3"/>
      <c r="K11" s="3"/>
    </row>
    <row r="12" spans="1:11" ht="16.5" thickBot="1" x14ac:dyDescent="0.3">
      <c r="A12" s="3"/>
      <c r="B12" s="25"/>
      <c r="C12" s="28"/>
      <c r="D12" s="7"/>
      <c r="E12" s="6"/>
      <c r="F12" s="6"/>
      <c r="G12" s="6"/>
      <c r="H12" s="3"/>
      <c r="I12" s="3"/>
      <c r="J12" s="3"/>
      <c r="K12" s="3"/>
    </row>
    <row r="13" spans="1:11" ht="16.5" thickBot="1" x14ac:dyDescent="0.3">
      <c r="A13" s="3"/>
      <c r="B13" s="23" t="e">
        <f>#REF!*0.145</f>
        <v>#REF!</v>
      </c>
      <c r="C13" s="26" t="e">
        <f>#REF!*101.97162129779</f>
        <v>#REF!</v>
      </c>
      <c r="D13" s="7"/>
      <c r="E13" s="6"/>
      <c r="F13" s="6"/>
      <c r="G13" s="6"/>
      <c r="H13" s="3"/>
      <c r="I13" s="3"/>
      <c r="J13" s="3"/>
      <c r="K13" s="3"/>
    </row>
    <row r="14" spans="1:11" ht="16.5" thickBot="1" x14ac:dyDescent="0.3">
      <c r="A14" s="3"/>
      <c r="B14" s="24"/>
      <c r="C14" s="27"/>
      <c r="D14" s="7"/>
      <c r="E14" s="6"/>
      <c r="F14" s="6"/>
      <c r="G14" s="6"/>
      <c r="H14" s="3"/>
      <c r="I14" s="3"/>
      <c r="J14" s="3"/>
      <c r="K14" s="3"/>
    </row>
    <row r="15" spans="1:11" ht="16.5" thickBot="1" x14ac:dyDescent="0.3">
      <c r="A15" s="3"/>
      <c r="B15" s="25"/>
      <c r="C15" s="28"/>
      <c r="D15" s="7"/>
      <c r="E15" s="6"/>
      <c r="F15" s="6"/>
      <c r="G15" s="6"/>
      <c r="H15" s="3"/>
      <c r="I15" s="3"/>
      <c r="J15" s="3"/>
      <c r="K15" s="3"/>
    </row>
    <row r="16" spans="1:11" ht="16.5" thickBot="1" x14ac:dyDescent="0.3">
      <c r="A16" s="3"/>
      <c r="B16" s="23" t="e">
        <f>#REF!*0.145</f>
        <v>#REF!</v>
      </c>
      <c r="C16" s="26" t="e">
        <f>#REF!*101.97162129779</f>
        <v>#REF!</v>
      </c>
      <c r="D16" s="7"/>
      <c r="E16" s="6"/>
      <c r="F16" s="6"/>
      <c r="G16" s="6"/>
      <c r="H16" s="3"/>
      <c r="I16" s="3"/>
      <c r="J16" s="3"/>
      <c r="K16" s="3"/>
    </row>
    <row r="17" spans="1:11" ht="16.5" thickBot="1" x14ac:dyDescent="0.3">
      <c r="A17" s="3"/>
      <c r="B17" s="24"/>
      <c r="C17" s="27"/>
      <c r="D17" s="7"/>
      <c r="E17" s="6"/>
      <c r="F17" s="6"/>
      <c r="G17" s="6"/>
      <c r="H17" s="3"/>
      <c r="I17" s="3"/>
      <c r="J17" s="3"/>
      <c r="K17" s="3"/>
    </row>
    <row r="18" spans="1:11" ht="16.5" thickBot="1" x14ac:dyDescent="0.3">
      <c r="A18" s="3"/>
      <c r="B18" s="25"/>
      <c r="C18" s="28"/>
      <c r="D18" s="7"/>
      <c r="E18" s="6"/>
      <c r="F18" s="6"/>
      <c r="G18" s="6"/>
      <c r="H18" s="3"/>
      <c r="I18" s="3"/>
      <c r="J18" s="3"/>
      <c r="K18" s="3"/>
    </row>
    <row r="19" spans="1:11" ht="16.5" thickBot="1" x14ac:dyDescent="0.3">
      <c r="A19" s="3"/>
      <c r="B19" s="23" t="e">
        <f>#REF!*0.145</f>
        <v>#REF!</v>
      </c>
      <c r="C19" s="26" t="e">
        <f>#REF!*101.97162129779</f>
        <v>#REF!</v>
      </c>
      <c r="D19" s="7"/>
      <c r="E19" s="6"/>
      <c r="F19" s="6"/>
      <c r="G19" s="6"/>
      <c r="H19" s="3"/>
      <c r="I19" s="3"/>
      <c r="J19" s="3"/>
      <c r="K19" s="3"/>
    </row>
    <row r="20" spans="1:11" ht="16.5" thickBot="1" x14ac:dyDescent="0.3">
      <c r="A20" s="3"/>
      <c r="B20" s="24"/>
      <c r="C20" s="27"/>
      <c r="D20" s="7"/>
      <c r="E20" s="6"/>
      <c r="F20" s="6"/>
      <c r="G20" s="6"/>
      <c r="H20" s="3"/>
      <c r="I20" s="3"/>
      <c r="J20" s="3"/>
      <c r="K20" s="3"/>
    </row>
    <row r="21" spans="1:11" ht="16.5" thickBot="1" x14ac:dyDescent="0.3">
      <c r="A21" s="3"/>
      <c r="B21" s="25"/>
      <c r="C21" s="28"/>
      <c r="D21" s="7"/>
      <c r="E21" s="6"/>
      <c r="F21" s="6"/>
      <c r="G21" s="6"/>
      <c r="H21" s="3"/>
      <c r="I21" s="3"/>
      <c r="J21" s="3"/>
      <c r="K21" s="3"/>
    </row>
    <row r="22" spans="1:11" ht="16.5" thickBot="1" x14ac:dyDescent="0.3">
      <c r="A22" s="3"/>
      <c r="B22" s="23" t="e">
        <f>#REF!*0.145</f>
        <v>#REF!</v>
      </c>
      <c r="C22" s="26" t="e">
        <f>#REF!*101.97162129779</f>
        <v>#REF!</v>
      </c>
      <c r="D22" s="7"/>
      <c r="E22" s="6"/>
      <c r="F22" s="6"/>
      <c r="G22" s="6"/>
      <c r="H22" s="3"/>
      <c r="I22" s="3"/>
      <c r="J22" s="3"/>
      <c r="K22" s="3"/>
    </row>
    <row r="23" spans="1:11" ht="16.5" thickBot="1" x14ac:dyDescent="0.3">
      <c r="A23" s="3"/>
      <c r="B23" s="24"/>
      <c r="C23" s="27"/>
      <c r="D23" s="7"/>
      <c r="E23" s="6"/>
      <c r="F23" s="6"/>
      <c r="G23" s="6"/>
      <c r="H23" s="3"/>
      <c r="I23" s="3"/>
      <c r="J23" s="3"/>
      <c r="K23" s="3"/>
    </row>
    <row r="24" spans="1:11" ht="16.5" thickBot="1" x14ac:dyDescent="0.3">
      <c r="A24" s="3"/>
      <c r="B24" s="25"/>
      <c r="C24" s="28"/>
      <c r="D24" s="7"/>
      <c r="E24" s="6"/>
      <c r="F24" s="6"/>
      <c r="G24" s="6"/>
      <c r="H24" s="3"/>
      <c r="I24" s="3"/>
      <c r="J24" s="3"/>
      <c r="K24" s="3"/>
    </row>
    <row r="25" spans="1:1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</sheetData>
  <mergeCells count="14">
    <mergeCell ref="B22:B24"/>
    <mergeCell ref="C22:C24"/>
    <mergeCell ref="B13:B15"/>
    <mergeCell ref="C13:C15"/>
    <mergeCell ref="B16:B18"/>
    <mergeCell ref="C16:C18"/>
    <mergeCell ref="B19:B21"/>
    <mergeCell ref="C19:C21"/>
    <mergeCell ref="B4:B6"/>
    <mergeCell ref="C4:C6"/>
    <mergeCell ref="B7:B9"/>
    <mergeCell ref="C7:C9"/>
    <mergeCell ref="B10:B12"/>
    <mergeCell ref="C10:C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V21"/>
  <sheetViews>
    <sheetView tabSelected="1" topLeftCell="A4" workbookViewId="0">
      <selection activeCell="E33" sqref="E33"/>
    </sheetView>
  </sheetViews>
  <sheetFormatPr defaultRowHeight="15" x14ac:dyDescent="0.25"/>
  <sheetData>
    <row r="2" spans="6:22" x14ac:dyDescent="0.25">
      <c r="I2" t="s">
        <v>20</v>
      </c>
      <c r="M2" t="s">
        <v>28</v>
      </c>
    </row>
    <row r="3" spans="6:22" ht="23.25" x14ac:dyDescent="0.25">
      <c r="I3" s="31" t="s">
        <v>21</v>
      </c>
    </row>
    <row r="4" spans="6:22" ht="23.25" x14ac:dyDescent="0.25">
      <c r="I4" s="31" t="s">
        <v>22</v>
      </c>
    </row>
    <row r="8" spans="6:22" x14ac:dyDescent="0.25">
      <c r="F8" t="s">
        <v>26</v>
      </c>
      <c r="G8" t="s">
        <v>27</v>
      </c>
      <c r="H8" t="s">
        <v>27</v>
      </c>
      <c r="T8" s="29" t="s">
        <v>23</v>
      </c>
    </row>
    <row r="9" spans="6:22" x14ac:dyDescent="0.25">
      <c r="F9">
        <v>1E-3</v>
      </c>
      <c r="G9">
        <v>4.7</v>
      </c>
      <c r="H9">
        <v>3.65</v>
      </c>
      <c r="T9" s="29" t="s">
        <v>24</v>
      </c>
    </row>
    <row r="10" spans="6:22" x14ac:dyDescent="0.25">
      <c r="F10">
        <v>250</v>
      </c>
      <c r="G10">
        <v>4.38</v>
      </c>
      <c r="H10">
        <v>3.2</v>
      </c>
    </row>
    <row r="11" spans="6:22" x14ac:dyDescent="0.25">
      <c r="F11">
        <v>500</v>
      </c>
      <c r="G11">
        <v>4</v>
      </c>
      <c r="H11">
        <v>2.85</v>
      </c>
      <c r="T11" s="30">
        <v>9.9999999999999994E-12</v>
      </c>
      <c r="U11" s="30">
        <v>-1E-10</v>
      </c>
      <c r="V11" t="s">
        <v>25</v>
      </c>
    </row>
    <row r="12" spans="6:22" x14ac:dyDescent="0.25">
      <c r="F12">
        <v>750</v>
      </c>
      <c r="G12">
        <v>3.68</v>
      </c>
      <c r="H12">
        <v>2.6</v>
      </c>
      <c r="T12" s="30">
        <v>1.9999999999999999E-7</v>
      </c>
      <c r="U12" s="30">
        <v>7.9999999999999996E-7</v>
      </c>
      <c r="V12" t="s">
        <v>18</v>
      </c>
    </row>
    <row r="13" spans="6:22" x14ac:dyDescent="0.25">
      <c r="F13">
        <v>1000</v>
      </c>
      <c r="G13">
        <v>3.4</v>
      </c>
      <c r="H13">
        <v>2.35</v>
      </c>
      <c r="T13">
        <v>-1.6000000000000001E-3</v>
      </c>
      <c r="U13">
        <v>-1.9E-3</v>
      </c>
      <c r="V13" t="s">
        <v>19</v>
      </c>
    </row>
    <row r="14" spans="6:22" x14ac:dyDescent="0.25">
      <c r="F14">
        <v>1250</v>
      </c>
      <c r="G14">
        <v>3.2</v>
      </c>
      <c r="H14">
        <v>2.1800000000000002</v>
      </c>
      <c r="T14">
        <v>4.7176</v>
      </c>
      <c r="U14">
        <v>3.6454</v>
      </c>
    </row>
    <row r="15" spans="6:22" x14ac:dyDescent="0.25">
      <c r="F15">
        <v>1500</v>
      </c>
      <c r="G15">
        <v>3</v>
      </c>
      <c r="H15">
        <v>2.0499999999999998</v>
      </c>
    </row>
    <row r="16" spans="6:22" x14ac:dyDescent="0.25">
      <c r="F16">
        <v>1750</v>
      </c>
      <c r="G16">
        <v>2.82</v>
      </c>
      <c r="H16">
        <v>1.92</v>
      </c>
    </row>
    <row r="17" spans="6:8" x14ac:dyDescent="0.25">
      <c r="F17">
        <v>2000</v>
      </c>
      <c r="G17">
        <v>2.7</v>
      </c>
      <c r="H17">
        <v>1.81</v>
      </c>
    </row>
    <row r="20" spans="6:8" x14ac:dyDescent="0.25">
      <c r="G20">
        <f>G9-G17</f>
        <v>2</v>
      </c>
      <c r="H20">
        <f>H9-H17</f>
        <v>1.8399999999999999</v>
      </c>
    </row>
    <row r="21" spans="6:8" x14ac:dyDescent="0.25">
      <c r="G21">
        <f>1.3+1.3*0.4</f>
        <v>1.82</v>
      </c>
      <c r="H21">
        <f>1.3+1.3*0.4</f>
        <v>1.82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turbidity_ODL_#40</vt:lpstr>
      <vt:lpstr>turbidity_soilTest_#60</vt:lpstr>
      <vt:lpstr>turbidity_soilTest_#60 (ODL)</vt:lpstr>
      <vt:lpstr>pressure</vt:lpstr>
      <vt:lpstr>datasheet</vt:lpstr>
    </vt:vector>
  </TitlesOfParts>
  <Company>LNEC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Neves Correia dos Santos</dc:creator>
  <cp:lastModifiedBy>Ricardo Neves Correia dos Santos</cp:lastModifiedBy>
  <cp:lastPrinted>2018-07-10T16:32:43Z</cp:lastPrinted>
  <dcterms:created xsi:type="dcterms:W3CDTF">2018-07-10T10:47:01Z</dcterms:created>
  <dcterms:modified xsi:type="dcterms:W3CDTF">2018-12-12T19:50:06Z</dcterms:modified>
</cp:coreProperties>
</file>