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45" windowWidth="12450" windowHeight="106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Sheet1!$A$27:$G$52</definedName>
  </definedNames>
  <calcPr calcId="145621"/>
</workbook>
</file>

<file path=xl/calcChain.xml><?xml version="1.0" encoding="utf-8"?>
<calcChain xmlns="http://schemas.openxmlformats.org/spreadsheetml/2006/main">
  <c r="K63" i="1" l="1"/>
  <c r="K64" i="1"/>
  <c r="K65" i="1"/>
  <c r="K66" i="1"/>
  <c r="K67" i="1"/>
  <c r="K68" i="1"/>
  <c r="K69" i="1"/>
  <c r="K62" i="1"/>
  <c r="K61" i="1"/>
  <c r="I62" i="1"/>
  <c r="I63" i="1"/>
  <c r="I64" i="1"/>
  <c r="I65" i="1"/>
  <c r="I66" i="1"/>
  <c r="I67" i="1"/>
  <c r="I68" i="1"/>
  <c r="I69" i="1"/>
  <c r="I61" i="1"/>
  <c r="E71" i="1"/>
  <c r="B71" i="1"/>
  <c r="C71" i="1"/>
  <c r="E70" i="1"/>
  <c r="B70" i="1"/>
  <c r="C70" i="1" s="1"/>
  <c r="C63" i="1"/>
  <c r="B63" i="1"/>
  <c r="E63" i="1"/>
  <c r="E65" i="1"/>
  <c r="E66" i="1"/>
  <c r="E67" i="1"/>
  <c r="E68" i="1"/>
  <c r="E69" i="1"/>
  <c r="E64" i="1"/>
  <c r="B65" i="1"/>
  <c r="B66" i="1"/>
  <c r="B67" i="1"/>
  <c r="B68" i="1"/>
  <c r="B69" i="1"/>
  <c r="B64" i="1"/>
  <c r="A43" i="1"/>
  <c r="B43" i="1"/>
  <c r="C43" i="1" s="1"/>
  <c r="E43" i="1"/>
  <c r="M31" i="1"/>
  <c r="A42" i="1"/>
  <c r="B42" i="1" s="1"/>
  <c r="C42" i="1" s="1"/>
  <c r="E42" i="1"/>
  <c r="B32" i="1"/>
  <c r="C32" i="1" s="1"/>
  <c r="E32" i="1"/>
  <c r="A33" i="1"/>
  <c r="B33" i="1" s="1"/>
  <c r="C33" i="1" s="1"/>
  <c r="E33" i="1"/>
  <c r="B31" i="1"/>
  <c r="C31" i="1" s="1"/>
  <c r="E31" i="1"/>
  <c r="E41" i="1"/>
  <c r="E35" i="1"/>
  <c r="E34" i="1"/>
  <c r="E36" i="1"/>
  <c r="E37" i="1"/>
  <c r="E38" i="1"/>
  <c r="E39" i="1"/>
  <c r="E40" i="1"/>
  <c r="A34" i="1"/>
  <c r="A35" i="1" s="1"/>
  <c r="B35" i="1" s="1"/>
  <c r="C35" i="1" s="1"/>
  <c r="B34" i="1" l="1"/>
  <c r="C34" i="1" s="1"/>
  <c r="C7" i="1"/>
  <c r="C10" i="1"/>
  <c r="C13" i="1"/>
  <c r="C16" i="1"/>
  <c r="C19" i="1"/>
  <c r="C22" i="1"/>
  <c r="C4" i="1"/>
  <c r="B7" i="1"/>
  <c r="B10" i="1"/>
  <c r="B13" i="1"/>
  <c r="B16" i="1"/>
  <c r="B19" i="1"/>
  <c r="B22" i="1"/>
  <c r="B4" i="1"/>
  <c r="A36" i="1" l="1"/>
  <c r="A37" i="1" l="1"/>
  <c r="B36" i="1"/>
  <c r="C36" i="1" s="1"/>
  <c r="C64" i="1" l="1"/>
  <c r="A38" i="1"/>
  <c r="B37" i="1"/>
  <c r="C37" i="1" s="1"/>
  <c r="C65" i="1" l="1"/>
  <c r="A39" i="1"/>
  <c r="B38" i="1"/>
  <c r="C38" i="1" s="1"/>
  <c r="C66" i="1" l="1"/>
  <c r="B39" i="1"/>
  <c r="C39" i="1" s="1"/>
  <c r="A40" i="1"/>
  <c r="A41" i="1" s="1"/>
  <c r="C67" i="1" l="1"/>
  <c r="B41" i="1"/>
  <c r="C41" i="1" s="1"/>
  <c r="B40" i="1"/>
  <c r="C40" i="1" s="1"/>
  <c r="C68" i="1" l="1"/>
  <c r="C69" i="1" l="1"/>
  <c r="K70" i="1"/>
</calcChain>
</file>

<file path=xl/comments1.xml><?xml version="1.0" encoding="utf-8"?>
<comments xmlns="http://schemas.openxmlformats.org/spreadsheetml/2006/main">
  <authors>
    <author>Ricardo Neves Correia dos Santos</author>
  </authors>
  <commentList>
    <comment ref="A31" authorId="0">
      <text>
        <r>
          <rPr>
            <b/>
            <sz val="9"/>
            <color indexed="81"/>
            <rFont val="Tahoma"/>
            <family val="2"/>
          </rPr>
          <t>Ricardo Neves Correia dos Santos:</t>
        </r>
        <r>
          <rPr>
            <sz val="9"/>
            <color indexed="81"/>
            <rFont val="Tahoma"/>
            <family val="2"/>
          </rPr>
          <t xml:space="preserve">
água da torneira limpa</t>
        </r>
      </text>
    </comment>
    <comment ref="A59" authorId="0">
      <text>
        <r>
          <rPr>
            <b/>
            <sz val="9"/>
            <color indexed="81"/>
            <rFont val="Tahoma"/>
            <family val="2"/>
          </rPr>
          <t>Ricardo Neves Correia dos Santos:</t>
        </r>
        <r>
          <rPr>
            <sz val="9"/>
            <color indexed="81"/>
            <rFont val="Tahoma"/>
            <family val="2"/>
          </rPr>
          <t xml:space="preserve">
água da torneira limpa</t>
        </r>
      </text>
    </comment>
  </commentList>
</comments>
</file>

<file path=xl/sharedStrings.xml><?xml version="1.0" encoding="utf-8"?>
<sst xmlns="http://schemas.openxmlformats.org/spreadsheetml/2006/main" count="20" uniqueCount="16">
  <si>
    <t>kPa</t>
  </si>
  <si>
    <t>psi</t>
  </si>
  <si>
    <t>mmH2O</t>
  </si>
  <si>
    <t>mV_int</t>
  </si>
  <si>
    <t>mV_dwn</t>
  </si>
  <si>
    <t>mV_ups</t>
  </si>
  <si>
    <t>Calibration of analog pressure sensors</t>
  </si>
  <si>
    <t>Calibration of analog turbidity sensor</t>
  </si>
  <si>
    <t>analog#</t>
  </si>
  <si>
    <t>Soil (&lt;#40):</t>
  </si>
  <si>
    <t>kPa_efect</t>
  </si>
  <si>
    <t>grams(soil)/300ml(H2O)</t>
  </si>
  <si>
    <t>black</t>
  </si>
  <si>
    <t>grams(soil)/200ml(H2O)</t>
  </si>
  <si>
    <t>l/300</t>
  </si>
  <si>
    <t>l/100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</si>
</sst>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3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theme="4" tint="0.39997558519241921"/>
      </bottom>
      <diagonal/>
    </border>
    <border>
      <left/>
      <right/>
      <top style="medium">
        <color theme="4" tint="0.39997558519241921"/>
      </top>
      <bottom style="medium">
        <color theme="4" tint="0.39997558519241921"/>
      </bottom>
      <diagonal/>
    </border>
    <border>
      <left/>
      <right/>
      <top style="medium">
        <color theme="4" tint="0.39997558519241921"/>
      </top>
      <bottom/>
      <diagonal/>
    </border>
    <border>
      <left/>
      <right style="medium">
        <color theme="4" tint="0.39994506668294322"/>
      </right>
      <top style="medium">
        <color theme="4" tint="0.39997558519241921"/>
      </top>
      <bottom style="medium">
        <color theme="4" tint="0.39997558519241921"/>
      </bottom>
      <diagonal/>
    </border>
    <border>
      <left style="medium">
        <color theme="4" tint="0.39994506668294322"/>
      </left>
      <right style="medium">
        <color theme="4" tint="0.39994506668294322"/>
      </right>
      <top style="medium">
        <color theme="4" tint="0.39997558519241921"/>
      </top>
      <bottom style="medium">
        <color theme="4" tint="0.39997558519241921"/>
      </bottom>
      <diagonal/>
    </border>
    <border>
      <left style="medium">
        <color theme="4" tint="0.39994506668294322"/>
      </left>
      <right/>
      <top style="medium">
        <color theme="4" tint="0.39997558519241921"/>
      </top>
      <bottom style="medium">
        <color theme="4" tint="0.39997558519241921"/>
      </bottom>
      <diagonal/>
    </border>
    <border>
      <left/>
      <right style="medium">
        <color theme="4" tint="0.39994506668294322"/>
      </right>
      <top/>
      <bottom/>
      <diagonal/>
    </border>
    <border>
      <left style="medium">
        <color theme="4" tint="0.39994506668294322"/>
      </left>
      <right style="medium">
        <color theme="4" tint="0.39994506668294322"/>
      </right>
      <top/>
      <bottom/>
      <diagonal/>
    </border>
    <border>
      <left style="medium">
        <color theme="4" tint="0.39994506668294322"/>
      </left>
      <right/>
      <top/>
      <bottom/>
      <diagonal/>
    </border>
  </borders>
  <cellStyleXfs count="4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1" fillId="2" borderId="0" applyNumberFormat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/>
    </xf>
    <xf numFmtId="0" fontId="2" fillId="0" borderId="1" xfId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2" xfId="2" applyFont="1" applyAlignment="1">
      <alignment horizontal="center" vertical="center"/>
    </xf>
    <xf numFmtId="0" fontId="4" fillId="2" borderId="2" xfId="3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0" borderId="1" xfId="1" applyAlignment="1">
      <alignment horizontal="left" vertical="center"/>
    </xf>
    <xf numFmtId="1" fontId="5" fillId="0" borderId="2" xfId="2" applyNumberFormat="1" applyFont="1" applyAlignment="1">
      <alignment horizontal="center" vertical="center"/>
    </xf>
    <xf numFmtId="0" fontId="4" fillId="2" borderId="4" xfId="3" applyFont="1" applyBorder="1" applyAlignment="1">
      <alignment horizontal="center" vertical="center"/>
    </xf>
    <xf numFmtId="0" fontId="5" fillId="0" borderId="5" xfId="2" applyFont="1" applyBorder="1" applyAlignment="1">
      <alignment horizontal="center" vertical="center"/>
    </xf>
    <xf numFmtId="0" fontId="5" fillId="0" borderId="6" xfId="2" applyFont="1" applyBorder="1" applyAlignment="1">
      <alignment horizontal="center" vertical="center"/>
    </xf>
    <xf numFmtId="0" fontId="5" fillId="0" borderId="0" xfId="2" applyFont="1" applyBorder="1" applyAlignment="1">
      <alignment horizontal="center" vertical="center"/>
    </xf>
    <xf numFmtId="0" fontId="5" fillId="0" borderId="2" xfId="2" applyFont="1" applyAlignment="1">
      <alignment horizontal="center" vertical="center"/>
    </xf>
    <xf numFmtId="164" fontId="5" fillId="0" borderId="6" xfId="2" applyNumberFormat="1" applyFont="1" applyBorder="1" applyAlignment="1">
      <alignment horizontal="center" vertical="center"/>
    </xf>
    <xf numFmtId="164" fontId="5" fillId="0" borderId="0" xfId="2" applyNumberFormat="1" applyFont="1" applyBorder="1" applyAlignment="1">
      <alignment horizontal="center" vertical="center"/>
    </xf>
    <xf numFmtId="164" fontId="5" fillId="0" borderId="2" xfId="2" applyNumberFormat="1" applyFont="1" applyAlignment="1">
      <alignment horizontal="center" vertical="center"/>
    </xf>
    <xf numFmtId="1" fontId="5" fillId="0" borderId="6" xfId="2" applyNumberFormat="1" applyFont="1" applyBorder="1" applyAlignment="1">
      <alignment horizontal="center" vertical="center"/>
    </xf>
    <xf numFmtId="1" fontId="5" fillId="0" borderId="0" xfId="2" applyNumberFormat="1" applyFont="1" applyBorder="1" applyAlignment="1">
      <alignment horizontal="center" vertical="center"/>
    </xf>
    <xf numFmtId="1" fontId="5" fillId="0" borderId="2" xfId="2" applyNumberFormat="1" applyFont="1" applyAlignment="1">
      <alignment horizontal="center" vertical="center"/>
    </xf>
    <xf numFmtId="0" fontId="5" fillId="0" borderId="5" xfId="2" applyFont="1" applyBorder="1" applyAlignment="1">
      <alignment horizontal="center" vertical="center"/>
    </xf>
    <xf numFmtId="0" fontId="4" fillId="2" borderId="4" xfId="3" applyFont="1" applyBorder="1" applyAlignment="1">
      <alignment horizontal="center" vertical="center"/>
    </xf>
    <xf numFmtId="0" fontId="5" fillId="0" borderId="7" xfId="2" applyFont="1" applyBorder="1" applyAlignment="1">
      <alignment vertical="center"/>
    </xf>
    <xf numFmtId="0" fontId="5" fillId="0" borderId="8" xfId="2" applyFont="1" applyBorder="1" applyAlignment="1">
      <alignment vertical="center"/>
    </xf>
    <xf numFmtId="0" fontId="5" fillId="0" borderId="9" xfId="2" applyFont="1" applyBorder="1" applyAlignment="1">
      <alignment vertic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</cellXfs>
  <cellStyles count="4">
    <cellStyle name="20% - Accent1" xfId="3" builtinId="30"/>
    <cellStyle name="Heading 1" xfId="1" builtinId="16"/>
    <cellStyle name="Heading 3" xfId="2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3.0497583475818484E-2"/>
          <c:y val="0.11709731703954523"/>
          <c:w val="0.83168961491051452"/>
          <c:h val="0.83489774319457988"/>
        </c:manualLayout>
      </c:layout>
      <c:scatterChart>
        <c:scatterStyle val="lineMarker"/>
        <c:varyColors val="0"/>
        <c:ser>
          <c:idx val="0"/>
          <c:order val="0"/>
          <c:tx>
            <c:v>turb_analog</c:v>
          </c:tx>
          <c:spPr>
            <a:ln w="28575">
              <a:noFill/>
            </a:ln>
          </c:spPr>
          <c:trendline>
            <c:name>4</c:name>
            <c:trendlineType val="log"/>
            <c:dispRSqr val="1"/>
            <c:dispEq val="1"/>
            <c:trendlineLbl>
              <c:layout>
                <c:manualLayout>
                  <c:x val="-2.5103620864940956E-2"/>
                  <c:y val="-0.61323194637968981"/>
                </c:manualLayout>
              </c:layout>
              <c:numFmt formatCode="General" sourceLinked="0"/>
            </c:trendlineLbl>
          </c:trendline>
          <c:xVal>
            <c:numRef>
              <c:f>Sheet1!$L$60:$L$69</c:f>
              <c:numCache>
                <c:formatCode>General</c:formatCode>
                <c:ptCount val="10"/>
                <c:pt idx="0">
                  <c:v>32200</c:v>
                </c:pt>
                <c:pt idx="1">
                  <c:v>21200</c:v>
                </c:pt>
                <c:pt idx="2">
                  <c:v>14500</c:v>
                </c:pt>
                <c:pt idx="9">
                  <c:v>1</c:v>
                </c:pt>
              </c:numCache>
            </c:numRef>
          </c:xVal>
          <c:yVal>
            <c:numRef>
              <c:f>Sheet1!$J$60:$J$69</c:f>
              <c:numCache>
                <c:formatCode>General</c:formatCode>
                <c:ptCount val="10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743104"/>
        <c:axId val="107741568"/>
      </c:scatterChart>
      <c:valAx>
        <c:axId val="107743104"/>
        <c:scaling>
          <c:orientation val="minMax"/>
          <c:min val="1"/>
        </c:scaling>
        <c:delete val="0"/>
        <c:axPos val="b"/>
        <c:numFmt formatCode="General" sourceLinked="1"/>
        <c:majorTickMark val="out"/>
        <c:minorTickMark val="none"/>
        <c:tickLblPos val="nextTo"/>
        <c:crossAx val="107741568"/>
        <c:crosses val="autoZero"/>
        <c:crossBetween val="midCat"/>
      </c:valAx>
      <c:valAx>
        <c:axId val="107741568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7743104"/>
        <c:crosses val="autoZero"/>
        <c:crossBetween val="midCat"/>
      </c:valAx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51983819951777965"/>
          <c:y val="0.35992052000458086"/>
          <c:w val="0.12196936779967972"/>
          <c:h val="4.1879633324118051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391990</xdr:colOff>
      <xdr:row>47</xdr:row>
      <xdr:rowOff>132745</xdr:rowOff>
    </xdr:from>
    <xdr:to>
      <xdr:col>27</xdr:col>
      <xdr:colOff>602315</xdr:colOff>
      <xdr:row>74</xdr:row>
      <xdr:rowOff>72839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74"/>
  <sheetViews>
    <sheetView tabSelected="1" topLeftCell="C46" zoomScaleNormal="100" zoomScaleSheetLayoutView="85" workbookViewId="0">
      <selection activeCell="J69" sqref="J69"/>
    </sheetView>
  </sheetViews>
  <sheetFormatPr defaultRowHeight="15" x14ac:dyDescent="0.25"/>
  <cols>
    <col min="1" max="1" width="9" style="1" customWidth="1"/>
    <col min="2" max="2" width="8.85546875" style="1" customWidth="1"/>
    <col min="3" max="3" width="10.140625" style="1" customWidth="1"/>
    <col min="4" max="4" width="15.42578125" style="1" customWidth="1"/>
    <col min="5" max="5" width="14.5703125" style="1" customWidth="1"/>
    <col min="6" max="7" width="14.28515625" style="1" customWidth="1"/>
    <col min="8" max="16384" width="9.140625" style="1"/>
  </cols>
  <sheetData>
    <row r="1" spans="1:7" s="3" customFormat="1" ht="20.25" thickBot="1" x14ac:dyDescent="0.3">
      <c r="A1" s="7" t="s">
        <v>6</v>
      </c>
      <c r="B1" s="2"/>
      <c r="C1" s="2"/>
      <c r="D1" s="2"/>
      <c r="E1" s="2"/>
      <c r="F1" s="2"/>
      <c r="G1" s="2"/>
    </row>
    <row r="2" spans="1:7" s="3" customFormat="1" ht="15.75" thickTop="1" x14ac:dyDescent="0.25">
      <c r="A2" s="6"/>
      <c r="B2" s="6"/>
      <c r="C2" s="6"/>
      <c r="D2" s="6"/>
      <c r="E2" s="6"/>
      <c r="F2" s="6"/>
      <c r="G2" s="6"/>
    </row>
    <row r="3" spans="1:7" s="3" customFormat="1" ht="20.100000000000001" customHeight="1" thickBot="1" x14ac:dyDescent="0.3">
      <c r="A3" s="5" t="s">
        <v>0</v>
      </c>
      <c r="B3" s="5" t="s">
        <v>1</v>
      </c>
      <c r="C3" s="5" t="s">
        <v>2</v>
      </c>
      <c r="D3" s="5" t="s">
        <v>10</v>
      </c>
      <c r="E3" s="5" t="s">
        <v>5</v>
      </c>
      <c r="F3" s="5" t="s">
        <v>3</v>
      </c>
      <c r="G3" s="5" t="s">
        <v>4</v>
      </c>
    </row>
    <row r="4" spans="1:7" s="3" customFormat="1" ht="18.95" customHeight="1" thickBot="1" x14ac:dyDescent="0.3">
      <c r="A4" s="11">
        <v>0</v>
      </c>
      <c r="B4" s="14">
        <f>A4*0.145</f>
        <v>0</v>
      </c>
      <c r="C4" s="17">
        <f>A4*101.97162129779</f>
        <v>0</v>
      </c>
      <c r="D4" s="4"/>
      <c r="E4" s="4"/>
      <c r="F4" s="4"/>
      <c r="G4" s="4"/>
    </row>
    <row r="5" spans="1:7" s="3" customFormat="1" ht="18.95" customHeight="1" thickBot="1" x14ac:dyDescent="0.3">
      <c r="A5" s="12"/>
      <c r="B5" s="15"/>
      <c r="C5" s="18"/>
      <c r="D5" s="4"/>
      <c r="E5" s="4"/>
      <c r="F5" s="4"/>
      <c r="G5" s="4"/>
    </row>
    <row r="6" spans="1:7" s="3" customFormat="1" ht="18.95" customHeight="1" thickBot="1" x14ac:dyDescent="0.3">
      <c r="A6" s="13"/>
      <c r="B6" s="16"/>
      <c r="C6" s="19"/>
      <c r="D6" s="8"/>
      <c r="E6" s="4"/>
      <c r="F6" s="4"/>
      <c r="G6" s="4"/>
    </row>
    <row r="7" spans="1:7" s="3" customFormat="1" ht="18.95" customHeight="1" thickBot="1" x14ac:dyDescent="0.3">
      <c r="A7" s="11">
        <v>5</v>
      </c>
      <c r="B7" s="14">
        <f>A7*0.145</f>
        <v>0.72499999999999998</v>
      </c>
      <c r="C7" s="17">
        <f>A7*101.97162129779</f>
        <v>509.85810648894994</v>
      </c>
      <c r="D7" s="4"/>
      <c r="E7" s="4"/>
      <c r="F7" s="4"/>
      <c r="G7" s="4"/>
    </row>
    <row r="8" spans="1:7" s="3" customFormat="1" ht="18.95" customHeight="1" thickBot="1" x14ac:dyDescent="0.3">
      <c r="A8" s="12"/>
      <c r="B8" s="15"/>
      <c r="C8" s="18"/>
      <c r="D8" s="4"/>
      <c r="E8" s="4"/>
      <c r="F8" s="4"/>
      <c r="G8" s="4"/>
    </row>
    <row r="9" spans="1:7" s="3" customFormat="1" ht="18.95" customHeight="1" thickBot="1" x14ac:dyDescent="0.3">
      <c r="A9" s="13"/>
      <c r="B9" s="16"/>
      <c r="C9" s="19"/>
      <c r="D9" s="8"/>
      <c r="E9" s="4"/>
      <c r="F9" s="4"/>
      <c r="G9" s="4"/>
    </row>
    <row r="10" spans="1:7" s="3" customFormat="1" ht="18.95" customHeight="1" thickBot="1" x14ac:dyDescent="0.3">
      <c r="A10" s="11">
        <v>10</v>
      </c>
      <c r="B10" s="14">
        <f>A10*0.145</f>
        <v>1.45</v>
      </c>
      <c r="C10" s="17">
        <f>A10*101.97162129779</f>
        <v>1019.7162129778999</v>
      </c>
      <c r="D10" s="8"/>
      <c r="E10" s="4"/>
      <c r="F10" s="4"/>
      <c r="G10" s="4"/>
    </row>
    <row r="11" spans="1:7" s="3" customFormat="1" ht="18.95" customHeight="1" thickBot="1" x14ac:dyDescent="0.3">
      <c r="A11" s="12"/>
      <c r="B11" s="15"/>
      <c r="C11" s="18"/>
      <c r="D11" s="8"/>
      <c r="E11" s="4"/>
      <c r="F11" s="4"/>
      <c r="G11" s="4"/>
    </row>
    <row r="12" spans="1:7" s="3" customFormat="1" ht="18.95" customHeight="1" thickBot="1" x14ac:dyDescent="0.3">
      <c r="A12" s="13"/>
      <c r="B12" s="16"/>
      <c r="C12" s="19"/>
      <c r="D12" s="8"/>
      <c r="E12" s="4"/>
      <c r="F12" s="4"/>
      <c r="G12" s="4"/>
    </row>
    <row r="13" spans="1:7" s="3" customFormat="1" ht="18.95" customHeight="1" thickBot="1" x14ac:dyDescent="0.3">
      <c r="A13" s="11">
        <v>15</v>
      </c>
      <c r="B13" s="14">
        <f>A13*0.145</f>
        <v>2.1749999999999998</v>
      </c>
      <c r="C13" s="17">
        <f>A13*101.97162129779</f>
        <v>1529.5743194668498</v>
      </c>
      <c r="D13" s="8"/>
      <c r="E13" s="4"/>
      <c r="F13" s="4"/>
      <c r="G13" s="4"/>
    </row>
    <row r="14" spans="1:7" s="3" customFormat="1" ht="18.95" customHeight="1" thickBot="1" x14ac:dyDescent="0.3">
      <c r="A14" s="12"/>
      <c r="B14" s="15"/>
      <c r="C14" s="18"/>
      <c r="D14" s="8"/>
      <c r="E14" s="4"/>
      <c r="F14" s="4"/>
      <c r="G14" s="4"/>
    </row>
    <row r="15" spans="1:7" s="3" customFormat="1" ht="18.95" customHeight="1" thickBot="1" x14ac:dyDescent="0.3">
      <c r="A15" s="13"/>
      <c r="B15" s="16"/>
      <c r="C15" s="19"/>
      <c r="D15" s="8"/>
      <c r="E15" s="4"/>
      <c r="F15" s="4"/>
      <c r="G15" s="4"/>
    </row>
    <row r="16" spans="1:7" s="3" customFormat="1" ht="18.95" customHeight="1" thickBot="1" x14ac:dyDescent="0.3">
      <c r="A16" s="11">
        <v>20</v>
      </c>
      <c r="B16" s="14">
        <f>A16*0.145</f>
        <v>2.9</v>
      </c>
      <c r="C16" s="17">
        <f>A16*101.97162129779</f>
        <v>2039.4324259557998</v>
      </c>
      <c r="D16" s="8"/>
      <c r="E16" s="4"/>
      <c r="F16" s="4"/>
      <c r="G16" s="4"/>
    </row>
    <row r="17" spans="1:13" s="3" customFormat="1" ht="18.95" customHeight="1" thickBot="1" x14ac:dyDescent="0.3">
      <c r="A17" s="12"/>
      <c r="B17" s="15"/>
      <c r="C17" s="18"/>
      <c r="D17" s="8"/>
      <c r="E17" s="4"/>
      <c r="F17" s="4"/>
      <c r="G17" s="4"/>
    </row>
    <row r="18" spans="1:13" s="3" customFormat="1" ht="18.95" customHeight="1" thickBot="1" x14ac:dyDescent="0.3">
      <c r="A18" s="13"/>
      <c r="B18" s="16"/>
      <c r="C18" s="19"/>
      <c r="D18" s="8"/>
      <c r="E18" s="4"/>
      <c r="F18" s="4"/>
      <c r="G18" s="4"/>
    </row>
    <row r="19" spans="1:13" s="3" customFormat="1" ht="18.95" customHeight="1" thickBot="1" x14ac:dyDescent="0.3">
      <c r="A19" s="11">
        <v>25</v>
      </c>
      <c r="B19" s="14">
        <f>A19*0.145</f>
        <v>3.6249999999999996</v>
      </c>
      <c r="C19" s="17">
        <f>A19*101.97162129779</f>
        <v>2549.2905324447497</v>
      </c>
      <c r="D19" s="8"/>
      <c r="E19" s="4"/>
      <c r="F19" s="4"/>
      <c r="G19" s="4"/>
    </row>
    <row r="20" spans="1:13" s="3" customFormat="1" ht="18.95" customHeight="1" thickBot="1" x14ac:dyDescent="0.3">
      <c r="A20" s="12"/>
      <c r="B20" s="15"/>
      <c r="C20" s="18"/>
      <c r="D20" s="8"/>
      <c r="E20" s="4"/>
      <c r="F20" s="4"/>
      <c r="G20" s="4"/>
    </row>
    <row r="21" spans="1:13" s="3" customFormat="1" ht="18.95" customHeight="1" thickBot="1" x14ac:dyDescent="0.3">
      <c r="A21" s="13"/>
      <c r="B21" s="16"/>
      <c r="C21" s="19"/>
      <c r="D21" s="8"/>
      <c r="E21" s="4"/>
      <c r="F21" s="4"/>
      <c r="G21" s="4"/>
    </row>
    <row r="22" spans="1:13" s="3" customFormat="1" ht="18.95" customHeight="1" thickBot="1" x14ac:dyDescent="0.3">
      <c r="A22" s="11">
        <v>30</v>
      </c>
      <c r="B22" s="14">
        <f>A22*0.145</f>
        <v>4.3499999999999996</v>
      </c>
      <c r="C22" s="17">
        <f>A22*101.97162129779</f>
        <v>3059.1486389336997</v>
      </c>
      <c r="D22" s="8"/>
      <c r="E22" s="4"/>
      <c r="F22" s="4"/>
      <c r="G22" s="4"/>
    </row>
    <row r="23" spans="1:13" s="3" customFormat="1" ht="18.95" customHeight="1" thickBot="1" x14ac:dyDescent="0.3">
      <c r="A23" s="12"/>
      <c r="B23" s="15"/>
      <c r="C23" s="18"/>
      <c r="D23" s="8"/>
      <c r="E23" s="4"/>
      <c r="F23" s="4"/>
      <c r="G23" s="4"/>
    </row>
    <row r="24" spans="1:13" s="3" customFormat="1" ht="18.95" customHeight="1" thickBot="1" x14ac:dyDescent="0.3">
      <c r="A24" s="13"/>
      <c r="B24" s="16"/>
      <c r="C24" s="19"/>
      <c r="D24" s="8"/>
      <c r="E24" s="4"/>
      <c r="F24" s="4"/>
      <c r="G24" s="4"/>
    </row>
    <row r="28" spans="1:13" ht="20.25" thickBot="1" x14ac:dyDescent="0.3">
      <c r="A28" s="7" t="s">
        <v>7</v>
      </c>
      <c r="B28" s="2"/>
      <c r="C28" s="2"/>
      <c r="D28" s="2"/>
      <c r="E28" s="2"/>
      <c r="F28" s="2" t="s">
        <v>9</v>
      </c>
      <c r="G28" s="2"/>
    </row>
    <row r="29" spans="1:13" ht="15.75" thickTop="1" x14ac:dyDescent="0.25">
      <c r="A29" s="6"/>
      <c r="B29" s="6"/>
      <c r="C29" s="6"/>
      <c r="D29" s="6"/>
      <c r="E29" s="6"/>
      <c r="F29" s="6"/>
      <c r="G29" s="6"/>
    </row>
    <row r="30" spans="1:13" ht="19.5" thickBot="1" x14ac:dyDescent="0.3">
      <c r="A30" s="21" t="s">
        <v>13</v>
      </c>
      <c r="B30" s="21"/>
      <c r="C30" s="21"/>
      <c r="D30" s="9"/>
      <c r="E30" s="21" t="s">
        <v>8</v>
      </c>
      <c r="F30" s="21"/>
      <c r="G30" s="21"/>
    </row>
    <row r="31" spans="1:13" s="3" customFormat="1" ht="24.95" customHeight="1" thickBot="1" x14ac:dyDescent="0.3">
      <c r="A31" s="10">
        <v>0</v>
      </c>
      <c r="B31" s="10">
        <f>A31/200</f>
        <v>0</v>
      </c>
      <c r="C31" s="10">
        <f>B31*1000</f>
        <v>0</v>
      </c>
      <c r="D31" s="10"/>
      <c r="E31" s="22">
        <f>EXP((F31-55.728)/-5.378)</f>
        <v>32295.078771833214</v>
      </c>
      <c r="F31" s="23">
        <v>-0.11</v>
      </c>
      <c r="G31" s="24"/>
      <c r="L31" s="3">
        <v>32700</v>
      </c>
      <c r="M31" s="3">
        <f>-65.94*LN(L31)+685.55</f>
        <v>9.51042669803428E-2</v>
      </c>
    </row>
    <row r="32" spans="1:13" s="3" customFormat="1" ht="24.95" customHeight="1" thickBot="1" x14ac:dyDescent="0.3">
      <c r="A32" s="10">
        <v>0.05</v>
      </c>
      <c r="B32" s="10">
        <f t="shared" ref="B32:B33" si="0">A32/200</f>
        <v>2.5000000000000001E-4</v>
      </c>
      <c r="C32" s="10">
        <f>B32*1000</f>
        <v>0.25</v>
      </c>
      <c r="D32" s="10"/>
      <c r="E32" s="22">
        <f t="shared" ref="E32:E33" si="1">EXP((F32-55.728)/-5.378)</f>
        <v>31877.450136143329</v>
      </c>
      <c r="F32" s="23">
        <v>-0.04</v>
      </c>
      <c r="G32" s="24"/>
    </row>
    <row r="33" spans="1:7" s="3" customFormat="1" ht="24.95" customHeight="1" thickBot="1" x14ac:dyDescent="0.3">
      <c r="A33" s="10">
        <f>0.1+A32</f>
        <v>0.15000000000000002</v>
      </c>
      <c r="B33" s="10">
        <f t="shared" si="0"/>
        <v>7.5000000000000012E-4</v>
      </c>
      <c r="C33" s="10">
        <f t="shared" ref="C33" si="2">B33*1000</f>
        <v>0.75000000000000011</v>
      </c>
      <c r="D33" s="10"/>
      <c r="E33" s="22">
        <f t="shared" si="1"/>
        <v>31406.769195964112</v>
      </c>
      <c r="F33" s="23">
        <v>0.04</v>
      </c>
      <c r="G33" s="24"/>
    </row>
    <row r="34" spans="1:7" s="3" customFormat="1" ht="24.95" customHeight="1" thickBot="1" x14ac:dyDescent="0.3">
      <c r="A34" s="10">
        <f>2.2+A33</f>
        <v>2.35</v>
      </c>
      <c r="B34" s="10">
        <f>A34/200</f>
        <v>1.175E-2</v>
      </c>
      <c r="C34" s="10">
        <f>B34*1000</f>
        <v>11.75</v>
      </c>
      <c r="D34" s="10"/>
      <c r="E34" s="22">
        <f>EXP((F34-55.728)/-5.378)</f>
        <v>30943.038013262474</v>
      </c>
      <c r="F34" s="23">
        <v>0.12</v>
      </c>
      <c r="G34" s="24"/>
    </row>
    <row r="35" spans="1:7" s="3" customFormat="1" ht="24.95" customHeight="1" thickBot="1" x14ac:dyDescent="0.3">
      <c r="A35" s="10">
        <f>0.4+A34</f>
        <v>2.75</v>
      </c>
      <c r="B35" s="10">
        <f>A35/200</f>
        <v>1.375E-2</v>
      </c>
      <c r="C35" s="10">
        <f>B35*1000</f>
        <v>13.75</v>
      </c>
      <c r="D35" s="10"/>
      <c r="E35" s="22">
        <f>EXP((F35-55.728)/-5.378)</f>
        <v>29813.445554864109</v>
      </c>
      <c r="F35" s="23">
        <v>0.32</v>
      </c>
      <c r="G35" s="24"/>
    </row>
    <row r="36" spans="1:7" s="3" customFormat="1" ht="24.95" customHeight="1" thickBot="1" x14ac:dyDescent="0.3">
      <c r="A36" s="10">
        <f>0.8+A35</f>
        <v>3.55</v>
      </c>
      <c r="B36" s="10">
        <f>A36/200</f>
        <v>1.7749999999999998E-2</v>
      </c>
      <c r="C36" s="10">
        <f>B36*1000</f>
        <v>17.75</v>
      </c>
      <c r="D36" s="10"/>
      <c r="E36" s="22">
        <f>EXP((F36-55.728)/-5.378)</f>
        <v>27471.378581437937</v>
      </c>
      <c r="F36" s="23">
        <v>0.76</v>
      </c>
      <c r="G36" s="24"/>
    </row>
    <row r="37" spans="1:7" s="3" customFormat="1" ht="24.95" customHeight="1" thickBot="1" x14ac:dyDescent="0.3">
      <c r="A37" s="10">
        <f>1.6+A36</f>
        <v>5.15</v>
      </c>
      <c r="B37" s="10">
        <f>A37/200</f>
        <v>2.5750000000000002E-2</v>
      </c>
      <c r="C37" s="10">
        <f>B37*1000</f>
        <v>25.750000000000004</v>
      </c>
      <c r="D37" s="10"/>
      <c r="E37" s="22">
        <f>EXP((F37-55.728)/-5.378)</f>
        <v>23586.432331977416</v>
      </c>
      <c r="F37" s="23">
        <v>1.58</v>
      </c>
      <c r="G37" s="24"/>
    </row>
    <row r="38" spans="1:7" s="3" customFormat="1" ht="24.95" customHeight="1" thickBot="1" x14ac:dyDescent="0.3">
      <c r="A38" s="10">
        <f>3.2+A37</f>
        <v>8.3500000000000014</v>
      </c>
      <c r="B38" s="10">
        <f>A38/200</f>
        <v>4.1750000000000009E-2</v>
      </c>
      <c r="C38" s="10">
        <f>B38*1000</f>
        <v>41.750000000000007</v>
      </c>
      <c r="D38" s="10"/>
      <c r="E38" s="22">
        <f>EXP((F38-55.728)/-5.378)</f>
        <v>16597.297592990821</v>
      </c>
      <c r="F38" s="23">
        <v>3.47</v>
      </c>
      <c r="G38" s="24"/>
    </row>
    <row r="39" spans="1:7" ht="24.95" customHeight="1" thickBot="1" x14ac:dyDescent="0.3">
      <c r="A39" s="10">
        <f>6.4+A38</f>
        <v>14.750000000000002</v>
      </c>
      <c r="B39" s="10">
        <f>A39/200</f>
        <v>7.375000000000001E-2</v>
      </c>
      <c r="C39" s="10">
        <f>B39*1000</f>
        <v>73.750000000000014</v>
      </c>
      <c r="D39" s="10"/>
      <c r="E39" s="22">
        <f>EXP((F39-55.728)/-5.378)</f>
        <v>8249.0267448244358</v>
      </c>
      <c r="F39" s="23">
        <v>7.23</v>
      </c>
      <c r="G39" s="24"/>
    </row>
    <row r="40" spans="1:7" ht="24.95" customHeight="1" thickBot="1" x14ac:dyDescent="0.3">
      <c r="A40" s="10">
        <f>12.8+A39</f>
        <v>27.550000000000004</v>
      </c>
      <c r="B40" s="10">
        <f>A40/200</f>
        <v>0.13775000000000001</v>
      </c>
      <c r="C40" s="10">
        <f>B40*1000</f>
        <v>137.75</v>
      </c>
      <c r="D40" s="10"/>
      <c r="E40" s="22">
        <f>EXP((F40-55.728)/-5.378)</f>
        <v>3044.8212364487745</v>
      </c>
      <c r="F40" s="23">
        <v>12.59</v>
      </c>
      <c r="G40" s="24"/>
    </row>
    <row r="41" spans="1:7" ht="24.95" customHeight="1" thickBot="1" x14ac:dyDescent="0.3">
      <c r="A41" s="10">
        <f>A40+25.6</f>
        <v>53.150000000000006</v>
      </c>
      <c r="B41" s="10">
        <f>A41/200</f>
        <v>0.26575000000000004</v>
      </c>
      <c r="C41" s="10">
        <f>B41*1000</f>
        <v>265.75000000000006</v>
      </c>
      <c r="D41" s="10"/>
      <c r="E41" s="22">
        <f>EXP((F41-55.728)/-5.378)</f>
        <v>763.40108582396135</v>
      </c>
      <c r="F41" s="23">
        <v>20.03</v>
      </c>
      <c r="G41" s="24"/>
    </row>
    <row r="42" spans="1:7" ht="24.95" customHeight="1" thickBot="1" x14ac:dyDescent="0.3">
      <c r="A42" s="10">
        <f>A41+51.2</f>
        <v>104.35000000000001</v>
      </c>
      <c r="B42" s="10">
        <f>A42/200</f>
        <v>0.52175000000000005</v>
      </c>
      <c r="C42" s="10">
        <f>B42*1000</f>
        <v>521.75</v>
      </c>
      <c r="D42" s="10"/>
      <c r="E42" s="22">
        <f>EXP((F42-55.728)/-5.378)</f>
        <v>144.00921315874859</v>
      </c>
      <c r="F42" s="23">
        <v>29</v>
      </c>
      <c r="G42" s="24"/>
    </row>
    <row r="43" spans="1:7" ht="24.95" customHeight="1" thickBot="1" x14ac:dyDescent="0.3">
      <c r="A43" s="10">
        <f>102.4+A42</f>
        <v>206.75</v>
      </c>
      <c r="B43" s="10">
        <f>A43/200</f>
        <v>1.0337499999999999</v>
      </c>
      <c r="C43" s="10">
        <f>B43*1000</f>
        <v>1033.75</v>
      </c>
      <c r="D43" s="10"/>
      <c r="E43" s="22">
        <f>EXP((F43-55.728)/-5.378)</f>
        <v>22.431135724107328</v>
      </c>
      <c r="F43" s="23">
        <v>39</v>
      </c>
      <c r="G43" s="24"/>
    </row>
    <row r="44" spans="1:7" ht="24.95" customHeight="1" thickBot="1" x14ac:dyDescent="0.3">
      <c r="A44" s="20" t="s">
        <v>12</v>
      </c>
      <c r="B44" s="20"/>
      <c r="C44" s="20"/>
      <c r="D44" s="10"/>
      <c r="E44" s="22"/>
      <c r="F44" s="23"/>
      <c r="G44" s="24"/>
    </row>
    <row r="45" spans="1:7" x14ac:dyDescent="0.25">
      <c r="E45" s="25"/>
      <c r="F45" s="26"/>
      <c r="G45" s="27"/>
    </row>
    <row r="46" spans="1:7" x14ac:dyDescent="0.25">
      <c r="E46" s="25"/>
      <c r="F46" s="26"/>
      <c r="G46" s="27"/>
    </row>
    <row r="56" spans="1:12" ht="20.25" thickBot="1" x14ac:dyDescent="0.3">
      <c r="A56" s="7" t="s">
        <v>7</v>
      </c>
      <c r="B56" s="2"/>
      <c r="C56" s="2"/>
      <c r="D56" s="2"/>
      <c r="E56" s="2"/>
      <c r="F56" s="2" t="s">
        <v>9</v>
      </c>
      <c r="G56" s="2"/>
    </row>
    <row r="57" spans="1:12" ht="15.75" thickTop="1" x14ac:dyDescent="0.25">
      <c r="A57" s="6"/>
      <c r="B57" s="6"/>
      <c r="C57" s="6"/>
      <c r="D57" s="6"/>
      <c r="E57" s="6"/>
      <c r="F57" s="6"/>
      <c r="G57" s="6"/>
    </row>
    <row r="58" spans="1:12" ht="19.5" thickBot="1" x14ac:dyDescent="0.3">
      <c r="A58" s="21" t="s">
        <v>11</v>
      </c>
      <c r="B58" s="21"/>
      <c r="C58" s="21"/>
      <c r="D58" s="9"/>
      <c r="E58" s="21" t="s">
        <v>8</v>
      </c>
      <c r="F58" s="21"/>
      <c r="G58" s="21"/>
    </row>
    <row r="59" spans="1:12" ht="16.5" thickBot="1" x14ac:dyDescent="0.3">
      <c r="A59" s="10"/>
      <c r="B59" s="10"/>
      <c r="C59" s="10"/>
      <c r="D59" s="10"/>
      <c r="E59" s="22"/>
      <c r="F59" s="23"/>
      <c r="G59" s="24"/>
      <c r="I59" s="1" t="s">
        <v>14</v>
      </c>
      <c r="J59" s="1" t="s">
        <v>15</v>
      </c>
    </row>
    <row r="60" spans="1:12" ht="16.5" thickBot="1" x14ac:dyDescent="0.3">
      <c r="A60" s="10"/>
      <c r="B60" s="10"/>
      <c r="C60" s="10"/>
      <c r="D60" s="10"/>
      <c r="E60" s="22"/>
      <c r="F60" s="23"/>
      <c r="G60" s="24"/>
      <c r="I60" s="1">
        <v>0</v>
      </c>
      <c r="J60" s="1">
        <v>0</v>
      </c>
      <c r="K60" s="1">
        <v>0</v>
      </c>
      <c r="L60" s="1">
        <v>32200</v>
      </c>
    </row>
    <row r="61" spans="1:12" ht="16.5" thickBot="1" x14ac:dyDescent="0.3">
      <c r="A61" s="10"/>
      <c r="B61" s="10"/>
      <c r="C61" s="10"/>
      <c r="D61" s="10"/>
      <c r="E61" s="22"/>
      <c r="F61" s="23"/>
      <c r="G61" s="24"/>
      <c r="I61" s="1">
        <f>J61*3</f>
        <v>0.75</v>
      </c>
      <c r="J61" s="1">
        <v>0.25</v>
      </c>
      <c r="K61" s="1">
        <f>I61</f>
        <v>0.75</v>
      </c>
      <c r="L61" s="1">
        <v>21200</v>
      </c>
    </row>
    <row r="62" spans="1:12" ht="16.5" thickBot="1" x14ac:dyDescent="0.3">
      <c r="A62" s="10"/>
      <c r="B62" s="10"/>
      <c r="C62" s="10"/>
      <c r="D62" s="10"/>
      <c r="E62" s="22"/>
      <c r="F62" s="23"/>
      <c r="G62" s="24"/>
      <c r="I62" s="1">
        <f t="shared" ref="I62:I69" si="3">J62*3</f>
        <v>1.5</v>
      </c>
      <c r="J62" s="1">
        <v>0.5</v>
      </c>
      <c r="K62" s="1">
        <f>I62-I61</f>
        <v>0.75</v>
      </c>
      <c r="L62" s="1">
        <v>14500</v>
      </c>
    </row>
    <row r="63" spans="1:12" ht="16.5" thickBot="1" x14ac:dyDescent="0.3">
      <c r="A63" s="10">
        <v>0.1</v>
      </c>
      <c r="B63" s="10">
        <f>A63/300</f>
        <v>3.3333333333333338E-4</v>
      </c>
      <c r="C63" s="10">
        <f>B63*1000</f>
        <v>0.33333333333333337</v>
      </c>
      <c r="D63" s="10"/>
      <c r="E63" s="22">
        <f>EXP((F63-744.56)/-71.96)</f>
        <v>32485.502568993401</v>
      </c>
      <c r="F63" s="23">
        <v>-3</v>
      </c>
      <c r="G63" s="24"/>
      <c r="I63" s="1">
        <f t="shared" si="3"/>
        <v>3</v>
      </c>
      <c r="J63" s="1">
        <v>1</v>
      </c>
      <c r="K63" s="1">
        <f t="shared" ref="K63:K69" si="4">I63-I62</f>
        <v>1.5</v>
      </c>
    </row>
    <row r="64" spans="1:12" ht="16.5" thickBot="1" x14ac:dyDescent="0.3">
      <c r="A64" s="10">
        <v>0.25</v>
      </c>
      <c r="B64" s="10">
        <f>A64/300</f>
        <v>8.3333333333333339E-4</v>
      </c>
      <c r="C64" s="10">
        <f>B64*1000</f>
        <v>0.83333333333333337</v>
      </c>
      <c r="D64" s="10"/>
      <c r="E64" s="22">
        <f>EXP((F64-744.56)/-71.96)</f>
        <v>29659.163239897458</v>
      </c>
      <c r="F64" s="23">
        <v>3.55</v>
      </c>
      <c r="G64" s="24"/>
      <c r="I64" s="1">
        <f t="shared" si="3"/>
        <v>4.5</v>
      </c>
      <c r="J64" s="1">
        <v>1.5</v>
      </c>
      <c r="K64" s="1">
        <f t="shared" si="4"/>
        <v>1.5</v>
      </c>
    </row>
    <row r="65" spans="1:12" ht="16.5" thickBot="1" x14ac:dyDescent="0.3">
      <c r="A65" s="10">
        <v>0.5</v>
      </c>
      <c r="B65" s="10">
        <f t="shared" ref="B65:B71" si="5">A65/300</f>
        <v>1.6666666666666668E-3</v>
      </c>
      <c r="C65" s="10">
        <f>B65*1000</f>
        <v>1.6666666666666667</v>
      </c>
      <c r="D65" s="10"/>
      <c r="E65" s="22">
        <f t="shared" ref="E65:E71" si="6">EXP((F65-744.56)/-71.96)</f>
        <v>27838.016499405898</v>
      </c>
      <c r="F65" s="23">
        <v>8.11</v>
      </c>
      <c r="G65" s="24"/>
      <c r="I65" s="1">
        <f t="shared" si="3"/>
        <v>6</v>
      </c>
      <c r="J65" s="1">
        <v>2</v>
      </c>
      <c r="K65" s="1">
        <f t="shared" si="4"/>
        <v>1.5</v>
      </c>
    </row>
    <row r="66" spans="1:12" ht="16.5" thickBot="1" x14ac:dyDescent="0.3">
      <c r="A66" s="10">
        <v>1</v>
      </c>
      <c r="B66" s="10">
        <f t="shared" si="5"/>
        <v>3.3333333333333335E-3</v>
      </c>
      <c r="C66" s="10">
        <f>B66*1000</f>
        <v>3.3333333333333335</v>
      </c>
      <c r="D66" s="10"/>
      <c r="E66" s="22">
        <f t="shared" si="6"/>
        <v>19453.150463889448</v>
      </c>
      <c r="F66" s="23">
        <v>33.9</v>
      </c>
      <c r="G66" s="24"/>
      <c r="I66" s="1">
        <f t="shared" si="3"/>
        <v>7.5</v>
      </c>
      <c r="J66" s="1">
        <v>2.5</v>
      </c>
      <c r="K66" s="1">
        <f t="shared" si="4"/>
        <v>1.5</v>
      </c>
    </row>
    <row r="67" spans="1:12" ht="16.5" thickBot="1" x14ac:dyDescent="0.3">
      <c r="A67" s="10">
        <v>2</v>
      </c>
      <c r="B67" s="10">
        <f t="shared" si="5"/>
        <v>6.6666666666666671E-3</v>
      </c>
      <c r="C67" s="10">
        <f>B67*1000</f>
        <v>6.666666666666667</v>
      </c>
      <c r="D67" s="10"/>
      <c r="E67" s="22">
        <f t="shared" si="6"/>
        <v>10020.0181798539</v>
      </c>
      <c r="F67" s="23">
        <v>81.64</v>
      </c>
      <c r="G67" s="24"/>
      <c r="I67" s="1">
        <f t="shared" si="3"/>
        <v>9</v>
      </c>
      <c r="J67" s="1">
        <v>3</v>
      </c>
      <c r="K67" s="1">
        <f t="shared" si="4"/>
        <v>1.5</v>
      </c>
    </row>
    <row r="68" spans="1:12" ht="16.5" thickBot="1" x14ac:dyDescent="0.3">
      <c r="A68" s="10">
        <v>4</v>
      </c>
      <c r="B68" s="10">
        <f t="shared" si="5"/>
        <v>1.3333333333333334E-2</v>
      </c>
      <c r="C68" s="10">
        <f>B68*1000</f>
        <v>13.333333333333334</v>
      </c>
      <c r="D68" s="10"/>
      <c r="E68" s="22">
        <f t="shared" si="6"/>
        <v>3668.7832327159244</v>
      </c>
      <c r="F68" s="23">
        <v>153.94</v>
      </c>
      <c r="G68" s="24"/>
      <c r="I68" s="1">
        <f t="shared" si="3"/>
        <v>12</v>
      </c>
      <c r="J68" s="1">
        <v>4</v>
      </c>
      <c r="K68" s="1">
        <f t="shared" si="4"/>
        <v>3</v>
      </c>
    </row>
    <row r="69" spans="1:12" ht="16.5" thickBot="1" x14ac:dyDescent="0.3">
      <c r="A69" s="10">
        <v>8</v>
      </c>
      <c r="B69" s="10">
        <f t="shared" si="5"/>
        <v>2.6666666666666668E-2</v>
      </c>
      <c r="C69" s="10">
        <f>B69*1000</f>
        <v>26.666666666666668</v>
      </c>
      <c r="D69" s="10"/>
      <c r="E69" s="22">
        <f t="shared" si="6"/>
        <v>711.21989416102122</v>
      </c>
      <c r="F69" s="23">
        <v>272</v>
      </c>
      <c r="G69" s="24"/>
      <c r="I69" s="1">
        <f t="shared" si="3"/>
        <v>15</v>
      </c>
      <c r="J69" s="1">
        <v>5</v>
      </c>
      <c r="K69" s="1">
        <f t="shared" si="4"/>
        <v>3</v>
      </c>
      <c r="L69" s="1">
        <v>1</v>
      </c>
    </row>
    <row r="70" spans="1:12" ht="16.5" thickBot="1" x14ac:dyDescent="0.3">
      <c r="A70" s="10">
        <v>16</v>
      </c>
      <c r="B70" s="10">
        <f t="shared" si="5"/>
        <v>5.3333333333333337E-2</v>
      </c>
      <c r="C70" s="10">
        <f>B70*1000</f>
        <v>53.333333333333336</v>
      </c>
      <c r="D70" s="10"/>
      <c r="E70" s="22">
        <f t="shared" si="6"/>
        <v>120.08690336347277</v>
      </c>
      <c r="F70" s="23">
        <v>400</v>
      </c>
      <c r="G70" s="24"/>
      <c r="K70" s="1">
        <f>SUM(K61:K69)</f>
        <v>15</v>
      </c>
    </row>
    <row r="71" spans="1:12" ht="16.5" thickBot="1" x14ac:dyDescent="0.3">
      <c r="A71" s="10">
        <v>32</v>
      </c>
      <c r="B71" s="10">
        <f t="shared" si="5"/>
        <v>0.10666666666666667</v>
      </c>
      <c r="C71" s="10">
        <f>B71*1000</f>
        <v>106.66666666666667</v>
      </c>
      <c r="D71" s="10"/>
      <c r="E71" s="22">
        <f t="shared" si="6"/>
        <v>7.4550662132840531</v>
      </c>
      <c r="F71" s="23">
        <v>600</v>
      </c>
      <c r="G71" s="24"/>
    </row>
    <row r="72" spans="1:12" ht="16.5" thickBot="1" x14ac:dyDescent="0.3">
      <c r="A72" s="20" t="s">
        <v>12</v>
      </c>
      <c r="B72" s="20"/>
      <c r="C72" s="20"/>
      <c r="D72" s="10"/>
      <c r="E72" s="22"/>
      <c r="F72" s="23"/>
      <c r="G72" s="24"/>
    </row>
    <row r="73" spans="1:12" x14ac:dyDescent="0.25">
      <c r="E73" s="25"/>
      <c r="F73" s="26"/>
      <c r="G73" s="27"/>
    </row>
    <row r="74" spans="1:12" x14ac:dyDescent="0.25">
      <c r="E74" s="25"/>
      <c r="F74" s="26"/>
      <c r="G74" s="27"/>
    </row>
  </sheetData>
  <mergeCells count="27">
    <mergeCell ref="A58:C58"/>
    <mergeCell ref="E58:G58"/>
    <mergeCell ref="A72:C72"/>
    <mergeCell ref="A30:C30"/>
    <mergeCell ref="A4:A6"/>
    <mergeCell ref="B4:B6"/>
    <mergeCell ref="C4:C6"/>
    <mergeCell ref="A7:A9"/>
    <mergeCell ref="B7:B9"/>
    <mergeCell ref="A44:C44"/>
    <mergeCell ref="E30:G30"/>
    <mergeCell ref="C7:C9"/>
    <mergeCell ref="A10:A12"/>
    <mergeCell ref="B10:B12"/>
    <mergeCell ref="C10:C12"/>
    <mergeCell ref="A13:A15"/>
    <mergeCell ref="B13:B15"/>
    <mergeCell ref="C13:C15"/>
    <mergeCell ref="A22:A24"/>
    <mergeCell ref="B22:B24"/>
    <mergeCell ref="C22:C24"/>
    <mergeCell ref="A16:A18"/>
    <mergeCell ref="B16:B18"/>
    <mergeCell ref="C16:C18"/>
    <mergeCell ref="A19:A21"/>
    <mergeCell ref="B19:B21"/>
    <mergeCell ref="C19:C21"/>
  </mergeCells>
  <pageMargins left="0.7" right="0.7" top="0.75" bottom="0.75" header="0.3" footer="0.3"/>
  <pageSetup paperSize="9" orientation="portrait" r:id="rId1"/>
  <headerFooter>
    <oddFooter>&amp;C&amp;D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LNEC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Neves Correia dos Santos</dc:creator>
  <cp:lastModifiedBy>Ricardo Neves Correia dos Santos</cp:lastModifiedBy>
  <cp:lastPrinted>2018-07-10T16:32:43Z</cp:lastPrinted>
  <dcterms:created xsi:type="dcterms:W3CDTF">2018-07-10T10:47:01Z</dcterms:created>
  <dcterms:modified xsi:type="dcterms:W3CDTF">2018-07-18T15:50:08Z</dcterms:modified>
</cp:coreProperties>
</file>