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12450" windowHeight="10620" activeTab="1"/>
  </bookViews>
  <sheets>
    <sheet name="turbidity_ODL_#40" sheetId="1" r:id="rId1"/>
    <sheet name="turbidity_soilTest_#60" sheetId="4" r:id="rId2"/>
    <sheet name="pressure" sheetId="2" r:id="rId3"/>
    <sheet name="Sheet3" sheetId="3" r:id="rId4"/>
  </sheets>
  <definedNames>
    <definedName name="_xlnm.Print_Area" localSheetId="0">'turbidity_ODL_#40'!#REF!</definedName>
    <definedName name="_xlnm.Print_Area" localSheetId="1">'turbidity_soilTest_#60'!#REF!</definedName>
  </definedNames>
  <calcPr calcId="145621"/>
  <fileRecoveryPr repairLoad="1"/>
</workbook>
</file>

<file path=xl/calcChain.xml><?xml version="1.0" encoding="utf-8"?>
<calcChain xmlns="http://schemas.openxmlformats.org/spreadsheetml/2006/main">
  <c r="G8" i="4" l="1"/>
  <c r="G7" i="4"/>
  <c r="J4" i="4"/>
  <c r="B6" i="4"/>
  <c r="D6" i="4"/>
  <c r="C23" i="4"/>
  <c r="C22" i="4"/>
  <c r="D32" i="4"/>
  <c r="B32" i="4"/>
  <c r="C32" i="4"/>
  <c r="C31" i="4"/>
  <c r="C30" i="4"/>
  <c r="C29" i="4"/>
  <c r="C28" i="4"/>
  <c r="C27" i="4"/>
  <c r="C26" i="4"/>
  <c r="C25" i="4"/>
  <c r="C24" i="4"/>
  <c r="C21" i="4"/>
  <c r="C20" i="4"/>
  <c r="C19" i="4"/>
  <c r="C18" i="4"/>
  <c r="C17" i="4"/>
  <c r="C16" i="4"/>
  <c r="C15" i="4"/>
  <c r="C14" i="4"/>
  <c r="C13" i="4"/>
  <c r="C12" i="4"/>
  <c r="C11" i="4"/>
  <c r="C10" i="4"/>
  <c r="C8" i="4"/>
  <c r="C6" i="4"/>
  <c r="C7" i="4"/>
  <c r="C9" i="4"/>
  <c r="B7" i="4"/>
  <c r="B8" i="4" s="1"/>
  <c r="D7" i="4" l="1"/>
  <c r="B9" i="4"/>
  <c r="D8" i="4"/>
  <c r="D6" i="1"/>
  <c r="C22" i="2"/>
  <c r="B22" i="2"/>
  <c r="C19" i="2"/>
  <c r="B19" i="2"/>
  <c r="C16" i="2"/>
  <c r="B16" i="2"/>
  <c r="C13" i="2"/>
  <c r="B13" i="2"/>
  <c r="C10" i="2"/>
  <c r="B10" i="2"/>
  <c r="C7" i="2"/>
  <c r="B7" i="2"/>
  <c r="C4" i="2"/>
  <c r="B4" i="2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B6" i="1"/>
  <c r="B10" i="4" l="1"/>
  <c r="D9" i="4"/>
  <c r="B7" i="1"/>
  <c r="D7" i="1" s="1"/>
  <c r="B11" i="4" l="1"/>
  <c r="D10" i="4"/>
  <c r="B8" i="1"/>
  <c r="D8" i="1" s="1"/>
  <c r="D11" i="4" l="1"/>
  <c r="B12" i="4"/>
  <c r="B9" i="1"/>
  <c r="D9" i="1" s="1"/>
  <c r="B13" i="4" l="1"/>
  <c r="D12" i="4"/>
  <c r="B10" i="1"/>
  <c r="D10" i="1" s="1"/>
  <c r="D13" i="4" l="1"/>
  <c r="B14" i="4"/>
  <c r="B11" i="1"/>
  <c r="D11" i="1" s="1"/>
  <c r="B15" i="4" l="1"/>
  <c r="D14" i="4"/>
  <c r="B12" i="1"/>
  <c r="D12" i="1" s="1"/>
  <c r="D15" i="4" l="1"/>
  <c r="B16" i="4"/>
  <c r="B13" i="1"/>
  <c r="D13" i="1" s="1"/>
  <c r="B17" i="4" l="1"/>
  <c r="D16" i="4"/>
  <c r="B14" i="1"/>
  <c r="D14" i="1" s="1"/>
  <c r="D17" i="4" l="1"/>
  <c r="B18" i="4"/>
  <c r="B15" i="1"/>
  <c r="D15" i="1" s="1"/>
  <c r="B19" i="4" l="1"/>
  <c r="D18" i="4"/>
  <c r="B16" i="1"/>
  <c r="D16" i="1" s="1"/>
  <c r="D19" i="4" l="1"/>
  <c r="B20" i="4"/>
  <c r="B17" i="1"/>
  <c r="D17" i="1" s="1"/>
  <c r="B21" i="4" l="1"/>
  <c r="D20" i="4"/>
  <c r="B18" i="1"/>
  <c r="D18" i="1" s="1"/>
  <c r="D21" i="4" l="1"/>
  <c r="B22" i="4"/>
  <c r="B19" i="1"/>
  <c r="D19" i="1" s="1"/>
  <c r="B23" i="4" l="1"/>
  <c r="D22" i="4"/>
  <c r="B20" i="1"/>
  <c r="D20" i="1" s="1"/>
  <c r="D23" i="4" l="1"/>
  <c r="B24" i="4"/>
  <c r="B21" i="1"/>
  <c r="D21" i="1" s="1"/>
  <c r="B25" i="4" l="1"/>
  <c r="D24" i="4"/>
  <c r="B22" i="1"/>
  <c r="D22" i="1" s="1"/>
  <c r="D25" i="4" l="1"/>
  <c r="B26" i="4"/>
  <c r="B23" i="1"/>
  <c r="D23" i="1" s="1"/>
  <c r="D26" i="4" l="1"/>
  <c r="B27" i="4"/>
  <c r="B24" i="1"/>
  <c r="D24" i="1" s="1"/>
  <c r="D27" i="4" l="1"/>
  <c r="B28" i="4"/>
  <c r="D28" i="4" l="1"/>
  <c r="B29" i="4"/>
  <c r="D29" i="4" l="1"/>
  <c r="B30" i="4"/>
  <c r="D30" i="4" l="1"/>
  <c r="B31" i="4"/>
  <c r="D31" i="4" s="1"/>
</calcChain>
</file>

<file path=xl/comments1.xml><?xml version="1.0" encoding="utf-8"?>
<comments xmlns="http://schemas.openxmlformats.org/spreadsheetml/2006/main">
  <authors>
    <author>Ricardo Neves Correia dos Santos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Ricardo Neves Correia dos Santos:</t>
        </r>
        <r>
          <rPr>
            <sz val="9"/>
            <color indexed="81"/>
            <rFont val="Tahoma"/>
            <family val="2"/>
          </rPr>
          <t xml:space="preserve">
soil passing #40 sieve
</t>
        </r>
      </text>
    </comment>
  </commentList>
</comments>
</file>

<file path=xl/comments2.xml><?xml version="1.0" encoding="utf-8"?>
<comments xmlns="http://schemas.openxmlformats.org/spreadsheetml/2006/main">
  <authors>
    <author>Ricardo Neves Correia dos Santos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Ricardo Neves Correia dos Santos:</t>
        </r>
        <r>
          <rPr>
            <sz val="9"/>
            <color indexed="81"/>
            <rFont val="Tahoma"/>
            <family val="2"/>
          </rPr>
          <t xml:space="preserve">
soil passing #40 sieve
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Ricardo Neves Correia dos Santos:</t>
        </r>
        <r>
          <rPr>
            <sz val="9"/>
            <color indexed="81"/>
            <rFont val="Tahoma"/>
            <family val="2"/>
          </rPr>
          <t xml:space="preserve">
sujidade parasita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Ricardo Neves Correia dos Santos:</t>
        </r>
        <r>
          <rPr>
            <sz val="9"/>
            <color indexed="81"/>
            <rFont val="Tahoma"/>
            <family val="2"/>
          </rPr>
          <t xml:space="preserve">
tap water
</t>
        </r>
      </text>
    </comment>
  </commentList>
</comments>
</file>

<file path=xl/sharedStrings.xml><?xml version="1.0" encoding="utf-8"?>
<sst xmlns="http://schemas.openxmlformats.org/spreadsheetml/2006/main" count="29" uniqueCount="19">
  <si>
    <t>psi</t>
  </si>
  <si>
    <t>mmH2O</t>
  </si>
  <si>
    <t>mV_int</t>
  </si>
  <si>
    <t>mV_dwn</t>
  </si>
  <si>
    <t>mV_ups</t>
  </si>
  <si>
    <t>kPa_efect</t>
  </si>
  <si>
    <t>grams/liter</t>
  </si>
  <si>
    <t>measured</t>
  </si>
  <si>
    <t>analog number</t>
  </si>
  <si>
    <t xml:space="preserve"> grams</t>
  </si>
  <si>
    <t>ml</t>
  </si>
  <si>
    <t>soil tested</t>
  </si>
  <si>
    <t>cumulative</t>
  </si>
  <si>
    <t>grams</t>
  </si>
  <si>
    <t>water volume used:</t>
  </si>
  <si>
    <t>ln</t>
  </si>
  <si>
    <t>A</t>
  </si>
  <si>
    <t>Tb=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</si>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</sst>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8" fillId="3" borderId="5" applyNumberFormat="0" applyAlignment="0" applyProtection="0"/>
    <xf numFmtId="0" fontId="9" fillId="4" borderId="6" applyNumberFormat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2" xfId="3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2" xfId="2" applyFont="1" applyAlignment="1">
      <alignment horizontal="center" vertical="center"/>
    </xf>
    <xf numFmtId="1" fontId="5" fillId="0" borderId="2" xfId="2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8" fillId="3" borderId="5" xfId="5" applyAlignment="1">
      <alignment horizontal="center"/>
    </xf>
    <xf numFmtId="0" fontId="0" fillId="0" borderId="0" xfId="0" applyAlignment="1">
      <alignment horizontal="left"/>
    </xf>
    <xf numFmtId="0" fontId="8" fillId="3" borderId="5" xfId="5" applyAlignment="1">
      <alignment horizontal="right"/>
    </xf>
    <xf numFmtId="1" fontId="9" fillId="4" borderId="6" xfId="6" applyNumberFormat="1" applyAlignment="1">
      <alignment horizontal="center"/>
    </xf>
    <xf numFmtId="0" fontId="3" fillId="0" borderId="0" xfId="4" applyAlignment="1">
      <alignment horizontal="center"/>
    </xf>
    <xf numFmtId="0" fontId="3" fillId="0" borderId="2" xfId="2" applyAlignment="1">
      <alignment horizontal="center"/>
    </xf>
    <xf numFmtId="1" fontId="3" fillId="0" borderId="2" xfId="2" applyNumberFormat="1" applyAlignment="1">
      <alignment horizontal="center"/>
    </xf>
    <xf numFmtId="0" fontId="8" fillId="3" borderId="7" xfId="5" applyBorder="1" applyAlignment="1">
      <alignment horizontal="center"/>
    </xf>
    <xf numFmtId="1" fontId="9" fillId="4" borderId="8" xfId="6" applyNumberFormat="1" applyBorder="1" applyAlignment="1">
      <alignment horizontal="center"/>
    </xf>
    <xf numFmtId="0" fontId="8" fillId="3" borderId="9" xfId="5" applyBorder="1" applyAlignment="1">
      <alignment horizontal="center"/>
    </xf>
    <xf numFmtId="0" fontId="0" fillId="0" borderId="3" xfId="0" applyBorder="1" applyAlignment="1">
      <alignment horizontal="center"/>
    </xf>
    <xf numFmtId="1" fontId="9" fillId="4" borderId="10" xfId="6" applyNumberFormat="1" applyBorder="1" applyAlignment="1">
      <alignment horizontal="center"/>
    </xf>
    <xf numFmtId="0" fontId="0" fillId="0" borderId="0" xfId="0" applyAlignment="1">
      <alignment horizontal="right"/>
    </xf>
    <xf numFmtId="164" fontId="5" fillId="0" borderId="4" xfId="2" applyNumberFormat="1" applyFont="1" applyBorder="1" applyAlignment="1">
      <alignment horizontal="center" vertical="center"/>
    </xf>
    <xf numFmtId="164" fontId="5" fillId="0" borderId="0" xfId="2" applyNumberFormat="1" applyFont="1" applyBorder="1" applyAlignment="1">
      <alignment horizontal="center" vertical="center"/>
    </xf>
    <xf numFmtId="164" fontId="5" fillId="0" borderId="2" xfId="2" applyNumberFormat="1" applyFont="1" applyAlignment="1">
      <alignment horizontal="center" vertical="center"/>
    </xf>
    <xf numFmtId="1" fontId="5" fillId="0" borderId="4" xfId="2" applyNumberFormat="1" applyFont="1" applyBorder="1" applyAlignment="1">
      <alignment horizontal="center" vertical="center"/>
    </xf>
    <xf numFmtId="1" fontId="5" fillId="0" borderId="0" xfId="2" applyNumberFormat="1" applyFont="1" applyBorder="1" applyAlignment="1">
      <alignment horizontal="center" vertical="center"/>
    </xf>
    <xf numFmtId="1" fontId="5" fillId="0" borderId="2" xfId="2" applyNumberFormat="1" applyFont="1" applyAlignment="1">
      <alignment horizontal="center" vertical="center"/>
    </xf>
  </cellXfs>
  <cellStyles count="7">
    <cellStyle name="20% - Accent1" xfId="3" builtinId="30"/>
    <cellStyle name="Heading 1" xfId="1" builtinId="16"/>
    <cellStyle name="Heading 3" xfId="2" builtinId="18"/>
    <cellStyle name="Heading 4" xfId="4" builtinId="19"/>
    <cellStyle name="Input" xfId="5" builtinId="20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7379252453472"/>
          <c:y val="0.13180657243895566"/>
          <c:w val="0.81047018481099953"/>
          <c:h val="0.69997412269670545"/>
        </c:manualLayout>
      </c:layout>
      <c:scatterChart>
        <c:scatterStyle val="lineMarker"/>
        <c:varyColors val="0"/>
        <c:ser>
          <c:idx val="0"/>
          <c:order val="0"/>
          <c:tx>
            <c:v>turbidity_ODL#40</c:v>
          </c:tx>
          <c:spPr>
            <a:ln w="28575">
              <a:noFill/>
            </a:ln>
          </c:spPr>
          <c:trendline>
            <c:spPr>
              <a:ln w="19050">
                <a:solidFill>
                  <a:srgbClr val="C00000"/>
                </a:solidFill>
              </a:ln>
            </c:spPr>
            <c:trendlineType val="log"/>
            <c:backward val="100"/>
            <c:dispRSqr val="1"/>
            <c:dispEq val="1"/>
            <c:trendlineLbl>
              <c:layout>
                <c:manualLayout>
                  <c:x val="0.14424770565270861"/>
                  <c:y val="-0.2876410067423647"/>
                </c:manualLayout>
              </c:layout>
              <c:numFmt formatCode="General" sourceLinked="0"/>
            </c:trendlineLbl>
          </c:trendline>
          <c:xVal>
            <c:numRef>
              <c:f>'turbidity_ODL_#40'!$C$6:$C$25</c:f>
              <c:numCache>
                <c:formatCode>0</c:formatCode>
                <c:ptCount val="20"/>
                <c:pt idx="0">
                  <c:v>24971</c:v>
                </c:pt>
                <c:pt idx="1">
                  <c:v>23000</c:v>
                </c:pt>
                <c:pt idx="2">
                  <c:v>21030</c:v>
                </c:pt>
                <c:pt idx="3">
                  <c:v>18900</c:v>
                </c:pt>
                <c:pt idx="4">
                  <c:v>17102</c:v>
                </c:pt>
                <c:pt idx="5">
                  <c:v>15737.8</c:v>
                </c:pt>
                <c:pt idx="6">
                  <c:v>14458.833333333334</c:v>
                </c:pt>
                <c:pt idx="7">
                  <c:v>11934.571428571429</c:v>
                </c:pt>
                <c:pt idx="8">
                  <c:v>10092</c:v>
                </c:pt>
                <c:pt idx="9">
                  <c:v>8060.166666666667</c:v>
                </c:pt>
                <c:pt idx="10">
                  <c:v>6636</c:v>
                </c:pt>
                <c:pt idx="11">
                  <c:v>5493</c:v>
                </c:pt>
                <c:pt idx="12">
                  <c:v>4071.5</c:v>
                </c:pt>
                <c:pt idx="13">
                  <c:v>3425.6666666666665</c:v>
                </c:pt>
                <c:pt idx="14">
                  <c:v>2607.7142857142858</c:v>
                </c:pt>
                <c:pt idx="15">
                  <c:v>2105</c:v>
                </c:pt>
                <c:pt idx="16">
                  <c:v>1548.8</c:v>
                </c:pt>
                <c:pt idx="17">
                  <c:v>1334</c:v>
                </c:pt>
                <c:pt idx="18">
                  <c:v>895</c:v>
                </c:pt>
              </c:numCache>
            </c:numRef>
          </c:xVal>
          <c:yVal>
            <c:numRef>
              <c:f>'turbidity_ODL_#40'!$D$6:$D$25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0.75000000000000011</c:v>
                </c:pt>
                <c:pt idx="3">
                  <c:v>1</c:v>
                </c:pt>
                <c:pt idx="4">
                  <c:v>1.5000000000000002</c:v>
                </c:pt>
                <c:pt idx="5">
                  <c:v>2</c:v>
                </c:pt>
                <c:pt idx="6">
                  <c:v>2.5</c:v>
                </c:pt>
                <c:pt idx="7">
                  <c:v>3.5</c:v>
                </c:pt>
                <c:pt idx="8">
                  <c:v>4.4999999999999991</c:v>
                </c:pt>
                <c:pt idx="9">
                  <c:v>5.4999999999999991</c:v>
                </c:pt>
                <c:pt idx="10">
                  <c:v>6.4999999999999991</c:v>
                </c:pt>
                <c:pt idx="11">
                  <c:v>7.4999999999999991</c:v>
                </c:pt>
                <c:pt idx="12">
                  <c:v>8.7499999999999982</c:v>
                </c:pt>
                <c:pt idx="13">
                  <c:v>9.9999999999999982</c:v>
                </c:pt>
                <c:pt idx="14">
                  <c:v>11.25</c:v>
                </c:pt>
                <c:pt idx="15">
                  <c:v>12.5</c:v>
                </c:pt>
                <c:pt idx="16">
                  <c:v>13.75</c:v>
                </c:pt>
                <c:pt idx="17">
                  <c:v>15</c:v>
                </c:pt>
                <c:pt idx="18">
                  <c:v>17.5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50144"/>
        <c:axId val="40152064"/>
      </c:scatterChart>
      <c:valAx>
        <c:axId val="40150144"/>
        <c:scaling>
          <c:orientation val="minMax"/>
          <c:max val="3276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# analog (15bits)</a:t>
                </a:r>
              </a:p>
            </c:rich>
          </c:tx>
          <c:layout>
            <c:manualLayout>
              <c:xMode val="edge"/>
              <c:yMode val="edge"/>
              <c:x val="0.46414698162729656"/>
              <c:y val="0.912037037037037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40152064"/>
        <c:crosses val="autoZero"/>
        <c:crossBetween val="midCat"/>
      </c:valAx>
      <c:valAx>
        <c:axId val="4015206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turbidity (grams/)</a:t>
                </a:r>
              </a:p>
            </c:rich>
          </c:tx>
          <c:layout>
            <c:manualLayout>
              <c:xMode val="edge"/>
              <c:yMode val="edge"/>
              <c:x val="1.8885931469860125E-2"/>
              <c:y val="0.313288680025574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0150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7182272008645582"/>
          <c:y val="0.19790461224366812"/>
          <c:w val="0.47277865266841645"/>
          <c:h val="0.152777488057740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Turbidimeter </a:t>
            </a:r>
          </a:p>
          <a:p>
            <a:pPr>
              <a:defRPr/>
            </a:pPr>
            <a:r>
              <a:rPr lang="en-US"/>
              <a:t>Calibration</a:t>
            </a:r>
          </a:p>
        </c:rich>
      </c:tx>
      <c:layout>
        <c:manualLayout>
          <c:xMode val="edge"/>
          <c:yMode val="edge"/>
          <c:x val="0.35307830168057441"/>
          <c:y val="3.35348726367981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77379252453472"/>
          <c:y val="0.13180657243895566"/>
          <c:w val="0.81047018481099953"/>
          <c:h val="0.69997412269670545"/>
        </c:manualLayout>
      </c:layout>
      <c:scatterChart>
        <c:scatterStyle val="lineMarker"/>
        <c:varyColors val="0"/>
        <c:ser>
          <c:idx val="0"/>
          <c:order val="0"/>
          <c:tx>
            <c:v>Test_soil</c:v>
          </c:tx>
          <c:spPr>
            <a:ln w="28575">
              <a:noFill/>
            </a:ln>
          </c:spPr>
          <c:xVal>
            <c:numRef>
              <c:f>'turbidity_soilTest_#60'!$C$6:$C$32</c:f>
              <c:numCache>
                <c:formatCode>0</c:formatCode>
                <c:ptCount val="27"/>
                <c:pt idx="0">
                  <c:v>27603.599999999999</c:v>
                </c:pt>
                <c:pt idx="1">
                  <c:v>25595.200000000001</c:v>
                </c:pt>
                <c:pt idx="2">
                  <c:v>23722.400000000001</c:v>
                </c:pt>
                <c:pt idx="3">
                  <c:v>22490.799999999999</c:v>
                </c:pt>
                <c:pt idx="4">
                  <c:v>20808.833333333332</c:v>
                </c:pt>
                <c:pt idx="5">
                  <c:v>19433.333333333332</c:v>
                </c:pt>
                <c:pt idx="6">
                  <c:v>17197</c:v>
                </c:pt>
                <c:pt idx="7">
                  <c:v>15390.375</c:v>
                </c:pt>
                <c:pt idx="8">
                  <c:v>13685.222222222223</c:v>
                </c:pt>
                <c:pt idx="9">
                  <c:v>12108.5</c:v>
                </c:pt>
                <c:pt idx="10">
                  <c:v>10443.09090909091</c:v>
                </c:pt>
                <c:pt idx="11">
                  <c:v>8695.0769230769238</c:v>
                </c:pt>
                <c:pt idx="12">
                  <c:v>7080.9</c:v>
                </c:pt>
                <c:pt idx="13">
                  <c:v>5723.9</c:v>
                </c:pt>
                <c:pt idx="14">
                  <c:v>4666.4666666666662</c:v>
                </c:pt>
                <c:pt idx="15">
                  <c:v>4080.7333333333331</c:v>
                </c:pt>
                <c:pt idx="16">
                  <c:v>3232</c:v>
                </c:pt>
                <c:pt idx="17">
                  <c:v>2591.4375</c:v>
                </c:pt>
                <c:pt idx="18">
                  <c:v>2178.818181818182</c:v>
                </c:pt>
                <c:pt idx="19">
                  <c:v>1907.8888888888889</c:v>
                </c:pt>
                <c:pt idx="20">
                  <c:v>1649.2307692307693</c:v>
                </c:pt>
                <c:pt idx="21">
                  <c:v>1309.1818181818182</c:v>
                </c:pt>
                <c:pt idx="22">
                  <c:v>1005.4545454545455</c:v>
                </c:pt>
                <c:pt idx="23">
                  <c:v>747</c:v>
                </c:pt>
                <c:pt idx="24">
                  <c:v>620.08333333333337</c:v>
                </c:pt>
                <c:pt idx="25">
                  <c:v>503.90909090909093</c:v>
                </c:pt>
                <c:pt idx="26">
                  <c:v>447.5</c:v>
                </c:pt>
              </c:numCache>
            </c:numRef>
          </c:xVal>
          <c:yVal>
            <c:numRef>
              <c:f>'turbidity_soilTest_#60'!$D$6:$D$32</c:f>
              <c:numCache>
                <c:formatCode>General</c:formatCode>
                <c:ptCount val="2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0.75000000000000011</c:v>
                </c:pt>
                <c:pt idx="4">
                  <c:v>1</c:v>
                </c:pt>
                <c:pt idx="5">
                  <c:v>1.25</c:v>
                </c:pt>
                <c:pt idx="6">
                  <c:v>1.75</c:v>
                </c:pt>
                <c:pt idx="7">
                  <c:v>2.2499999999999996</c:v>
                </c:pt>
                <c:pt idx="8">
                  <c:v>2.7499999999999996</c:v>
                </c:pt>
                <c:pt idx="9">
                  <c:v>3.2499999999999996</c:v>
                </c:pt>
                <c:pt idx="10">
                  <c:v>3.7499999999999996</c:v>
                </c:pt>
                <c:pt idx="11">
                  <c:v>4.75</c:v>
                </c:pt>
                <c:pt idx="12">
                  <c:v>5.75</c:v>
                </c:pt>
                <c:pt idx="13">
                  <c:v>6.7499999999999991</c:v>
                </c:pt>
                <c:pt idx="14">
                  <c:v>7.7499999999999991</c:v>
                </c:pt>
                <c:pt idx="15">
                  <c:v>8.7499999999999982</c:v>
                </c:pt>
                <c:pt idx="16">
                  <c:v>9.9999999999999982</c:v>
                </c:pt>
                <c:pt idx="17">
                  <c:v>11.25</c:v>
                </c:pt>
                <c:pt idx="18">
                  <c:v>12.5</c:v>
                </c:pt>
                <c:pt idx="19">
                  <c:v>13.75</c:v>
                </c:pt>
                <c:pt idx="20">
                  <c:v>15</c:v>
                </c:pt>
                <c:pt idx="21">
                  <c:v>17.5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v>calib</c:v>
          </c:tx>
          <c:spPr>
            <a:ln w="28575">
              <a:noFill/>
            </a:ln>
          </c:spPr>
          <c:trendline>
            <c:trendlineType val="log"/>
            <c:backward val="10000"/>
            <c:dispRSqr val="1"/>
            <c:dispEq val="1"/>
            <c:trendlineLbl>
              <c:layout>
                <c:manualLayout>
                  <c:x val="2.113563849011001E-2"/>
                  <c:y val="-0.19709131189345944"/>
                </c:manualLayout>
              </c:layout>
              <c:numFmt formatCode="General" sourceLinked="0"/>
            </c:trendlineLbl>
          </c:trendline>
          <c:xVal>
            <c:numRef>
              <c:f>'turbidity_soilTest_#60'!$C$6:$C$20</c:f>
              <c:numCache>
                <c:formatCode>0</c:formatCode>
                <c:ptCount val="15"/>
                <c:pt idx="0">
                  <c:v>27603.599999999999</c:v>
                </c:pt>
                <c:pt idx="1">
                  <c:v>25595.200000000001</c:v>
                </c:pt>
                <c:pt idx="2">
                  <c:v>23722.400000000001</c:v>
                </c:pt>
                <c:pt idx="3">
                  <c:v>22490.799999999999</c:v>
                </c:pt>
                <c:pt idx="4">
                  <c:v>20808.833333333332</c:v>
                </c:pt>
                <c:pt idx="5">
                  <c:v>19433.333333333332</c:v>
                </c:pt>
                <c:pt idx="6">
                  <c:v>17197</c:v>
                </c:pt>
                <c:pt idx="7">
                  <c:v>15390.375</c:v>
                </c:pt>
                <c:pt idx="8">
                  <c:v>13685.222222222223</c:v>
                </c:pt>
                <c:pt idx="9">
                  <c:v>12108.5</c:v>
                </c:pt>
                <c:pt idx="10">
                  <c:v>10443.09090909091</c:v>
                </c:pt>
                <c:pt idx="11">
                  <c:v>8695.0769230769238</c:v>
                </c:pt>
                <c:pt idx="12">
                  <c:v>7080.9</c:v>
                </c:pt>
                <c:pt idx="13">
                  <c:v>5723.9</c:v>
                </c:pt>
                <c:pt idx="14">
                  <c:v>4666.4666666666662</c:v>
                </c:pt>
              </c:numCache>
            </c:numRef>
          </c:xVal>
          <c:yVal>
            <c:numRef>
              <c:f>'turbidity_soilTest_#60'!$D$6:$D$20</c:f>
              <c:numCache>
                <c:formatCode>General</c:formatCode>
                <c:ptCount val="1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0.75000000000000011</c:v>
                </c:pt>
                <c:pt idx="4">
                  <c:v>1</c:v>
                </c:pt>
                <c:pt idx="5">
                  <c:v>1.25</c:v>
                </c:pt>
                <c:pt idx="6">
                  <c:v>1.75</c:v>
                </c:pt>
                <c:pt idx="7">
                  <c:v>2.2499999999999996</c:v>
                </c:pt>
                <c:pt idx="8">
                  <c:v>2.7499999999999996</c:v>
                </c:pt>
                <c:pt idx="9">
                  <c:v>3.2499999999999996</c:v>
                </c:pt>
                <c:pt idx="10">
                  <c:v>3.7499999999999996</c:v>
                </c:pt>
                <c:pt idx="11">
                  <c:v>4.75</c:v>
                </c:pt>
                <c:pt idx="12">
                  <c:v>5.75</c:v>
                </c:pt>
                <c:pt idx="13">
                  <c:v>6.7499999999999991</c:v>
                </c:pt>
                <c:pt idx="14">
                  <c:v>7.7499999999999991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38048"/>
        <c:axId val="44739968"/>
      </c:scatterChart>
      <c:valAx>
        <c:axId val="44738048"/>
        <c:scaling>
          <c:orientation val="minMax"/>
          <c:max val="250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# analog (15bits)</a:t>
                </a:r>
              </a:p>
            </c:rich>
          </c:tx>
          <c:layout>
            <c:manualLayout>
              <c:xMode val="edge"/>
              <c:yMode val="edge"/>
              <c:x val="0.46414698162729656"/>
              <c:y val="0.912037037037037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44739968"/>
        <c:crosses val="autoZero"/>
        <c:crossBetween val="midCat"/>
      </c:valAx>
      <c:valAx>
        <c:axId val="44739968"/>
        <c:scaling>
          <c:orientation val="minMax"/>
          <c:min val="1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turbidity (grams/)</a:t>
                </a:r>
              </a:p>
            </c:rich>
          </c:tx>
          <c:layout>
            <c:manualLayout>
              <c:xMode val="edge"/>
              <c:yMode val="edge"/>
              <c:x val="1.8885931469860125E-2"/>
              <c:y val="0.313288680025574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4738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76361548323586"/>
          <c:y val="0.2482069075236279"/>
          <c:w val="0.28419197842827121"/>
          <c:h val="0.148585561124896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691661</xdr:colOff>
      <xdr:row>7</xdr:row>
      <xdr:rowOff>6594</xdr:rowOff>
    </xdr:from>
    <xdr:to>
      <xdr:col>10</xdr:col>
      <xdr:colOff>565638</xdr:colOff>
      <xdr:row>22</xdr:row>
      <xdr:rowOff>178776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486757</xdr:colOff>
      <xdr:row>11</xdr:row>
      <xdr:rowOff>72107</xdr:rowOff>
    </xdr:from>
    <xdr:to>
      <xdr:col>16</xdr:col>
      <xdr:colOff>175345</xdr:colOff>
      <xdr:row>27</xdr:row>
      <xdr:rowOff>53789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24"/>
  <sheetViews>
    <sheetView zoomScaleNormal="100" zoomScaleSheetLayoutView="85" workbookViewId="0">
      <selection activeCell="D34" sqref="D34"/>
    </sheetView>
  </sheetViews>
  <sheetFormatPr defaultRowHeight="15" x14ac:dyDescent="0.25"/>
  <cols>
    <col min="1" max="1" width="19.42578125" style="1" bestFit="1" customWidth="1"/>
    <col min="2" max="2" width="15.7109375" style="1" customWidth="1"/>
    <col min="3" max="3" width="18" style="1" customWidth="1"/>
    <col min="4" max="4" width="15.5703125" style="1" customWidth="1"/>
    <col min="5" max="5" width="14.5703125" style="1" customWidth="1"/>
    <col min="6" max="7" width="14.28515625" style="1" customWidth="1"/>
    <col min="8" max="16384" width="9.140625" style="1"/>
  </cols>
  <sheetData>
    <row r="2" spans="1:5" ht="15.75" thickBot="1" x14ac:dyDescent="0.3">
      <c r="A2" s="15" t="s">
        <v>14</v>
      </c>
      <c r="B2" s="12">
        <v>400</v>
      </c>
      <c r="C2" s="11" t="s">
        <v>10</v>
      </c>
    </row>
    <row r="4" spans="1:5" x14ac:dyDescent="0.25">
      <c r="A4" s="14" t="s">
        <v>11</v>
      </c>
      <c r="B4" s="14" t="s">
        <v>12</v>
      </c>
      <c r="C4" s="14" t="s">
        <v>7</v>
      </c>
      <c r="D4" s="14"/>
    </row>
    <row r="5" spans="1:5" ht="15.75" thickBot="1" x14ac:dyDescent="0.3">
      <c r="A5" s="15" t="s">
        <v>9</v>
      </c>
      <c r="B5" s="15" t="s">
        <v>13</v>
      </c>
      <c r="C5" s="15" t="s">
        <v>8</v>
      </c>
      <c r="D5" s="15" t="s">
        <v>6</v>
      </c>
      <c r="E5" s="9"/>
    </row>
    <row r="6" spans="1:5" x14ac:dyDescent="0.25">
      <c r="A6" s="10">
        <v>0.1</v>
      </c>
      <c r="B6" s="1">
        <f>A6</f>
        <v>0.1</v>
      </c>
      <c r="C6" s="13">
        <v>24971</v>
      </c>
      <c r="D6" s="1">
        <f t="shared" ref="D6:D24" si="0">B6*1000/400</f>
        <v>0.25</v>
      </c>
      <c r="E6" s="8"/>
    </row>
    <row r="7" spans="1:5" x14ac:dyDescent="0.25">
      <c r="A7" s="10">
        <v>0.1</v>
      </c>
      <c r="B7" s="1">
        <f t="shared" ref="B7:B24" si="1">B6+A7</f>
        <v>0.2</v>
      </c>
      <c r="C7" s="13">
        <v>23000</v>
      </c>
      <c r="D7" s="1">
        <f t="shared" si="0"/>
        <v>0.5</v>
      </c>
      <c r="E7" s="8"/>
    </row>
    <row r="8" spans="1:5" x14ac:dyDescent="0.25">
      <c r="A8" s="10">
        <v>0.1</v>
      </c>
      <c r="B8" s="1">
        <f t="shared" si="1"/>
        <v>0.30000000000000004</v>
      </c>
      <c r="C8" s="13">
        <v>21030</v>
      </c>
      <c r="D8" s="1">
        <f t="shared" si="0"/>
        <v>0.75000000000000011</v>
      </c>
      <c r="E8" s="8"/>
    </row>
    <row r="9" spans="1:5" x14ac:dyDescent="0.25">
      <c r="A9" s="10">
        <v>0.1</v>
      </c>
      <c r="B9" s="1">
        <f t="shared" si="1"/>
        <v>0.4</v>
      </c>
      <c r="C9" s="13">
        <v>18900</v>
      </c>
      <c r="D9" s="1">
        <f t="shared" si="0"/>
        <v>1</v>
      </c>
      <c r="E9" s="8"/>
    </row>
    <row r="10" spans="1:5" x14ac:dyDescent="0.25">
      <c r="A10" s="10">
        <v>0.2</v>
      </c>
      <c r="B10" s="1">
        <f t="shared" si="1"/>
        <v>0.60000000000000009</v>
      </c>
      <c r="C10" s="13">
        <f>(17190+17164+16962+17092)/4</f>
        <v>17102</v>
      </c>
      <c r="D10" s="1">
        <f t="shared" si="0"/>
        <v>1.5000000000000002</v>
      </c>
      <c r="E10" s="8"/>
    </row>
    <row r="11" spans="1:5" x14ac:dyDescent="0.25">
      <c r="A11" s="10">
        <v>0.2</v>
      </c>
      <c r="B11" s="1">
        <f t="shared" si="1"/>
        <v>0.8</v>
      </c>
      <c r="C11" s="13">
        <f>AVERAGE(15931,15525,15646,15700,15887)</f>
        <v>15737.8</v>
      </c>
      <c r="D11" s="1">
        <f t="shared" si="0"/>
        <v>2</v>
      </c>
      <c r="E11" s="8"/>
    </row>
    <row r="12" spans="1:5" x14ac:dyDescent="0.25">
      <c r="A12" s="10">
        <v>0.2</v>
      </c>
      <c r="B12" s="1">
        <f t="shared" si="1"/>
        <v>1</v>
      </c>
      <c r="C12" s="13">
        <f>AVERAGE(14338,14923,14497,14826,14165,14004)</f>
        <v>14458.833333333334</v>
      </c>
      <c r="D12" s="1">
        <f t="shared" si="0"/>
        <v>2.5</v>
      </c>
      <c r="E12" s="8"/>
    </row>
    <row r="13" spans="1:5" x14ac:dyDescent="0.25">
      <c r="A13" s="10">
        <v>0.4</v>
      </c>
      <c r="B13" s="1">
        <f t="shared" si="1"/>
        <v>1.4</v>
      </c>
      <c r="C13" s="13">
        <f>AVERAGE(12271,12076,11432,12390,11981,11883,11509)</f>
        <v>11934.571428571429</v>
      </c>
      <c r="D13" s="1">
        <f t="shared" si="0"/>
        <v>3.5</v>
      </c>
      <c r="E13" s="8"/>
    </row>
    <row r="14" spans="1:5" x14ac:dyDescent="0.25">
      <c r="A14" s="10">
        <v>0.4</v>
      </c>
      <c r="B14" s="1">
        <f t="shared" si="1"/>
        <v>1.7999999999999998</v>
      </c>
      <c r="C14" s="13">
        <f>AVERAGE(10493,10032,10434,10142,9794,9782,9881,10178)</f>
        <v>10092</v>
      </c>
      <c r="D14" s="1">
        <f t="shared" si="0"/>
        <v>4.4999999999999991</v>
      </c>
      <c r="E14" s="8"/>
    </row>
    <row r="15" spans="1:5" x14ac:dyDescent="0.25">
      <c r="A15" s="10">
        <v>0.4</v>
      </c>
      <c r="B15" s="1">
        <f t="shared" si="1"/>
        <v>2.1999999999999997</v>
      </c>
      <c r="C15" s="13">
        <f>AVERAGE(8157,8402,7866,8100,7800,8036)</f>
        <v>8060.166666666667</v>
      </c>
      <c r="D15" s="1">
        <f t="shared" si="0"/>
        <v>5.4999999999999991</v>
      </c>
      <c r="E15" s="8"/>
    </row>
    <row r="16" spans="1:5" x14ac:dyDescent="0.25">
      <c r="A16" s="10">
        <v>0.4</v>
      </c>
      <c r="B16" s="1">
        <f t="shared" si="1"/>
        <v>2.5999999999999996</v>
      </c>
      <c r="C16" s="13">
        <f>AVERAGE(7202,7003,6497,6375,6374,6352,6649)</f>
        <v>6636</v>
      </c>
      <c r="D16" s="1">
        <f t="shared" si="0"/>
        <v>6.4999999999999991</v>
      </c>
      <c r="E16" s="8"/>
    </row>
    <row r="17" spans="1:5" x14ac:dyDescent="0.25">
      <c r="A17" s="10">
        <v>0.4</v>
      </c>
      <c r="B17" s="1">
        <f t="shared" si="1"/>
        <v>2.9999999999999996</v>
      </c>
      <c r="C17" s="13">
        <f>AVERAGE(5746,5369,5286,5464,5708,5385)</f>
        <v>5493</v>
      </c>
      <c r="D17" s="1">
        <f t="shared" si="0"/>
        <v>7.4999999999999991</v>
      </c>
      <c r="E17" s="8"/>
    </row>
    <row r="18" spans="1:5" x14ac:dyDescent="0.25">
      <c r="A18" s="10">
        <v>0.5</v>
      </c>
      <c r="B18" s="1">
        <f t="shared" si="1"/>
        <v>3.4999999999999996</v>
      </c>
      <c r="C18" s="13">
        <f>AVERAGE(4210,4056,3922,4070,4238,3933)</f>
        <v>4071.5</v>
      </c>
      <c r="D18" s="1">
        <f t="shared" si="0"/>
        <v>8.7499999999999982</v>
      </c>
      <c r="E18" s="8"/>
    </row>
    <row r="19" spans="1:5" x14ac:dyDescent="0.25">
      <c r="A19" s="10">
        <v>0.5</v>
      </c>
      <c r="B19" s="1">
        <f t="shared" si="1"/>
        <v>3.9999999999999996</v>
      </c>
      <c r="C19" s="13">
        <f>AVERAGE(3560,3541,3434,3386,3307,3326)</f>
        <v>3425.6666666666665</v>
      </c>
      <c r="D19" s="1">
        <f t="shared" si="0"/>
        <v>9.9999999999999982</v>
      </c>
      <c r="E19" s="8"/>
    </row>
    <row r="20" spans="1:5" x14ac:dyDescent="0.25">
      <c r="A20" s="10">
        <v>0.5</v>
      </c>
      <c r="B20" s="1">
        <f t="shared" si="1"/>
        <v>4.5</v>
      </c>
      <c r="C20" s="13">
        <f>AVERAGE(2722,2604,2738,2603,2574,2492,2521)</f>
        <v>2607.7142857142858</v>
      </c>
      <c r="D20" s="1">
        <f t="shared" si="0"/>
        <v>11.25</v>
      </c>
      <c r="E20" s="8"/>
    </row>
    <row r="21" spans="1:5" x14ac:dyDescent="0.25">
      <c r="A21" s="10">
        <v>0.5</v>
      </c>
      <c r="B21" s="1">
        <f t="shared" si="1"/>
        <v>5</v>
      </c>
      <c r="C21" s="13">
        <f>AVERAGE(2074,2109,2118,2166,2058)</f>
        <v>2105</v>
      </c>
      <c r="D21" s="1">
        <f t="shared" si="0"/>
        <v>12.5</v>
      </c>
      <c r="E21" s="8"/>
    </row>
    <row r="22" spans="1:5" x14ac:dyDescent="0.25">
      <c r="A22" s="10">
        <v>0.5</v>
      </c>
      <c r="B22" s="1">
        <f t="shared" si="1"/>
        <v>5.5</v>
      </c>
      <c r="C22" s="13">
        <f>AVERAGE(1493,1589,1548,1587,1527)</f>
        <v>1548.8</v>
      </c>
      <c r="D22" s="1">
        <f t="shared" si="0"/>
        <v>13.75</v>
      </c>
      <c r="E22" s="8"/>
    </row>
    <row r="23" spans="1:5" x14ac:dyDescent="0.25">
      <c r="A23" s="10">
        <v>0.5</v>
      </c>
      <c r="B23" s="1">
        <f t="shared" si="1"/>
        <v>6</v>
      </c>
      <c r="C23" s="13">
        <f>AVERAGE(1287,1293,1403,1343,1344)</f>
        <v>1334</v>
      </c>
      <c r="D23" s="1">
        <f t="shared" si="0"/>
        <v>15</v>
      </c>
      <c r="E23" s="8"/>
    </row>
    <row r="24" spans="1:5" x14ac:dyDescent="0.25">
      <c r="A24" s="10">
        <v>1</v>
      </c>
      <c r="B24" s="1">
        <f t="shared" si="1"/>
        <v>7</v>
      </c>
      <c r="C24" s="13">
        <f>AVERAGE(828,910,882,857,951,942)</f>
        <v>895</v>
      </c>
      <c r="D24" s="1">
        <f t="shared" si="0"/>
        <v>17.5</v>
      </c>
      <c r="E24" s="8"/>
    </row>
  </sheetData>
  <pageMargins left="0.7" right="0.7" top="0.75" bottom="0.75" header="0.3" footer="0.3"/>
  <pageSetup paperSize="9" orientation="portrait" r:id="rId1"/>
  <headerFooter>
    <oddFooter>&amp;C&amp;D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32"/>
  <sheetViews>
    <sheetView tabSelected="1" zoomScale="145" zoomScaleNormal="145" zoomScaleSheetLayoutView="85" workbookViewId="0">
      <selection activeCell="E15" sqref="E15"/>
    </sheetView>
  </sheetViews>
  <sheetFormatPr defaultRowHeight="15" x14ac:dyDescent="0.25"/>
  <cols>
    <col min="1" max="1" width="19.42578125" style="1" bestFit="1" customWidth="1"/>
    <col min="2" max="2" width="15.7109375" style="1" customWidth="1"/>
    <col min="3" max="3" width="18" style="1" customWidth="1"/>
    <col min="4" max="4" width="15.5703125" style="1" customWidth="1"/>
    <col min="5" max="5" width="14.5703125" style="1" customWidth="1"/>
    <col min="6" max="6" width="14.28515625" style="1" customWidth="1"/>
    <col min="7" max="7" width="10.28515625" style="1" customWidth="1"/>
    <col min="8" max="8" width="4" style="1" customWidth="1"/>
    <col min="9" max="9" width="2.28515625" style="1" bestFit="1" customWidth="1"/>
    <col min="10" max="10" width="5.140625" style="1" customWidth="1"/>
    <col min="11" max="11" width="7" style="1" customWidth="1"/>
    <col min="12" max="16384" width="9.140625" style="1"/>
  </cols>
  <sheetData>
    <row r="2" spans="1:11" ht="15.75" thickBot="1" x14ac:dyDescent="0.3">
      <c r="A2" s="15" t="s">
        <v>14</v>
      </c>
      <c r="B2" s="12">
        <v>400</v>
      </c>
      <c r="C2" s="11" t="s">
        <v>10</v>
      </c>
    </row>
    <row r="4" spans="1:11" x14ac:dyDescent="0.25">
      <c r="A4" s="14" t="s">
        <v>11</v>
      </c>
      <c r="B4" s="14" t="s">
        <v>12</v>
      </c>
      <c r="C4" s="14" t="s">
        <v>7</v>
      </c>
      <c r="D4" s="14"/>
      <c r="F4" s="22" t="s">
        <v>17</v>
      </c>
      <c r="G4" s="1">
        <v>-4.3369999999999997</v>
      </c>
      <c r="H4" s="22" t="s">
        <v>15</v>
      </c>
      <c r="I4" s="11" t="s">
        <v>16</v>
      </c>
      <c r="J4" s="1" t="str">
        <f>"+"</f>
        <v>+</v>
      </c>
      <c r="K4" s="1">
        <v>44.155000000000001</v>
      </c>
    </row>
    <row r="5" spans="1:11" ht="15.75" thickBot="1" x14ac:dyDescent="0.3">
      <c r="A5" s="15" t="s">
        <v>9</v>
      </c>
      <c r="B5" s="15" t="s">
        <v>13</v>
      </c>
      <c r="C5" s="15" t="s">
        <v>8</v>
      </c>
      <c r="D5" s="15" t="s">
        <v>6</v>
      </c>
      <c r="E5" s="9"/>
    </row>
    <row r="6" spans="1:11" ht="15.75" thickBot="1" x14ac:dyDescent="0.3">
      <c r="A6" s="15">
        <v>0.05</v>
      </c>
      <c r="B6" s="15">
        <f>A6</f>
        <v>0.05</v>
      </c>
      <c r="C6" s="16">
        <f>AVERAGE(27614,27607,27612,27606,27579)</f>
        <v>27603.599999999999</v>
      </c>
      <c r="D6" s="1">
        <f t="shared" ref="D6:D25" si="0">B6*1000/400</f>
        <v>0.125</v>
      </c>
      <c r="E6" s="9"/>
      <c r="F6" s="22" t="s">
        <v>16</v>
      </c>
      <c r="G6" s="22" t="s">
        <v>18</v>
      </c>
    </row>
    <row r="7" spans="1:11" x14ac:dyDescent="0.25">
      <c r="A7" s="10">
        <v>0.1</v>
      </c>
      <c r="B7" s="1">
        <f>A7</f>
        <v>0.1</v>
      </c>
      <c r="C7" s="13">
        <f>AVERAGE(25906,25666,25712,25447,25245)</f>
        <v>25595.200000000001</v>
      </c>
      <c r="D7" s="1">
        <f t="shared" si="0"/>
        <v>0.25</v>
      </c>
      <c r="E7" s="8"/>
      <c r="F7" s="22">
        <v>27000</v>
      </c>
      <c r="G7" s="1">
        <f>$G$4*LN(F7)+$K$4</f>
        <v>-9.797913280630155E-2</v>
      </c>
    </row>
    <row r="8" spans="1:11" x14ac:dyDescent="0.25">
      <c r="A8" s="10">
        <v>0.1</v>
      </c>
      <c r="B8" s="1">
        <f t="shared" ref="B8:B25" si="1">B7+A8</f>
        <v>0.2</v>
      </c>
      <c r="C8" s="13">
        <f>AVERAGE(23600,23873,23971,23514,23654)</f>
        <v>23722.400000000001</v>
      </c>
      <c r="D8" s="1">
        <f t="shared" si="0"/>
        <v>0.5</v>
      </c>
      <c r="E8" s="8"/>
      <c r="F8" s="22">
        <v>1900</v>
      </c>
      <c r="G8" s="1">
        <f>$G$4*LN(F8)+$K$4</f>
        <v>11.412345050724795</v>
      </c>
    </row>
    <row r="9" spans="1:11" x14ac:dyDescent="0.25">
      <c r="A9" s="10">
        <v>0.1</v>
      </c>
      <c r="B9" s="1">
        <f t="shared" si="1"/>
        <v>0.30000000000000004</v>
      </c>
      <c r="C9" s="13">
        <f>AVERAGE(22480,22237,22505,22754,22478)</f>
        <v>22490.799999999999</v>
      </c>
      <c r="D9" s="1">
        <f t="shared" si="0"/>
        <v>0.75000000000000011</v>
      </c>
      <c r="E9" s="8"/>
    </row>
    <row r="10" spans="1:11" x14ac:dyDescent="0.25">
      <c r="A10" s="10">
        <v>0.1</v>
      </c>
      <c r="B10" s="1">
        <f t="shared" si="1"/>
        <v>0.4</v>
      </c>
      <c r="C10" s="13">
        <f>AVERAGE(21102,20758,20478,20888,21021,20606)</f>
        <v>20808.833333333332</v>
      </c>
      <c r="D10" s="1">
        <f t="shared" si="0"/>
        <v>1</v>
      </c>
      <c r="E10" s="8"/>
    </row>
    <row r="11" spans="1:11" x14ac:dyDescent="0.25">
      <c r="A11" s="10">
        <v>0.1</v>
      </c>
      <c r="B11" s="1">
        <f t="shared" si="1"/>
        <v>0.5</v>
      </c>
      <c r="C11" s="13">
        <f>AVERAGE(19032,19376,19951,19682,19508,19051)</f>
        <v>19433.333333333332</v>
      </c>
      <c r="D11" s="1">
        <f t="shared" si="0"/>
        <v>1.25</v>
      </c>
      <c r="E11" s="8"/>
    </row>
    <row r="12" spans="1:11" x14ac:dyDescent="0.25">
      <c r="A12" s="10">
        <v>0.2</v>
      </c>
      <c r="B12" s="1">
        <f t="shared" si="1"/>
        <v>0.7</v>
      </c>
      <c r="C12" s="13">
        <f>AVERAGE(17443,17133,17403,16980,17281,16942)</f>
        <v>17197</v>
      </c>
      <c r="D12" s="1">
        <f t="shared" si="0"/>
        <v>1.75</v>
      </c>
      <c r="E12" s="8"/>
    </row>
    <row r="13" spans="1:11" x14ac:dyDescent="0.25">
      <c r="A13" s="10">
        <v>0.2</v>
      </c>
      <c r="B13" s="1">
        <f t="shared" si="1"/>
        <v>0.89999999999999991</v>
      </c>
      <c r="C13" s="13">
        <f>AVERAGE(15989,15607,15597,15312,15278,15292,15046,15002)</f>
        <v>15390.375</v>
      </c>
      <c r="D13" s="1">
        <f t="shared" si="0"/>
        <v>2.2499999999999996</v>
      </c>
      <c r="E13" s="8"/>
    </row>
    <row r="14" spans="1:11" x14ac:dyDescent="0.25">
      <c r="A14" s="10">
        <v>0.2</v>
      </c>
      <c r="B14" s="1">
        <f t="shared" si="1"/>
        <v>1.0999999999999999</v>
      </c>
      <c r="C14" s="13">
        <f>AVERAGE(13836,14303,13680,13955,13248,13576,13506,13707,13356)</f>
        <v>13685.222222222223</v>
      </c>
      <c r="D14" s="1">
        <f t="shared" si="0"/>
        <v>2.7499999999999996</v>
      </c>
      <c r="E14" s="8"/>
    </row>
    <row r="15" spans="1:11" x14ac:dyDescent="0.25">
      <c r="A15" s="10">
        <v>0.2</v>
      </c>
      <c r="B15" s="1">
        <f t="shared" si="1"/>
        <v>1.2999999999999998</v>
      </c>
      <c r="C15" s="13">
        <f>AVERAGE(12158,12513,12231,12027,12148,12061,11767,12177,12060,11943)</f>
        <v>12108.5</v>
      </c>
      <c r="D15" s="1">
        <f t="shared" si="0"/>
        <v>3.2499999999999996</v>
      </c>
      <c r="E15" s="8"/>
    </row>
    <row r="16" spans="1:11" x14ac:dyDescent="0.25">
      <c r="A16" s="10">
        <v>0.2</v>
      </c>
      <c r="B16" s="1">
        <f t="shared" si="1"/>
        <v>1.4999999999999998</v>
      </c>
      <c r="C16" s="13">
        <f>AVERAGE(10313,10184,10732,10596,10497,10405,10459,10869,10332,10069,10418)</f>
        <v>10443.09090909091</v>
      </c>
      <c r="D16" s="1">
        <f t="shared" si="0"/>
        <v>3.7499999999999996</v>
      </c>
      <c r="E16" s="8"/>
    </row>
    <row r="17" spans="1:5" x14ac:dyDescent="0.25">
      <c r="A17" s="10">
        <v>0.4</v>
      </c>
      <c r="B17" s="1">
        <f t="shared" si="1"/>
        <v>1.9</v>
      </c>
      <c r="C17" s="13">
        <f>AVERAGE(8555,9041,8820,9041,8848,8723,8393,8738,8371,8452,8506,8805,8743)</f>
        <v>8695.0769230769238</v>
      </c>
      <c r="D17" s="1">
        <f t="shared" si="0"/>
        <v>4.75</v>
      </c>
      <c r="E17" s="8"/>
    </row>
    <row r="18" spans="1:5" x14ac:dyDescent="0.25">
      <c r="A18" s="10">
        <v>0.4</v>
      </c>
      <c r="B18" s="1">
        <f t="shared" si="1"/>
        <v>2.2999999999999998</v>
      </c>
      <c r="C18" s="13">
        <f>AVERAGE(7153,7022,7196,6963,7070,7010,7195,7039,7067,7094)</f>
        <v>7080.9</v>
      </c>
      <c r="D18" s="1">
        <f t="shared" si="0"/>
        <v>5.75</v>
      </c>
      <c r="E18" s="8"/>
    </row>
    <row r="19" spans="1:5" x14ac:dyDescent="0.25">
      <c r="A19" s="10">
        <v>0.4</v>
      </c>
      <c r="B19" s="1">
        <f t="shared" si="1"/>
        <v>2.6999999999999997</v>
      </c>
      <c r="C19" s="13">
        <f>AVERAGE(5938,5671,5825,5599,5774,5674,5788,5914,5627,5429)</f>
        <v>5723.9</v>
      </c>
      <c r="D19" s="1">
        <f t="shared" si="0"/>
        <v>6.7499999999999991</v>
      </c>
      <c r="E19" s="8"/>
    </row>
    <row r="20" spans="1:5" x14ac:dyDescent="0.25">
      <c r="A20" s="10">
        <v>0.4</v>
      </c>
      <c r="B20" s="1">
        <f t="shared" si="1"/>
        <v>3.0999999999999996</v>
      </c>
      <c r="C20" s="13">
        <f>AVERAGE(4855,4774,4804,4702,4467,4844,4589,4791,4686,4650,4606,4559,4569,4597,4504)</f>
        <v>4666.4666666666662</v>
      </c>
      <c r="D20" s="1">
        <f t="shared" si="0"/>
        <v>7.7499999999999991</v>
      </c>
      <c r="E20" s="8"/>
    </row>
    <row r="21" spans="1:5" x14ac:dyDescent="0.25">
      <c r="A21" s="10">
        <v>0.4</v>
      </c>
      <c r="B21" s="1">
        <f t="shared" si="1"/>
        <v>3.4999999999999996</v>
      </c>
      <c r="C21" s="13">
        <f>AVERAGE(4234,4149,4143,4090,3981,4099,4263,4035,4048,4062,3978,4027,4078,4009,4015)</f>
        <v>4080.7333333333331</v>
      </c>
      <c r="D21" s="1">
        <f t="shared" si="0"/>
        <v>8.7499999999999982</v>
      </c>
      <c r="E21" s="8"/>
    </row>
    <row r="22" spans="1:5" x14ac:dyDescent="0.25">
      <c r="A22" s="10">
        <v>0.5</v>
      </c>
      <c r="B22" s="1">
        <f t="shared" si="1"/>
        <v>3.9999999999999996</v>
      </c>
      <c r="C22" s="13">
        <f>AVERAGE(3118,3066,3115,2962,3061,2977,3131,2918,2963,3013,3061,3060,2971)+200</f>
        <v>3232</v>
      </c>
      <c r="D22" s="1">
        <f t="shared" si="0"/>
        <v>9.9999999999999982</v>
      </c>
      <c r="E22" s="8"/>
    </row>
    <row r="23" spans="1:5" x14ac:dyDescent="0.25">
      <c r="A23" s="10">
        <v>0.5</v>
      </c>
      <c r="B23" s="1">
        <f t="shared" si="1"/>
        <v>4.5</v>
      </c>
      <c r="C23" s="13">
        <f>AVERAGE(2624,2574,2630,2543,2458,2464,2526,2494,2605,2698,2543,2597,2390,2472,2533,2512)+50</f>
        <v>2591.4375</v>
      </c>
      <c r="D23" s="1">
        <f t="shared" si="0"/>
        <v>11.25</v>
      </c>
      <c r="E23" s="8"/>
    </row>
    <row r="24" spans="1:5" x14ac:dyDescent="0.25">
      <c r="A24" s="10">
        <v>0.5</v>
      </c>
      <c r="B24" s="1">
        <f t="shared" si="1"/>
        <v>5</v>
      </c>
      <c r="C24" s="13">
        <f>AVERAGE(2187,2259,2226,2227,2172,2152,2168,2162,2129,2124,2161)</f>
        <v>2178.818181818182</v>
      </c>
      <c r="D24" s="1">
        <f t="shared" si="0"/>
        <v>12.5</v>
      </c>
      <c r="E24" s="8"/>
    </row>
    <row r="25" spans="1:5" x14ac:dyDescent="0.25">
      <c r="A25" s="10">
        <v>0.5</v>
      </c>
      <c r="B25" s="1">
        <f t="shared" si="1"/>
        <v>5.5</v>
      </c>
      <c r="C25" s="13">
        <f>AVERAGE(1986,1933,1928,1925,1850,1912,1797,1957,1883)</f>
        <v>1907.8888888888889</v>
      </c>
      <c r="D25" s="1">
        <f t="shared" si="0"/>
        <v>13.75</v>
      </c>
      <c r="E25" s="8"/>
    </row>
    <row r="26" spans="1:5" x14ac:dyDescent="0.25">
      <c r="A26" s="19">
        <v>0.5</v>
      </c>
      <c r="B26" s="20">
        <f t="shared" ref="B26:B32" si="2">B25+A26</f>
        <v>6</v>
      </c>
      <c r="C26" s="21">
        <f>AVERAGE(1634,1746,1716,1643,1678,1638,1660,1632,1695,1552,1699,1546,1601)</f>
        <v>1649.2307692307693</v>
      </c>
      <c r="D26" s="20">
        <f t="shared" ref="D26:D32" si="3">B26*1000/400</f>
        <v>15</v>
      </c>
    </row>
    <row r="27" spans="1:5" x14ac:dyDescent="0.25">
      <c r="A27" s="17">
        <v>1</v>
      </c>
      <c r="B27" s="1">
        <f t="shared" si="2"/>
        <v>7</v>
      </c>
      <c r="C27" s="18">
        <f>AVERAGE(1383,1364,1305,1322,1337,1296,1305,1269,1255,1275,1290)</f>
        <v>1309.1818181818182</v>
      </c>
      <c r="D27" s="1">
        <f t="shared" si="3"/>
        <v>17.5</v>
      </c>
    </row>
    <row r="28" spans="1:5" x14ac:dyDescent="0.25">
      <c r="A28" s="10">
        <v>1</v>
      </c>
      <c r="B28" s="1">
        <f t="shared" si="2"/>
        <v>8</v>
      </c>
      <c r="C28" s="13">
        <f>AVERAGE(1098,1053,1017,1054,1002,986,1041,951,938,965,955)</f>
        <v>1005.4545454545455</v>
      </c>
      <c r="D28" s="1">
        <f t="shared" si="3"/>
        <v>20</v>
      </c>
    </row>
    <row r="29" spans="1:5" x14ac:dyDescent="0.25">
      <c r="A29" s="10">
        <v>2</v>
      </c>
      <c r="B29" s="1">
        <f t="shared" si="2"/>
        <v>10</v>
      </c>
      <c r="C29" s="13">
        <f>AVERAGE(783,757,763,769,755,755,750,757,672,727,729)</f>
        <v>747</v>
      </c>
      <c r="D29" s="1">
        <f t="shared" si="3"/>
        <v>25</v>
      </c>
    </row>
    <row r="30" spans="1:5" x14ac:dyDescent="0.25">
      <c r="A30" s="10">
        <v>2</v>
      </c>
      <c r="B30" s="1">
        <f t="shared" si="2"/>
        <v>12</v>
      </c>
      <c r="C30" s="13">
        <f>AVERAGE(617,642,620,638,613,632,599,613,613,621,613,620)</f>
        <v>620.08333333333337</v>
      </c>
      <c r="D30" s="1">
        <f t="shared" si="3"/>
        <v>30</v>
      </c>
    </row>
    <row r="31" spans="1:5" x14ac:dyDescent="0.25">
      <c r="A31" s="10">
        <v>2</v>
      </c>
      <c r="B31" s="1">
        <f t="shared" si="2"/>
        <v>14</v>
      </c>
      <c r="C31" s="13">
        <f>AVERAGE(511,507,499,505,498,499,501,510,506,498,509)</f>
        <v>503.90909090909093</v>
      </c>
      <c r="D31" s="1">
        <f t="shared" si="3"/>
        <v>35</v>
      </c>
    </row>
    <row r="32" spans="1:5" x14ac:dyDescent="0.25">
      <c r="A32" s="10">
        <v>2</v>
      </c>
      <c r="B32" s="1">
        <f t="shared" si="2"/>
        <v>16</v>
      </c>
      <c r="C32" s="13">
        <f>AVERAGE(467,434,440,450,448,453,451,453,465,434,454,463,449,434,428,437)</f>
        <v>447.5</v>
      </c>
      <c r="D32" s="1">
        <f t="shared" si="3"/>
        <v>40</v>
      </c>
    </row>
  </sheetData>
  <pageMargins left="0.7" right="0.7" top="0.75" bottom="0.75" header="0.3" footer="0.3"/>
  <pageSetup paperSize="9" orientation="portrait" r:id="rId1"/>
  <headerFooter>
    <oddFooter>&amp;C&amp;D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F28" sqref="F28"/>
    </sheetView>
  </sheetViews>
  <sheetFormatPr defaultRowHeight="15" x14ac:dyDescent="0.25"/>
  <sheetData>
    <row r="1" spans="1:11" ht="20.25" thickBot="1" x14ac:dyDescent="0.3">
      <c r="A1" s="3"/>
      <c r="B1" s="2"/>
      <c r="C1" s="2"/>
      <c r="D1" s="2"/>
      <c r="E1" s="2"/>
      <c r="F1" s="2"/>
      <c r="G1" s="2"/>
      <c r="H1" s="3"/>
      <c r="I1" s="3"/>
      <c r="J1" s="3"/>
      <c r="K1" s="3"/>
    </row>
    <row r="2" spans="1:11" ht="15.75" thickTop="1" x14ac:dyDescent="0.25">
      <c r="A2" s="3"/>
      <c r="B2" s="5"/>
      <c r="C2" s="5"/>
      <c r="D2" s="5"/>
      <c r="E2" s="5"/>
      <c r="F2" s="5"/>
      <c r="G2" s="5"/>
      <c r="H2" s="3"/>
      <c r="I2" s="3"/>
      <c r="J2" s="3"/>
      <c r="K2" s="3"/>
    </row>
    <row r="3" spans="1:11" ht="19.5" thickBot="1" x14ac:dyDescent="0.3">
      <c r="A3" s="3"/>
      <c r="B3" s="4" t="s">
        <v>0</v>
      </c>
      <c r="C3" s="4" t="s">
        <v>1</v>
      </c>
      <c r="D3" s="4" t="s">
        <v>5</v>
      </c>
      <c r="E3" s="4" t="s">
        <v>4</v>
      </c>
      <c r="F3" s="4" t="s">
        <v>2</v>
      </c>
      <c r="G3" s="4" t="s">
        <v>3</v>
      </c>
      <c r="H3" s="3"/>
      <c r="I3" s="3"/>
      <c r="J3" s="3"/>
      <c r="K3" s="3"/>
    </row>
    <row r="4" spans="1:11" ht="16.5" thickBot="1" x14ac:dyDescent="0.3">
      <c r="A4" s="3"/>
      <c r="B4" s="23" t="e">
        <f>#REF!*0.145</f>
        <v>#REF!</v>
      </c>
      <c r="C4" s="26" t="e">
        <f>#REF!*101.97162129779</f>
        <v>#REF!</v>
      </c>
      <c r="D4" s="6"/>
      <c r="E4" s="6"/>
      <c r="F4" s="6"/>
      <c r="G4" s="6"/>
      <c r="H4" s="3"/>
      <c r="I4" s="3"/>
      <c r="J4" s="3"/>
      <c r="K4" s="3"/>
    </row>
    <row r="5" spans="1:11" ht="16.5" thickBot="1" x14ac:dyDescent="0.3">
      <c r="A5" s="3"/>
      <c r="B5" s="24"/>
      <c r="C5" s="27"/>
      <c r="D5" s="6"/>
      <c r="E5" s="6"/>
      <c r="F5" s="6"/>
      <c r="G5" s="6"/>
      <c r="H5" s="3"/>
      <c r="I5" s="3"/>
      <c r="J5" s="3"/>
      <c r="K5" s="3"/>
    </row>
    <row r="6" spans="1:11" ht="16.5" thickBot="1" x14ac:dyDescent="0.3">
      <c r="A6" s="3"/>
      <c r="B6" s="25"/>
      <c r="C6" s="28"/>
      <c r="D6" s="7"/>
      <c r="E6" s="6"/>
      <c r="F6" s="6"/>
      <c r="G6" s="6"/>
      <c r="H6" s="3"/>
      <c r="I6" s="3"/>
      <c r="J6" s="3"/>
      <c r="K6" s="3"/>
    </row>
    <row r="7" spans="1:11" ht="16.5" thickBot="1" x14ac:dyDescent="0.3">
      <c r="A7" s="3"/>
      <c r="B7" s="23" t="e">
        <f>#REF!*0.145</f>
        <v>#REF!</v>
      </c>
      <c r="C7" s="26" t="e">
        <f>#REF!*101.97162129779</f>
        <v>#REF!</v>
      </c>
      <c r="D7" s="6"/>
      <c r="E7" s="6"/>
      <c r="F7" s="6"/>
      <c r="G7" s="6"/>
      <c r="H7" s="3"/>
      <c r="I7" s="3"/>
      <c r="J7" s="3"/>
      <c r="K7" s="3"/>
    </row>
    <row r="8" spans="1:11" ht="16.5" thickBot="1" x14ac:dyDescent="0.3">
      <c r="A8" s="3"/>
      <c r="B8" s="24"/>
      <c r="C8" s="27"/>
      <c r="D8" s="6"/>
      <c r="E8" s="6"/>
      <c r="F8" s="6"/>
      <c r="G8" s="6"/>
      <c r="H8" s="3"/>
      <c r="I8" s="3"/>
      <c r="J8" s="3"/>
      <c r="K8" s="3"/>
    </row>
    <row r="9" spans="1:11" ht="16.5" thickBot="1" x14ac:dyDescent="0.3">
      <c r="A9" s="3"/>
      <c r="B9" s="25"/>
      <c r="C9" s="28"/>
      <c r="D9" s="7"/>
      <c r="E9" s="6"/>
      <c r="F9" s="6"/>
      <c r="G9" s="6"/>
      <c r="H9" s="3"/>
      <c r="I9" s="3"/>
      <c r="J9" s="3"/>
      <c r="K9" s="3"/>
    </row>
    <row r="10" spans="1:11" ht="16.5" thickBot="1" x14ac:dyDescent="0.3">
      <c r="A10" s="3"/>
      <c r="B10" s="23" t="e">
        <f>#REF!*0.145</f>
        <v>#REF!</v>
      </c>
      <c r="C10" s="26" t="e">
        <f>#REF!*101.97162129779</f>
        <v>#REF!</v>
      </c>
      <c r="D10" s="7"/>
      <c r="E10" s="6"/>
      <c r="F10" s="6"/>
      <c r="G10" s="6"/>
      <c r="H10" s="3"/>
      <c r="I10" s="3"/>
      <c r="J10" s="3"/>
      <c r="K10" s="3"/>
    </row>
    <row r="11" spans="1:11" ht="16.5" thickBot="1" x14ac:dyDescent="0.3">
      <c r="A11" s="3"/>
      <c r="B11" s="24"/>
      <c r="C11" s="27"/>
      <c r="D11" s="7"/>
      <c r="E11" s="6"/>
      <c r="F11" s="6"/>
      <c r="G11" s="6"/>
      <c r="H11" s="3"/>
      <c r="I11" s="3"/>
      <c r="J11" s="3"/>
      <c r="K11" s="3"/>
    </row>
    <row r="12" spans="1:11" ht="16.5" thickBot="1" x14ac:dyDescent="0.3">
      <c r="A12" s="3"/>
      <c r="B12" s="25"/>
      <c r="C12" s="28"/>
      <c r="D12" s="7"/>
      <c r="E12" s="6"/>
      <c r="F12" s="6"/>
      <c r="G12" s="6"/>
      <c r="H12" s="3"/>
      <c r="I12" s="3"/>
      <c r="J12" s="3"/>
      <c r="K12" s="3"/>
    </row>
    <row r="13" spans="1:11" ht="16.5" thickBot="1" x14ac:dyDescent="0.3">
      <c r="A13" s="3"/>
      <c r="B13" s="23" t="e">
        <f>#REF!*0.145</f>
        <v>#REF!</v>
      </c>
      <c r="C13" s="26" t="e">
        <f>#REF!*101.97162129779</f>
        <v>#REF!</v>
      </c>
      <c r="D13" s="7"/>
      <c r="E13" s="6"/>
      <c r="F13" s="6"/>
      <c r="G13" s="6"/>
      <c r="H13" s="3"/>
      <c r="I13" s="3"/>
      <c r="J13" s="3"/>
      <c r="K13" s="3"/>
    </row>
    <row r="14" spans="1:11" ht="16.5" thickBot="1" x14ac:dyDescent="0.3">
      <c r="A14" s="3"/>
      <c r="B14" s="24"/>
      <c r="C14" s="27"/>
      <c r="D14" s="7"/>
      <c r="E14" s="6"/>
      <c r="F14" s="6"/>
      <c r="G14" s="6"/>
      <c r="H14" s="3"/>
      <c r="I14" s="3"/>
      <c r="J14" s="3"/>
      <c r="K14" s="3"/>
    </row>
    <row r="15" spans="1:11" ht="16.5" thickBot="1" x14ac:dyDescent="0.3">
      <c r="A15" s="3"/>
      <c r="B15" s="25"/>
      <c r="C15" s="28"/>
      <c r="D15" s="7"/>
      <c r="E15" s="6"/>
      <c r="F15" s="6"/>
      <c r="G15" s="6"/>
      <c r="H15" s="3"/>
      <c r="I15" s="3"/>
      <c r="J15" s="3"/>
      <c r="K15" s="3"/>
    </row>
    <row r="16" spans="1:11" ht="16.5" thickBot="1" x14ac:dyDescent="0.3">
      <c r="A16" s="3"/>
      <c r="B16" s="23" t="e">
        <f>#REF!*0.145</f>
        <v>#REF!</v>
      </c>
      <c r="C16" s="26" t="e">
        <f>#REF!*101.97162129779</f>
        <v>#REF!</v>
      </c>
      <c r="D16" s="7"/>
      <c r="E16" s="6"/>
      <c r="F16" s="6"/>
      <c r="G16" s="6"/>
      <c r="H16" s="3"/>
      <c r="I16" s="3"/>
      <c r="J16" s="3"/>
      <c r="K16" s="3"/>
    </row>
    <row r="17" spans="1:11" ht="16.5" thickBot="1" x14ac:dyDescent="0.3">
      <c r="A17" s="3"/>
      <c r="B17" s="24"/>
      <c r="C17" s="27"/>
      <c r="D17" s="7"/>
      <c r="E17" s="6"/>
      <c r="F17" s="6"/>
      <c r="G17" s="6"/>
      <c r="H17" s="3"/>
      <c r="I17" s="3"/>
      <c r="J17" s="3"/>
      <c r="K17" s="3"/>
    </row>
    <row r="18" spans="1:11" ht="16.5" thickBot="1" x14ac:dyDescent="0.3">
      <c r="A18" s="3"/>
      <c r="B18" s="25"/>
      <c r="C18" s="28"/>
      <c r="D18" s="7"/>
      <c r="E18" s="6"/>
      <c r="F18" s="6"/>
      <c r="G18" s="6"/>
      <c r="H18" s="3"/>
      <c r="I18" s="3"/>
      <c r="J18" s="3"/>
      <c r="K18" s="3"/>
    </row>
    <row r="19" spans="1:11" ht="16.5" thickBot="1" x14ac:dyDescent="0.3">
      <c r="A19" s="3"/>
      <c r="B19" s="23" t="e">
        <f>#REF!*0.145</f>
        <v>#REF!</v>
      </c>
      <c r="C19" s="26" t="e">
        <f>#REF!*101.97162129779</f>
        <v>#REF!</v>
      </c>
      <c r="D19" s="7"/>
      <c r="E19" s="6"/>
      <c r="F19" s="6"/>
      <c r="G19" s="6"/>
      <c r="H19" s="3"/>
      <c r="I19" s="3"/>
      <c r="J19" s="3"/>
      <c r="K19" s="3"/>
    </row>
    <row r="20" spans="1:11" ht="16.5" thickBot="1" x14ac:dyDescent="0.3">
      <c r="A20" s="3"/>
      <c r="B20" s="24"/>
      <c r="C20" s="27"/>
      <c r="D20" s="7"/>
      <c r="E20" s="6"/>
      <c r="F20" s="6"/>
      <c r="G20" s="6"/>
      <c r="H20" s="3"/>
      <c r="I20" s="3"/>
      <c r="J20" s="3"/>
      <c r="K20" s="3"/>
    </row>
    <row r="21" spans="1:11" ht="16.5" thickBot="1" x14ac:dyDescent="0.3">
      <c r="A21" s="3"/>
      <c r="B21" s="25"/>
      <c r="C21" s="28"/>
      <c r="D21" s="7"/>
      <c r="E21" s="6"/>
      <c r="F21" s="6"/>
      <c r="G21" s="6"/>
      <c r="H21" s="3"/>
      <c r="I21" s="3"/>
      <c r="J21" s="3"/>
      <c r="K21" s="3"/>
    </row>
    <row r="22" spans="1:11" ht="16.5" thickBot="1" x14ac:dyDescent="0.3">
      <c r="A22" s="3"/>
      <c r="B22" s="23" t="e">
        <f>#REF!*0.145</f>
        <v>#REF!</v>
      </c>
      <c r="C22" s="26" t="e">
        <f>#REF!*101.97162129779</f>
        <v>#REF!</v>
      </c>
      <c r="D22" s="7"/>
      <c r="E22" s="6"/>
      <c r="F22" s="6"/>
      <c r="G22" s="6"/>
      <c r="H22" s="3"/>
      <c r="I22" s="3"/>
      <c r="J22" s="3"/>
      <c r="K22" s="3"/>
    </row>
    <row r="23" spans="1:11" ht="16.5" thickBot="1" x14ac:dyDescent="0.3">
      <c r="A23" s="3"/>
      <c r="B23" s="24"/>
      <c r="C23" s="27"/>
      <c r="D23" s="7"/>
      <c r="E23" s="6"/>
      <c r="F23" s="6"/>
      <c r="G23" s="6"/>
      <c r="H23" s="3"/>
      <c r="I23" s="3"/>
      <c r="J23" s="3"/>
      <c r="K23" s="3"/>
    </row>
    <row r="24" spans="1:11" ht="16.5" thickBot="1" x14ac:dyDescent="0.3">
      <c r="A24" s="3"/>
      <c r="B24" s="25"/>
      <c r="C24" s="28"/>
      <c r="D24" s="7"/>
      <c r="E24" s="6"/>
      <c r="F24" s="6"/>
      <c r="G24" s="6"/>
      <c r="H24" s="3"/>
      <c r="I24" s="3"/>
      <c r="J24" s="3"/>
      <c r="K24" s="3"/>
    </row>
    <row r="25" spans="1:1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</sheetData>
  <mergeCells count="14">
    <mergeCell ref="B4:B6"/>
    <mergeCell ref="C4:C6"/>
    <mergeCell ref="B7:B9"/>
    <mergeCell ref="C7:C9"/>
    <mergeCell ref="B10:B12"/>
    <mergeCell ref="C10:C12"/>
    <mergeCell ref="B22:B24"/>
    <mergeCell ref="C22:C24"/>
    <mergeCell ref="B13:B15"/>
    <mergeCell ref="C13:C15"/>
    <mergeCell ref="B16:B18"/>
    <mergeCell ref="C16:C18"/>
    <mergeCell ref="B19:B21"/>
    <mergeCell ref="C19:C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turbidity_ODL_#40</vt:lpstr>
      <vt:lpstr>turbidity_soilTest_#60</vt:lpstr>
      <vt:lpstr>pressure</vt:lpstr>
      <vt:lpstr>Sheet3</vt:lpstr>
    </vt:vector>
  </TitlesOfParts>
  <Company>LNEC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Neves Correia dos Santos</dc:creator>
  <cp:lastModifiedBy>Ricardo Neves Correia dos Santos</cp:lastModifiedBy>
  <cp:lastPrinted>2018-07-10T16:32:43Z</cp:lastPrinted>
  <dcterms:created xsi:type="dcterms:W3CDTF">2018-07-10T10:47:01Z</dcterms:created>
  <dcterms:modified xsi:type="dcterms:W3CDTF">2018-12-04T18:05:13Z</dcterms:modified>
</cp:coreProperties>
</file>