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dpetrova\Dropbox\____Patient delay cancer\Review intervals\statistical synthesis\"/>
    </mc:Choice>
  </mc:AlternateContent>
  <xr:revisionPtr revIDLastSave="0" documentId="13_ncr:1_{282EE5D5-36D8-4F9D-B7C1-0BE0BEA3ACD4}" xr6:coauthVersionLast="36" xr6:coauthVersionMax="36" xr10:uidLastSave="{00000000-0000-0000-0000-000000000000}"/>
  <bookViews>
    <workbookView xWindow="0" yWindow="0" windowWidth="15150" windowHeight="11190" xr2:uid="{00000000-000D-0000-FFFF-FFFF00000000}"/>
  </bookViews>
  <sheets>
    <sheet name="Sheet1" sheetId="1" r:id="rId1"/>
  </sheets>
  <definedNames>
    <definedName name="_xlnm._FilterDatabase" localSheetId="0" hidden="1">Sheet1!$A$1:$BF$873</definedName>
  </definedNames>
  <calcPr calcId="191029"/>
  <extLst>
    <ext uri="GoogleSheetsCustomDataVersion1">
      <go:sheetsCustomData xmlns:go="http://customooxmlschemas.google.com/" r:id="rId5" roundtripDataSignature="AMtx7mhtJ/CZFZXhYv43V9YSyhUNbK3Ang=="/>
    </ext>
  </extLst>
</workbook>
</file>

<file path=xl/calcChain.xml><?xml version="1.0" encoding="utf-8"?>
<calcChain xmlns="http://schemas.openxmlformats.org/spreadsheetml/2006/main">
  <c r="AY782" i="1" l="1"/>
  <c r="AY735" i="1"/>
  <c r="AY734" i="1"/>
  <c r="AY721" i="1"/>
  <c r="AY736" i="1"/>
  <c r="AY774" i="1"/>
  <c r="AY790" i="1"/>
  <c r="AY770" i="1"/>
  <c r="AY871" i="1"/>
  <c r="AY805" i="1"/>
  <c r="AY872" i="1"/>
  <c r="AY804" i="1"/>
  <c r="AY806" i="1"/>
  <c r="AY808" i="1"/>
  <c r="AY748" i="1"/>
  <c r="AY809" i="1"/>
  <c r="AY577" i="1"/>
  <c r="AY82" i="1"/>
  <c r="AY81" i="1"/>
  <c r="AY708" i="1"/>
  <c r="AY760" i="1"/>
  <c r="AY402" i="1"/>
  <c r="AY401" i="1"/>
  <c r="AY399" i="1"/>
  <c r="AY396" i="1"/>
  <c r="AY397" i="1"/>
  <c r="AY398" i="1"/>
  <c r="AY400" i="1"/>
  <c r="AY395" i="1"/>
  <c r="AY489" i="1"/>
  <c r="AY352" i="1"/>
  <c r="AY779" i="1"/>
  <c r="AY478" i="1"/>
  <c r="AY94" i="1"/>
  <c r="AY461" i="1"/>
  <c r="AY463" i="1"/>
  <c r="AY462" i="1"/>
  <c r="AY460" i="1"/>
  <c r="AY459" i="1"/>
  <c r="AY645" i="1"/>
  <c r="AY739" i="1"/>
  <c r="AY740" i="1"/>
  <c r="AY716" i="1"/>
  <c r="AY755" i="1"/>
  <c r="AY754" i="1"/>
  <c r="AY719" i="1"/>
  <c r="AY717" i="1"/>
  <c r="AY718" i="1"/>
  <c r="AY715" i="1"/>
  <c r="AY724" i="1"/>
  <c r="AY751" i="1"/>
  <c r="AY743" i="1"/>
  <c r="AY742" i="1"/>
  <c r="AY320" i="1"/>
  <c r="AY144" i="1"/>
  <c r="AY658" i="1"/>
  <c r="AY249" i="1"/>
  <c r="AY319" i="1"/>
  <c r="AY176" i="1"/>
  <c r="AY250" i="1"/>
  <c r="AY657" i="1"/>
  <c r="AY245" i="1"/>
  <c r="AY142" i="1"/>
  <c r="AY313" i="1"/>
  <c r="AY248" i="1"/>
  <c r="AY318" i="1"/>
  <c r="AY317" i="1"/>
  <c r="AY316" i="1"/>
  <c r="AY466" i="1"/>
  <c r="AY247" i="1"/>
  <c r="AY339" i="1"/>
  <c r="AY246" i="1"/>
  <c r="AY656" i="1"/>
  <c r="AY143" i="1"/>
  <c r="AY338" i="1"/>
  <c r="AY244" i="1"/>
  <c r="AY655" i="1"/>
  <c r="AY141" i="1"/>
  <c r="AY243" i="1"/>
  <c r="AY337" i="1"/>
  <c r="AY546" i="1"/>
  <c r="AY545" i="1"/>
  <c r="AY242" i="1"/>
  <c r="AY544" i="1"/>
  <c r="AY543" i="1"/>
  <c r="AY542" i="1"/>
  <c r="AY315" i="1"/>
  <c r="AY336" i="1"/>
  <c r="AY241" i="1"/>
  <c r="AY654" i="1"/>
  <c r="AY140" i="1"/>
  <c r="AY541" i="1"/>
  <c r="AY240" i="1"/>
  <c r="AY653" i="1"/>
  <c r="AY535" i="1"/>
  <c r="AY538" i="1"/>
  <c r="AY536" i="1"/>
  <c r="AY139" i="1"/>
  <c r="AY537" i="1"/>
  <c r="AY539" i="1"/>
  <c r="AY540" i="1"/>
  <c r="AY534" i="1"/>
  <c r="AY335" i="1"/>
  <c r="AY239" i="1"/>
  <c r="AY652" i="1"/>
  <c r="AY138" i="1"/>
  <c r="AY238" i="1"/>
  <c r="AY651" i="1"/>
  <c r="AY529" i="1"/>
  <c r="AY528" i="1"/>
  <c r="AY531" i="1"/>
  <c r="AY533" i="1"/>
  <c r="AY532" i="1"/>
  <c r="AY530" i="1"/>
  <c r="AY334" i="1"/>
  <c r="AY314" i="1"/>
  <c r="AY333" i="1"/>
  <c r="AY650" i="1"/>
  <c r="AY332" i="1"/>
  <c r="AY331" i="1"/>
  <c r="AY237" i="1"/>
  <c r="AY236" i="1"/>
  <c r="AY649" i="1"/>
  <c r="AY137" i="1"/>
  <c r="AY330" i="1"/>
  <c r="AY312" i="1"/>
  <c r="AY648" i="1"/>
  <c r="AY329" i="1"/>
  <c r="AY235" i="1"/>
  <c r="AY647" i="1"/>
  <c r="AY136" i="1"/>
  <c r="AY328" i="1"/>
  <c r="AY234" i="1"/>
  <c r="AY327" i="1"/>
  <c r="AY326" i="1"/>
  <c r="AY465" i="1"/>
  <c r="AY233" i="1"/>
  <c r="AY646" i="1"/>
  <c r="AY135" i="1"/>
  <c r="AY391" i="1"/>
  <c r="AY392" i="1"/>
  <c r="AY393" i="1"/>
  <c r="AY608" i="1"/>
  <c r="AY255" i="1"/>
  <c r="AY257" i="1"/>
  <c r="AY253" i="1"/>
  <c r="AY254" i="1"/>
  <c r="AY258" i="1"/>
  <c r="AY256" i="1"/>
  <c r="AY298" i="1"/>
  <c r="AY643" i="1"/>
  <c r="AY614" i="1"/>
  <c r="AY615" i="1"/>
  <c r="AY613" i="1"/>
  <c r="AY189" i="1"/>
  <c r="AY188" i="1"/>
  <c r="AY702" i="1"/>
  <c r="AY668" i="1"/>
  <c r="AY357" i="1"/>
  <c r="AY344" i="1"/>
  <c r="AY84" i="1"/>
  <c r="AY134" i="1"/>
  <c r="AY408" i="1"/>
  <c r="AY12" i="1"/>
  <c r="AY612" i="1"/>
  <c r="AY361" i="1"/>
  <c r="AY701" i="1"/>
  <c r="AY697" i="1"/>
  <c r="AY688" i="1"/>
  <c r="AY700" i="1"/>
  <c r="AY699" i="1"/>
  <c r="AY698" i="1"/>
  <c r="AY696" i="1"/>
  <c r="AY695" i="1"/>
  <c r="AY694" i="1"/>
  <c r="AY43" i="1"/>
  <c r="AY693" i="1"/>
  <c r="AY692" i="1"/>
  <c r="AY691" i="1"/>
  <c r="AY690" i="1"/>
  <c r="AY689" i="1"/>
  <c r="AY687" i="1"/>
  <c r="AY686" i="1"/>
  <c r="AY685" i="1"/>
  <c r="AY684" i="1"/>
  <c r="AY683" i="1"/>
  <c r="AY682" i="1"/>
  <c r="AY308" i="1"/>
  <c r="AY407" i="1"/>
  <c r="AY753" i="1"/>
  <c r="AY2" i="1"/>
  <c r="AY3" i="1"/>
  <c r="AY76" i="1"/>
  <c r="AY75" i="1"/>
  <c r="AY709" i="1"/>
  <c r="AY78" i="1"/>
  <c r="AY77" i="1"/>
  <c r="AY146" i="1"/>
  <c r="AY574" i="1"/>
  <c r="AY637" i="1"/>
  <c r="AY636" i="1"/>
  <c r="AY635" i="1"/>
  <c r="AY633" i="1"/>
  <c r="AY632" i="1"/>
  <c r="AY631" i="1"/>
  <c r="AY630" i="1"/>
  <c r="AY629" i="1"/>
  <c r="AY472" i="1"/>
  <c r="AY427" i="1"/>
  <c r="AY163" i="1"/>
  <c r="AY473" i="1"/>
  <c r="AY39" i="1"/>
  <c r="AY217" i="1"/>
  <c r="AY711" i="1"/>
  <c r="AY79" i="1"/>
  <c r="AY80" i="1"/>
  <c r="AY456" i="1"/>
  <c r="AY457" i="1"/>
  <c r="AY547" i="1"/>
  <c r="AY355" i="1"/>
  <c r="AY745" i="1"/>
  <c r="AY91" i="1"/>
  <c r="AY464" i="1"/>
  <c r="AY477" i="1"/>
  <c r="AY767" i="1"/>
  <c r="AY307" i="1"/>
  <c r="AY627" i="1"/>
  <c r="AY18" i="1"/>
  <c r="AY74" i="1"/>
  <c r="AY581" i="1"/>
  <c r="AY186" i="1"/>
  <c r="AY519" i="1"/>
  <c r="AY73" i="1"/>
  <c r="AY553" i="1"/>
  <c r="AY611" i="1"/>
  <c r="AY714" i="1"/>
  <c r="AY634" i="1"/>
  <c r="AY554" i="1"/>
  <c r="AY417" i="1"/>
  <c r="AY411" i="1"/>
  <c r="AY482" i="1"/>
  <c r="AY147" i="1"/>
  <c r="AY665" i="1"/>
  <c r="AY364" i="1"/>
  <c r="AY452" i="1"/>
  <c r="AY756" i="1"/>
  <c r="AY124" i="1"/>
  <c r="AY729" i="1"/>
  <c r="AY61" i="1"/>
  <c r="AY62" i="1"/>
  <c r="AY678" i="1"/>
  <c r="AY53" i="1"/>
  <c r="AY664" i="1"/>
  <c r="AY227" i="1"/>
  <c r="AY228" i="1"/>
  <c r="AY229" i="1"/>
  <c r="AY226" i="1"/>
  <c r="AY224" i="1"/>
  <c r="AY223" i="1"/>
  <c r="AY225" i="1"/>
  <c r="AY222" i="1"/>
  <c r="AY605" i="1"/>
  <c r="AY370" i="1"/>
  <c r="AY513" i="1"/>
  <c r="AY98" i="1"/>
  <c r="AY97" i="1"/>
  <c r="AY432" i="1"/>
  <c r="AY430" i="1"/>
  <c r="AY512" i="1"/>
  <c r="AY351" i="1"/>
  <c r="AY420" i="1"/>
  <c r="AY96" i="1"/>
  <c r="AY95" i="1"/>
  <c r="AY60" i="1"/>
  <c r="AY59" i="1"/>
  <c r="AY58" i="1"/>
  <c r="AY590" i="1"/>
  <c r="AY589" i="1"/>
  <c r="AY525" i="1"/>
  <c r="AY603" i="1"/>
  <c r="AY358" i="1"/>
  <c r="AY484" i="1"/>
  <c r="AY373" i="1"/>
  <c r="AY40" i="1"/>
  <c r="AY780" i="1"/>
  <c r="AY873" i="1"/>
  <c r="AX782" i="1"/>
  <c r="AX807" i="1"/>
  <c r="AX735" i="1"/>
  <c r="AX734" i="1"/>
  <c r="AX721" i="1"/>
  <c r="AX736" i="1"/>
  <c r="AX774" i="1"/>
  <c r="AX790" i="1"/>
  <c r="AX770" i="1"/>
  <c r="AX871" i="1"/>
  <c r="AX805" i="1"/>
  <c r="AX747" i="1"/>
  <c r="AX872" i="1"/>
  <c r="AX804" i="1"/>
  <c r="AX806" i="1"/>
  <c r="AX808" i="1"/>
  <c r="AX748" i="1"/>
  <c r="AX791" i="1"/>
  <c r="AX809" i="1"/>
  <c r="AX783" i="1"/>
  <c r="AX577" i="1"/>
  <c r="AX82" i="1"/>
  <c r="AX81" i="1"/>
  <c r="AX708" i="1"/>
  <c r="AX606" i="1"/>
  <c r="AX760" i="1"/>
  <c r="AX117" i="1"/>
  <c r="AX402" i="1"/>
  <c r="AX401" i="1"/>
  <c r="AX399" i="1"/>
  <c r="AX396" i="1"/>
  <c r="AX397" i="1"/>
  <c r="AX398" i="1"/>
  <c r="AX400" i="1"/>
  <c r="AX395" i="1"/>
  <c r="AX489" i="1"/>
  <c r="AX352" i="1"/>
  <c r="AX779" i="1"/>
  <c r="AX520" i="1"/>
  <c r="AX521" i="1"/>
  <c r="AX478" i="1"/>
  <c r="AX94" i="1"/>
  <c r="AX461" i="1"/>
  <c r="AX463" i="1"/>
  <c r="AX462" i="1"/>
  <c r="AX460" i="1"/>
  <c r="AX459" i="1"/>
  <c r="AX645" i="1"/>
  <c r="AX739" i="1"/>
  <c r="AX740" i="1"/>
  <c r="AX716" i="1"/>
  <c r="AX755" i="1"/>
  <c r="AX754" i="1"/>
  <c r="AX719" i="1"/>
  <c r="AX717" i="1"/>
  <c r="AX718" i="1"/>
  <c r="AX715" i="1"/>
  <c r="AX724" i="1"/>
  <c r="AX751" i="1"/>
  <c r="AX743" i="1"/>
  <c r="AX742" i="1"/>
  <c r="AX320" i="1"/>
  <c r="AX144" i="1"/>
  <c r="AX658" i="1"/>
  <c r="AX249" i="1"/>
  <c r="AX319" i="1"/>
  <c r="AX176" i="1"/>
  <c r="AX250" i="1"/>
  <c r="AX657" i="1"/>
  <c r="AX245" i="1"/>
  <c r="AX142" i="1"/>
  <c r="AX313" i="1"/>
  <c r="AX248" i="1"/>
  <c r="AX318" i="1"/>
  <c r="AX317" i="1"/>
  <c r="AX316" i="1"/>
  <c r="AX466" i="1"/>
  <c r="AX247" i="1"/>
  <c r="AX339" i="1"/>
  <c r="AX246" i="1"/>
  <c r="AX656" i="1"/>
  <c r="AX143" i="1"/>
  <c r="AX338" i="1"/>
  <c r="AX244" i="1"/>
  <c r="AX655" i="1"/>
  <c r="AX141" i="1"/>
  <c r="AX243" i="1"/>
  <c r="AX337" i="1"/>
  <c r="AX546" i="1"/>
  <c r="AX545" i="1"/>
  <c r="AX242" i="1"/>
  <c r="AX544" i="1"/>
  <c r="AX543" i="1"/>
  <c r="AX542" i="1"/>
  <c r="AX315" i="1"/>
  <c r="AX336" i="1"/>
  <c r="AX241" i="1"/>
  <c r="AX654" i="1"/>
  <c r="AX140" i="1"/>
  <c r="AX541" i="1"/>
  <c r="AX240" i="1"/>
  <c r="AX653" i="1"/>
  <c r="AX535" i="1"/>
  <c r="AX538" i="1"/>
  <c r="AX536" i="1"/>
  <c r="AX139" i="1"/>
  <c r="AX537" i="1"/>
  <c r="AX539" i="1"/>
  <c r="AX540" i="1"/>
  <c r="AX534" i="1"/>
  <c r="AX335" i="1"/>
  <c r="AX239" i="1"/>
  <c r="AX652" i="1"/>
  <c r="AX138" i="1"/>
  <c r="AX238" i="1"/>
  <c r="AX651" i="1"/>
  <c r="AX529" i="1"/>
  <c r="AX528" i="1"/>
  <c r="AX531" i="1"/>
  <c r="AX533" i="1"/>
  <c r="AX532" i="1"/>
  <c r="AX530" i="1"/>
  <c r="AX334" i="1"/>
  <c r="AX314" i="1"/>
  <c r="AX333" i="1"/>
  <c r="AX650" i="1"/>
  <c r="AX332" i="1"/>
  <c r="AX331" i="1"/>
  <c r="AX237" i="1"/>
  <c r="AX236" i="1"/>
  <c r="AX649" i="1"/>
  <c r="AX137" i="1"/>
  <c r="AX330" i="1"/>
  <c r="AX312" i="1"/>
  <c r="AX648" i="1"/>
  <c r="AX329" i="1"/>
  <c r="AX235" i="1"/>
  <c r="AX647" i="1"/>
  <c r="AX136" i="1"/>
  <c r="AX328" i="1"/>
  <c r="AX234" i="1"/>
  <c r="AX327" i="1"/>
  <c r="AX326" i="1"/>
  <c r="AX465" i="1"/>
  <c r="AX233" i="1"/>
  <c r="AX646" i="1"/>
  <c r="AX135" i="1"/>
  <c r="AX391" i="1"/>
  <c r="AX392" i="1"/>
  <c r="AX393" i="1"/>
  <c r="AX608" i="1"/>
  <c r="AX255" i="1"/>
  <c r="AX257" i="1"/>
  <c r="AX253" i="1"/>
  <c r="AX254" i="1"/>
  <c r="AX258" i="1"/>
  <c r="AX256" i="1"/>
  <c r="AX200" i="1"/>
  <c r="AX191" i="1"/>
  <c r="AX199" i="1"/>
  <c r="AX201" i="1"/>
  <c r="AX195" i="1"/>
  <c r="AX198" i="1"/>
  <c r="AX196" i="1"/>
  <c r="AX190" i="1"/>
  <c r="AX194" i="1"/>
  <c r="AX193" i="1"/>
  <c r="AX192" i="1"/>
  <c r="AX197" i="1"/>
  <c r="AX121" i="1"/>
  <c r="AX46" i="1"/>
  <c r="AX298" i="1"/>
  <c r="AX643" i="1"/>
  <c r="AX614" i="1"/>
  <c r="AX615" i="1"/>
  <c r="AX613" i="1"/>
  <c r="AX189" i="1"/>
  <c r="AX188" i="1"/>
  <c r="AX48" i="1"/>
  <c r="AX702" i="1"/>
  <c r="AX668" i="1"/>
  <c r="AX63" i="1"/>
  <c r="AX357" i="1"/>
  <c r="AX344" i="1"/>
  <c r="AX84" i="1"/>
  <c r="AX134" i="1"/>
  <c r="AX408" i="1"/>
  <c r="AX12" i="1"/>
  <c r="AX14" i="1"/>
  <c r="AX612" i="1"/>
  <c r="AX361" i="1"/>
  <c r="AX701" i="1"/>
  <c r="AX697" i="1"/>
  <c r="AX688" i="1"/>
  <c r="AX700" i="1"/>
  <c r="AX699" i="1"/>
  <c r="AX698" i="1"/>
  <c r="AX696" i="1"/>
  <c r="AX695" i="1"/>
  <c r="AX694" i="1"/>
  <c r="AX43" i="1"/>
  <c r="AX693" i="1"/>
  <c r="AX692" i="1"/>
  <c r="AX691" i="1"/>
  <c r="AX690" i="1"/>
  <c r="AX689" i="1"/>
  <c r="AX687" i="1"/>
  <c r="AX686" i="1"/>
  <c r="AX685" i="1"/>
  <c r="AX684" i="1"/>
  <c r="AX683" i="1"/>
  <c r="AX682" i="1"/>
  <c r="AX308" i="1"/>
  <c r="AX407" i="1"/>
  <c r="AX753" i="1"/>
  <c r="AX2" i="1"/>
  <c r="AX3" i="1"/>
  <c r="AX76" i="1"/>
  <c r="AX75" i="1"/>
  <c r="AX709" i="1"/>
  <c r="AX527" i="1"/>
  <c r="AX78" i="1"/>
  <c r="AX77" i="1"/>
  <c r="AX146" i="1"/>
  <c r="AX526" i="1"/>
  <c r="AX574" i="1"/>
  <c r="AX637" i="1"/>
  <c r="AX636" i="1"/>
  <c r="AX635" i="1"/>
  <c r="AX633" i="1"/>
  <c r="AX632" i="1"/>
  <c r="AX631" i="1"/>
  <c r="AX630" i="1"/>
  <c r="AX629" i="1"/>
  <c r="AX472" i="1"/>
  <c r="AX427" i="1"/>
  <c r="AX163" i="1"/>
  <c r="AX473" i="1"/>
  <c r="AX576" i="1"/>
  <c r="AX39" i="1"/>
  <c r="AX217" i="1"/>
  <c r="AX711" i="1"/>
  <c r="AX79" i="1"/>
  <c r="AX80" i="1"/>
  <c r="AX456" i="1"/>
  <c r="AX457" i="1"/>
  <c r="AX547" i="1"/>
  <c r="AX355" i="1"/>
  <c r="AX745" i="1"/>
  <c r="AX91" i="1"/>
  <c r="AX464" i="1"/>
  <c r="AX477" i="1"/>
  <c r="AX767" i="1"/>
  <c r="AX307" i="1"/>
  <c r="AX627" i="1"/>
  <c r="AX18" i="1"/>
  <c r="AX74" i="1"/>
  <c r="AX581" i="1"/>
  <c r="AX186" i="1"/>
  <c r="AX519" i="1"/>
  <c r="AX73" i="1"/>
  <c r="AX553" i="1"/>
  <c r="AX611" i="1"/>
  <c r="AX714" i="1"/>
  <c r="AX634" i="1"/>
  <c r="AX554" i="1"/>
  <c r="AX417" i="1"/>
  <c r="AX411" i="1"/>
  <c r="AX482" i="1"/>
  <c r="AX147" i="1"/>
  <c r="AX665" i="1"/>
  <c r="AX364" i="1"/>
  <c r="AX452" i="1"/>
  <c r="AX182" i="1"/>
  <c r="AX756" i="1"/>
  <c r="AX394" i="1"/>
  <c r="AX259" i="1"/>
  <c r="AX575" i="1"/>
  <c r="AX124" i="1"/>
  <c r="AX729" i="1"/>
  <c r="AX61" i="1"/>
  <c r="AX62" i="1"/>
  <c r="AX85" i="1"/>
  <c r="AX678" i="1"/>
  <c r="AX53" i="1"/>
  <c r="AX664" i="1"/>
  <c r="AX227" i="1"/>
  <c r="AX228" i="1"/>
  <c r="AX229" i="1"/>
  <c r="AX226" i="1"/>
  <c r="AX224" i="1"/>
  <c r="AX223" i="1"/>
  <c r="AX225" i="1"/>
  <c r="AX222" i="1"/>
  <c r="AX605" i="1"/>
  <c r="AX370" i="1"/>
  <c r="AX513" i="1"/>
  <c r="AX98" i="1"/>
  <c r="AX97" i="1"/>
  <c r="AX432" i="1"/>
  <c r="AX430" i="1"/>
  <c r="AX512" i="1"/>
  <c r="AX351" i="1"/>
  <c r="AX420" i="1"/>
  <c r="AX96" i="1"/>
  <c r="AX95" i="1"/>
  <c r="AX60" i="1"/>
  <c r="AX59" i="1"/>
  <c r="AX58" i="1"/>
  <c r="AX590" i="1"/>
  <c r="AX589" i="1"/>
  <c r="AX525" i="1"/>
  <c r="AX603" i="1"/>
  <c r="AX358" i="1"/>
  <c r="AX484" i="1"/>
  <c r="AX373" i="1"/>
  <c r="AX587" i="1"/>
  <c r="AX40" i="1"/>
  <c r="AX780" i="1"/>
  <c r="AX873" i="1"/>
  <c r="AM821" i="1"/>
  <c r="AM830" i="1"/>
  <c r="AM826" i="1"/>
  <c r="AM816" i="1"/>
  <c r="AM813" i="1"/>
  <c r="AM829" i="1"/>
  <c r="AM828" i="1"/>
  <c r="AM827" i="1"/>
  <c r="AM825" i="1"/>
  <c r="AM823" i="1"/>
  <c r="AM822" i="1"/>
  <c r="AM820" i="1"/>
  <c r="AM819" i="1"/>
  <c r="AM818" i="1"/>
  <c r="AM817" i="1"/>
  <c r="AM815" i="1"/>
  <c r="AM824" i="1"/>
  <c r="AM814" i="1"/>
  <c r="AM812" i="1"/>
  <c r="AM811" i="1"/>
  <c r="AM810" i="1"/>
  <c r="AM735" i="1"/>
  <c r="AM734" i="1"/>
  <c r="AM721" i="1"/>
  <c r="AM736" i="1"/>
  <c r="AM870" i="1"/>
  <c r="AM869" i="1"/>
  <c r="AM868" i="1"/>
  <c r="AM867" i="1"/>
  <c r="AM805" i="1"/>
  <c r="AM804" i="1"/>
  <c r="AM806" i="1"/>
  <c r="AM808" i="1"/>
  <c r="AM748" i="1"/>
  <c r="AM863" i="1"/>
  <c r="AM798" i="1"/>
  <c r="AM859" i="1"/>
  <c r="AM797" i="1"/>
  <c r="AM850" i="1"/>
  <c r="AM855" i="1"/>
  <c r="AM846" i="1"/>
  <c r="AM862" i="1"/>
  <c r="AM861" i="1"/>
  <c r="AM860" i="1"/>
  <c r="AM858" i="1"/>
  <c r="AM857" i="1"/>
  <c r="AM856" i="1"/>
  <c r="AM854" i="1"/>
  <c r="AM853" i="1"/>
  <c r="AM852" i="1"/>
  <c r="AM851" i="1"/>
  <c r="AM849" i="1"/>
  <c r="AM848" i="1"/>
  <c r="AM847" i="1"/>
  <c r="AM845" i="1"/>
  <c r="AM844" i="1"/>
  <c r="AM843" i="1"/>
  <c r="AM799" i="1"/>
  <c r="AM723" i="1"/>
  <c r="AM722" i="1"/>
  <c r="AM833" i="1"/>
  <c r="AM837" i="1"/>
  <c r="AM842" i="1"/>
  <c r="AM831" i="1"/>
  <c r="AM832" i="1"/>
  <c r="AM841" i="1"/>
  <c r="AM865" i="1"/>
  <c r="AM839" i="1"/>
  <c r="AM840" i="1"/>
  <c r="AM836" i="1"/>
  <c r="AM834" i="1"/>
  <c r="AM866" i="1"/>
  <c r="AM864" i="1"/>
  <c r="AM835" i="1"/>
  <c r="AM838" i="1"/>
  <c r="AM577" i="1"/>
  <c r="AM455" i="1"/>
  <c r="AM454" i="1"/>
  <c r="AM369" i="1"/>
  <c r="AM480" i="1"/>
  <c r="AM82" i="1"/>
  <c r="AM81" i="1"/>
  <c r="AM760" i="1"/>
  <c r="AM752" i="1"/>
  <c r="AM505" i="1"/>
  <c r="AM504" i="1"/>
  <c r="AM503" i="1"/>
  <c r="AM402" i="1"/>
  <c r="AM401" i="1"/>
  <c r="AM399" i="1"/>
  <c r="AM396" i="1"/>
  <c r="AM397" i="1"/>
  <c r="AM398" i="1"/>
  <c r="AM400" i="1"/>
  <c r="AM395" i="1"/>
  <c r="AM453" i="1"/>
  <c r="AM447" i="1"/>
  <c r="AM764" i="1"/>
  <c r="AM478" i="1"/>
  <c r="AM130" i="1"/>
  <c r="AM94" i="1"/>
  <c r="AM461" i="1"/>
  <c r="AM463" i="1"/>
  <c r="AM462" i="1"/>
  <c r="AM460" i="1"/>
  <c r="AM673" i="1"/>
  <c r="AM672" i="1"/>
  <c r="AM674" i="1"/>
  <c r="AM585" i="1"/>
  <c r="AM34" i="1"/>
  <c r="AM739" i="1"/>
  <c r="AM740" i="1"/>
  <c r="AM716" i="1"/>
  <c r="AM719" i="1"/>
  <c r="AM717" i="1"/>
  <c r="AM718" i="1"/>
  <c r="AM715" i="1"/>
  <c r="AM751" i="1"/>
  <c r="AM466" i="1"/>
  <c r="AM546" i="1"/>
  <c r="AM545" i="1"/>
  <c r="AM544" i="1"/>
  <c r="AM543" i="1"/>
  <c r="AM542" i="1"/>
  <c r="AM541" i="1"/>
  <c r="AM535" i="1"/>
  <c r="AM538" i="1"/>
  <c r="AM536" i="1"/>
  <c r="AM537" i="1"/>
  <c r="AM539" i="1"/>
  <c r="AM540" i="1"/>
  <c r="AM534" i="1"/>
  <c r="AM529" i="1"/>
  <c r="AM528" i="1"/>
  <c r="AM531" i="1"/>
  <c r="AM533" i="1"/>
  <c r="AM532" i="1"/>
  <c r="AM530" i="1"/>
  <c r="AM465" i="1"/>
  <c r="AM185" i="1"/>
  <c r="AM184" i="1"/>
  <c r="AM644" i="1"/>
  <c r="AM659" i="1"/>
  <c r="AM588" i="1"/>
  <c r="AM308" i="1"/>
  <c r="AM433" i="1"/>
  <c r="AM753" i="1"/>
  <c r="AM488" i="1"/>
  <c r="AM3" i="1"/>
  <c r="AM709" i="1"/>
  <c r="AM434" i="1"/>
  <c r="AM118" i="1"/>
  <c r="AM356" i="1"/>
  <c r="AM57" i="1"/>
  <c r="AM232" i="1"/>
  <c r="AM628" i="1"/>
  <c r="AM50" i="1"/>
  <c r="AM476" i="1"/>
  <c r="AM473" i="1"/>
  <c r="AM169" i="1"/>
  <c r="AM516" i="1"/>
  <c r="AM170" i="1"/>
  <c r="AM39" i="1"/>
  <c r="AM173" i="1"/>
  <c r="AM456" i="1"/>
  <c r="AM457" i="1"/>
  <c r="AM639" i="1"/>
  <c r="AM355" i="1"/>
  <c r="AM745" i="1"/>
  <c r="AM91" i="1"/>
  <c r="AM464" i="1"/>
  <c r="AM767" i="1"/>
  <c r="AM297" i="1"/>
  <c r="AM307" i="1"/>
  <c r="AM18" i="1"/>
  <c r="AM581" i="1"/>
  <c r="AM296" i="1"/>
  <c r="AM638" i="1"/>
  <c r="AM714" i="1"/>
  <c r="AM172" i="1"/>
  <c r="AM171" i="1"/>
  <c r="AM554" i="1"/>
  <c r="AM411" i="1"/>
  <c r="AM168" i="1"/>
  <c r="AM147" i="1"/>
  <c r="AM665" i="1"/>
  <c r="AM452" i="1"/>
  <c r="AM175" i="1"/>
  <c r="AM174" i="1"/>
  <c r="AM124" i="1"/>
  <c r="AM61" i="1"/>
  <c r="AM62" i="1"/>
  <c r="AM53" i="1"/>
  <c r="AM664" i="1"/>
  <c r="AM215" i="1"/>
  <c r="AM216" i="1"/>
  <c r="AM214" i="1"/>
  <c r="AM212" i="1"/>
  <c r="AM213" i="1"/>
  <c r="AM211" i="1"/>
  <c r="AM209" i="1"/>
  <c r="AM210" i="1"/>
  <c r="AM208" i="1"/>
  <c r="AM206" i="1"/>
  <c r="AM207" i="1"/>
  <c r="AM501" i="1"/>
  <c r="AM205" i="1"/>
  <c r="AM203" i="1"/>
  <c r="AM204" i="1"/>
  <c r="AM202" i="1"/>
  <c r="AM227" i="1"/>
  <c r="AM228" i="1"/>
  <c r="AM229" i="1"/>
  <c r="AM226" i="1"/>
  <c r="AM385" i="1"/>
  <c r="AM224" i="1"/>
  <c r="AM223" i="1"/>
  <c r="AM225" i="1"/>
  <c r="AM222" i="1"/>
  <c r="AM621" i="1"/>
  <c r="AM386" i="1"/>
  <c r="AM132" i="1"/>
  <c r="AM25" i="1"/>
  <c r="AM387" i="1"/>
  <c r="AM388" i="1"/>
  <c r="AM622" i="1"/>
  <c r="AM704" i="1"/>
  <c r="AM703" i="1"/>
  <c r="AM153" i="1"/>
  <c r="AM149" i="1"/>
  <c r="AM160" i="1"/>
  <c r="AM157" i="1"/>
  <c r="AM156" i="1"/>
  <c r="AM159" i="1"/>
  <c r="AM162" i="1"/>
  <c r="AM440" i="1"/>
  <c r="AM437" i="1"/>
  <c r="AM158" i="1"/>
  <c r="AM155" i="1"/>
  <c r="AM154" i="1"/>
  <c r="AM438" i="1"/>
  <c r="AM90" i="1"/>
  <c r="AM98" i="1"/>
  <c r="AM97" i="1"/>
  <c r="AM152" i="1"/>
  <c r="AM150" i="1"/>
  <c r="AM420" i="1"/>
  <c r="AM436" i="1"/>
  <c r="AM96" i="1"/>
  <c r="AM95" i="1"/>
  <c r="AM439" i="1"/>
  <c r="AM624" i="1"/>
  <c r="AM623" i="1"/>
  <c r="AM151" i="1"/>
  <c r="AM642" i="1"/>
  <c r="AM641" i="1"/>
  <c r="AM60" i="1"/>
  <c r="AM161" i="1"/>
  <c r="AM59" i="1"/>
  <c r="AM58" i="1"/>
  <c r="AM603" i="1"/>
  <c r="AM104" i="1"/>
  <c r="AM373" i="1"/>
  <c r="AM511" i="1"/>
  <c r="AM510" i="1"/>
  <c r="AM509" i="1"/>
  <c r="AM508" i="1"/>
  <c r="AM507" i="1"/>
  <c r="AM506" i="1"/>
  <c r="AM780" i="1"/>
  <c r="AM873" i="1"/>
  <c r="AL821" i="1"/>
  <c r="AL830" i="1"/>
  <c r="AL826" i="1"/>
  <c r="AL816" i="1"/>
  <c r="AL813" i="1"/>
  <c r="AL829" i="1"/>
  <c r="AL828" i="1"/>
  <c r="AL827" i="1"/>
  <c r="AL825" i="1"/>
  <c r="AL823" i="1"/>
  <c r="AL822" i="1"/>
  <c r="AL820" i="1"/>
  <c r="AL819" i="1"/>
  <c r="AL818" i="1"/>
  <c r="AL817" i="1"/>
  <c r="AL815" i="1"/>
  <c r="AL824" i="1"/>
  <c r="AL814" i="1"/>
  <c r="AL812" i="1"/>
  <c r="AL811" i="1"/>
  <c r="AL810" i="1"/>
  <c r="AL784" i="1"/>
  <c r="AL735" i="1"/>
  <c r="AL734" i="1"/>
  <c r="AL721" i="1"/>
  <c r="AL736" i="1"/>
  <c r="AL870" i="1"/>
  <c r="AL869" i="1"/>
  <c r="AL868" i="1"/>
  <c r="AL867" i="1"/>
  <c r="AL805" i="1"/>
  <c r="AL747" i="1"/>
  <c r="AL804" i="1"/>
  <c r="AL806" i="1"/>
  <c r="AL808" i="1"/>
  <c r="AL748" i="1"/>
  <c r="AL863" i="1"/>
  <c r="AL798" i="1"/>
  <c r="AL859" i="1"/>
  <c r="AL797" i="1"/>
  <c r="AL850" i="1"/>
  <c r="AL855" i="1"/>
  <c r="AL846" i="1"/>
  <c r="AL862" i="1"/>
  <c r="AL861" i="1"/>
  <c r="AL860" i="1"/>
  <c r="AL858" i="1"/>
  <c r="AL857" i="1"/>
  <c r="AL856" i="1"/>
  <c r="AL854" i="1"/>
  <c r="AL853" i="1"/>
  <c r="AL852" i="1"/>
  <c r="AL851" i="1"/>
  <c r="AL849" i="1"/>
  <c r="AL848" i="1"/>
  <c r="AL847" i="1"/>
  <c r="AL845" i="1"/>
  <c r="AL844" i="1"/>
  <c r="AL843" i="1"/>
  <c r="AL799" i="1"/>
  <c r="AL723" i="1"/>
  <c r="AL722" i="1"/>
  <c r="AL833" i="1"/>
  <c r="AL837" i="1"/>
  <c r="AL842" i="1"/>
  <c r="AL831" i="1"/>
  <c r="AL832" i="1"/>
  <c r="AL841" i="1"/>
  <c r="AL865" i="1"/>
  <c r="AL839" i="1"/>
  <c r="AL840" i="1"/>
  <c r="AL836" i="1"/>
  <c r="AL834" i="1"/>
  <c r="AL866" i="1"/>
  <c r="AL864" i="1"/>
  <c r="AL835" i="1"/>
  <c r="AL838" i="1"/>
  <c r="AL577" i="1"/>
  <c r="AL455" i="1"/>
  <c r="AL454" i="1"/>
  <c r="AL369" i="1"/>
  <c r="AL480" i="1"/>
  <c r="AL82" i="1"/>
  <c r="AL81" i="1"/>
  <c r="AL760" i="1"/>
  <c r="AL752" i="1"/>
  <c r="AL505" i="1"/>
  <c r="AL504" i="1"/>
  <c r="AL503" i="1"/>
  <c r="AL402" i="1"/>
  <c r="AL401" i="1"/>
  <c r="AL399" i="1"/>
  <c r="AL396" i="1"/>
  <c r="AL397" i="1"/>
  <c r="AL398" i="1"/>
  <c r="AL400" i="1"/>
  <c r="AL395" i="1"/>
  <c r="AL453" i="1"/>
  <c r="AL447" i="1"/>
  <c r="AL764" i="1"/>
  <c r="AL478" i="1"/>
  <c r="AL130" i="1"/>
  <c r="AL94" i="1"/>
  <c r="AL461" i="1"/>
  <c r="AL463" i="1"/>
  <c r="AL462" i="1"/>
  <c r="AL460" i="1"/>
  <c r="AL673" i="1"/>
  <c r="AL672" i="1"/>
  <c r="AL674" i="1"/>
  <c r="AL585" i="1"/>
  <c r="AL34" i="1"/>
  <c r="AL739" i="1"/>
  <c r="AL740" i="1"/>
  <c r="AL716" i="1"/>
  <c r="AL719" i="1"/>
  <c r="AL717" i="1"/>
  <c r="AL718" i="1"/>
  <c r="AL715" i="1"/>
  <c r="AL751" i="1"/>
  <c r="AL466" i="1"/>
  <c r="AL546" i="1"/>
  <c r="AL545" i="1"/>
  <c r="AL544" i="1"/>
  <c r="AL543" i="1"/>
  <c r="AL542" i="1"/>
  <c r="AL541" i="1"/>
  <c r="AL535" i="1"/>
  <c r="AL538" i="1"/>
  <c r="AL536" i="1"/>
  <c r="AL537" i="1"/>
  <c r="AL539" i="1"/>
  <c r="AL540" i="1"/>
  <c r="AL534" i="1"/>
  <c r="AL529" i="1"/>
  <c r="AL528" i="1"/>
  <c r="AL531" i="1"/>
  <c r="AL533" i="1"/>
  <c r="AL532" i="1"/>
  <c r="AL530" i="1"/>
  <c r="AL465" i="1"/>
  <c r="AL185" i="1"/>
  <c r="AL184" i="1"/>
  <c r="AL644" i="1"/>
  <c r="AL659" i="1"/>
  <c r="AL588" i="1"/>
  <c r="AL308" i="1"/>
  <c r="AL433" i="1"/>
  <c r="AL753" i="1"/>
  <c r="AL488" i="1"/>
  <c r="AL3" i="1"/>
  <c r="AL709" i="1"/>
  <c r="AL434" i="1"/>
  <c r="AL118" i="1"/>
  <c r="AL356" i="1"/>
  <c r="AL57" i="1"/>
  <c r="AL232" i="1"/>
  <c r="AL628" i="1"/>
  <c r="AL50" i="1"/>
  <c r="AL476" i="1"/>
  <c r="AL473" i="1"/>
  <c r="AL169" i="1"/>
  <c r="AL516" i="1"/>
  <c r="AL170" i="1"/>
  <c r="AL39" i="1"/>
  <c r="AL173" i="1"/>
  <c r="AL456" i="1"/>
  <c r="AL457" i="1"/>
  <c r="AL639" i="1"/>
  <c r="AL355" i="1"/>
  <c r="AL582" i="1"/>
  <c r="AL745" i="1"/>
  <c r="AL91" i="1"/>
  <c r="AL464" i="1"/>
  <c r="AL767" i="1"/>
  <c r="AL297" i="1"/>
  <c r="AL307" i="1"/>
  <c r="AL18" i="1"/>
  <c r="AL581" i="1"/>
  <c r="AL296" i="1"/>
  <c r="AL638" i="1"/>
  <c r="AL714" i="1"/>
  <c r="AL172" i="1"/>
  <c r="AL171" i="1"/>
  <c r="AL554" i="1"/>
  <c r="AL411" i="1"/>
  <c r="AL168" i="1"/>
  <c r="AL147" i="1"/>
  <c r="AL665" i="1"/>
  <c r="AL452" i="1"/>
  <c r="AL175" i="1"/>
  <c r="AL174" i="1"/>
  <c r="AL124" i="1"/>
  <c r="AL61" i="1"/>
  <c r="AL62" i="1"/>
  <c r="AL53" i="1"/>
  <c r="AL664" i="1"/>
  <c r="AL215" i="1"/>
  <c r="AL216" i="1"/>
  <c r="AL214" i="1"/>
  <c r="AL212" i="1"/>
  <c r="AL213" i="1"/>
  <c r="AL211" i="1"/>
  <c r="AL209" i="1"/>
  <c r="AL210" i="1"/>
  <c r="AL208" i="1"/>
  <c r="AL206" i="1"/>
  <c r="AL207" i="1"/>
  <c r="AL501" i="1"/>
  <c r="AL205" i="1"/>
  <c r="AL203" i="1"/>
  <c r="AL204" i="1"/>
  <c r="AL202" i="1"/>
  <c r="AL227" i="1"/>
  <c r="AL228" i="1"/>
  <c r="AL229" i="1"/>
  <c r="AL226" i="1"/>
  <c r="AL385" i="1"/>
  <c r="AL224" i="1"/>
  <c r="AL223" i="1"/>
  <c r="AL225" i="1"/>
  <c r="AL222" i="1"/>
  <c r="AL621" i="1"/>
  <c r="AL386" i="1"/>
  <c r="AL132" i="1"/>
  <c r="AL25" i="1"/>
  <c r="AL387" i="1"/>
  <c r="AL388" i="1"/>
  <c r="AL622" i="1"/>
  <c r="AL704" i="1"/>
  <c r="AL703" i="1"/>
  <c r="AL153" i="1"/>
  <c r="AL149" i="1"/>
  <c r="AL160" i="1"/>
  <c r="AL157" i="1"/>
  <c r="AL156" i="1"/>
  <c r="AL159" i="1"/>
  <c r="AL162" i="1"/>
  <c r="AL440" i="1"/>
  <c r="AL437" i="1"/>
  <c r="AL158" i="1"/>
  <c r="AL155" i="1"/>
  <c r="AL154" i="1"/>
  <c r="AL438" i="1"/>
  <c r="AL90" i="1"/>
  <c r="AL98" i="1"/>
  <c r="AL97" i="1"/>
  <c r="AL152" i="1"/>
  <c r="AL150" i="1"/>
  <c r="AL420" i="1"/>
  <c r="AL436" i="1"/>
  <c r="AL96" i="1"/>
  <c r="AL95" i="1"/>
  <c r="AL439" i="1"/>
  <c r="AL624" i="1"/>
  <c r="AL623" i="1"/>
  <c r="AL151" i="1"/>
  <c r="AL642" i="1"/>
  <c r="AL641" i="1"/>
  <c r="AL60" i="1"/>
  <c r="AL161" i="1"/>
  <c r="AL59" i="1"/>
  <c r="AL58" i="1"/>
  <c r="AL603" i="1"/>
  <c r="AL104" i="1"/>
  <c r="AL373" i="1"/>
  <c r="AL444" i="1"/>
  <c r="AL511" i="1"/>
  <c r="AL510" i="1"/>
  <c r="AL509" i="1"/>
  <c r="AL508" i="1"/>
  <c r="AL507" i="1"/>
  <c r="AL506" i="1"/>
  <c r="AL780" i="1"/>
  <c r="AL873" i="1"/>
  <c r="AA99" i="1"/>
  <c r="AA577" i="1"/>
  <c r="AA455" i="1"/>
  <c r="AA454" i="1"/>
  <c r="AA424" i="1"/>
  <c r="AA423" i="1"/>
  <c r="AA681" i="1"/>
  <c r="AA369" i="1"/>
  <c r="AA366" i="1"/>
  <c r="AA567" i="1"/>
  <c r="AA569" i="1"/>
  <c r="AA565" i="1"/>
  <c r="AA566" i="1"/>
  <c r="AA568" i="1"/>
  <c r="AA562" i="1"/>
  <c r="AA563" i="1"/>
  <c r="AA561" i="1"/>
  <c r="AA564" i="1"/>
  <c r="AA560" i="1"/>
  <c r="AA467" i="1"/>
  <c r="AA801" i="1"/>
  <c r="AA800" i="1"/>
  <c r="AA789" i="1"/>
  <c r="AA480" i="1"/>
  <c r="AA82" i="1"/>
  <c r="AA81" i="1"/>
  <c r="AA514" i="1"/>
  <c r="AA591" i="1"/>
  <c r="AA777" i="1"/>
  <c r="AA778" i="1"/>
  <c r="AA458" i="1"/>
  <c r="AA606" i="1"/>
  <c r="AA618" i="1"/>
  <c r="AA304" i="1"/>
  <c r="AA305" i="1"/>
  <c r="AA524" i="1"/>
  <c r="AA523" i="1"/>
  <c r="AA522" i="1"/>
  <c r="AA760" i="1"/>
  <c r="AA730" i="1"/>
  <c r="AA731" i="1"/>
  <c r="AA727" i="1"/>
  <c r="AA451" i="1"/>
  <c r="AA450" i="1"/>
  <c r="AA449" i="1"/>
  <c r="AA448" i="1"/>
  <c r="AA4" i="1"/>
  <c r="AA5" i="1"/>
  <c r="AA10" i="1"/>
  <c r="AA11" i="1"/>
  <c r="AA604" i="1"/>
  <c r="AA8" i="1"/>
  <c r="AA9" i="1"/>
  <c r="AA6" i="1"/>
  <c r="AA7" i="1"/>
  <c r="AA260" i="1"/>
  <c r="AA101" i="1"/>
  <c r="AA102" i="1"/>
  <c r="AA100" i="1"/>
  <c r="AA103" i="1"/>
  <c r="AA309" i="1"/>
  <c r="AA752" i="1"/>
  <c r="AA443" i="1"/>
  <c r="AA505" i="1"/>
  <c r="AA504" i="1"/>
  <c r="AA503" i="1"/>
  <c r="AA402" i="1"/>
  <c r="AA401" i="1"/>
  <c r="AA399" i="1"/>
  <c r="AA396" i="1"/>
  <c r="AA397" i="1"/>
  <c r="AA398" i="1"/>
  <c r="AA400" i="1"/>
  <c r="AA395" i="1"/>
  <c r="AA446" i="1"/>
  <c r="AA445" i="1"/>
  <c r="AA759" i="1"/>
  <c r="AA758" i="1"/>
  <c r="AA757" i="1"/>
  <c r="AA489" i="1"/>
  <c r="AA555" i="1"/>
  <c r="AA416" i="1"/>
  <c r="AA415" i="1"/>
  <c r="AA414" i="1"/>
  <c r="AA487" i="1"/>
  <c r="AA350" i="1"/>
  <c r="AA728" i="1"/>
  <c r="AA486" i="1"/>
  <c r="AA485" i="1"/>
  <c r="AA55" i="1"/>
  <c r="AA352" i="1"/>
  <c r="AA779" i="1"/>
  <c r="AA109" i="1"/>
  <c r="AA108" i="1"/>
  <c r="AA107" i="1"/>
  <c r="AA106" i="1"/>
  <c r="AA746" i="1"/>
  <c r="AA737" i="1"/>
  <c r="AA738" i="1"/>
  <c r="AA54" i="1"/>
  <c r="AA187" i="1"/>
  <c r="AA435" i="1"/>
  <c r="AA406" i="1"/>
  <c r="AA405" i="1"/>
  <c r="AA404" i="1"/>
  <c r="AA403" i="1"/>
  <c r="AA425" i="1"/>
  <c r="AA749" i="1"/>
  <c r="AA750" i="1"/>
  <c r="AA65" i="1"/>
  <c r="AA64" i="1"/>
  <c r="AA66" i="1"/>
  <c r="AA67" i="1"/>
  <c r="AA69" i="1"/>
  <c r="AA68" i="1"/>
  <c r="AA70" i="1"/>
  <c r="AA71" i="1"/>
  <c r="AA570" i="1"/>
  <c r="AA571" i="1"/>
  <c r="AA92" i="1"/>
  <c r="AA680" i="1"/>
  <c r="AA45" i="1"/>
  <c r="AA93" i="1"/>
  <c r="AA551" i="1"/>
  <c r="AA550" i="1"/>
  <c r="AA549" i="1"/>
  <c r="AA120" i="1"/>
  <c r="AA129" i="1"/>
  <c r="AA126" i="1"/>
  <c r="AA125" i="1"/>
  <c r="AA765" i="1"/>
  <c r="AA732" i="1"/>
  <c r="AA38" i="1"/>
  <c r="AA179" i="1"/>
  <c r="AA178" i="1"/>
  <c r="AA177" i="1"/>
  <c r="AA37" i="1"/>
  <c r="AA726" i="1"/>
  <c r="AA365" i="1"/>
  <c r="AA520" i="1"/>
  <c r="AA521" i="1"/>
  <c r="AA776" i="1"/>
  <c r="AA764" i="1"/>
  <c r="AA787" i="1"/>
  <c r="AA166" i="1"/>
  <c r="AA164" i="1"/>
  <c r="AA341" i="1"/>
  <c r="AA36" i="1"/>
  <c r="AA231" i="1"/>
  <c r="AA475" i="1"/>
  <c r="AA675" i="1"/>
  <c r="AA676" i="1"/>
  <c r="AA441" i="1"/>
  <c r="AA771" i="1"/>
  <c r="AA419" i="1"/>
  <c r="AA478" i="1"/>
  <c r="AA741" i="1"/>
  <c r="AA418" i="1"/>
  <c r="AA22" i="1"/>
  <c r="AA558" i="1"/>
  <c r="AA578" i="1"/>
  <c r="AA766" i="1"/>
  <c r="AA119" i="1"/>
  <c r="AA607" i="1"/>
  <c r="AA517" i="1"/>
  <c r="AA557" i="1"/>
  <c r="AA556" i="1"/>
  <c r="AA785" i="1"/>
  <c r="AA442" i="1"/>
  <c r="AA518" i="1"/>
  <c r="AA713" i="1"/>
  <c r="AA712" i="1"/>
  <c r="AA94" i="1"/>
  <c r="AA792" i="1"/>
  <c r="AA669" i="1"/>
  <c r="AA345" i="1"/>
  <c r="AA461" i="1"/>
  <c r="AA463" i="1"/>
  <c r="AA462" i="1"/>
  <c r="AA625" i="1"/>
  <c r="AA128" i="1"/>
  <c r="AA72" i="1"/>
  <c r="AA794" i="1"/>
  <c r="AA460" i="1"/>
  <c r="AA490" i="1"/>
  <c r="AA495" i="1"/>
  <c r="AA491" i="1"/>
  <c r="AA497" i="1"/>
  <c r="AA492" i="1"/>
  <c r="AA496" i="1"/>
  <c r="AA493" i="1"/>
  <c r="AA499" i="1"/>
  <c r="AA494" i="1"/>
  <c r="AA498" i="1"/>
  <c r="AA426" i="1"/>
  <c r="AA673" i="1"/>
  <c r="AA672" i="1"/>
  <c r="AA674" i="1"/>
  <c r="AA679" i="1"/>
  <c r="AA306" i="1"/>
  <c r="AA552" i="1"/>
  <c r="AA47" i="1"/>
  <c r="AA459" i="1"/>
  <c r="AA796" i="1"/>
  <c r="AA795" i="1"/>
  <c r="AA803" i="1"/>
  <c r="AA349" i="1"/>
  <c r="AA325" i="1"/>
  <c r="AA324" i="1"/>
  <c r="AA323" i="1"/>
  <c r="AA321" i="1"/>
  <c r="AA322" i="1"/>
  <c r="AA677" i="1"/>
  <c r="AA20" i="1"/>
  <c r="AA19" i="1"/>
  <c r="AA474" i="1"/>
  <c r="AA346" i="1"/>
  <c r="AA413" i="1"/>
  <c r="AA585" i="1"/>
  <c r="AA56" i="1"/>
  <c r="AA481" i="1"/>
  <c r="AA347" i="1"/>
  <c r="AA348" i="1"/>
  <c r="AA469" i="1"/>
  <c r="AA468" i="1"/>
  <c r="AA428" i="1"/>
  <c r="AA299" i="1"/>
  <c r="AA34" i="1"/>
  <c r="AA26" i="1"/>
  <c r="AA27" i="1"/>
  <c r="AA716" i="1"/>
  <c r="AA768" i="1"/>
  <c r="AA769" i="1"/>
  <c r="AA755" i="1"/>
  <c r="AA754" i="1"/>
  <c r="AA719" i="1"/>
  <c r="AA717" i="1"/>
  <c r="AA718" i="1"/>
  <c r="AA715" i="1"/>
  <c r="AA724" i="1"/>
  <c r="AA751" i="1"/>
  <c r="AA743" i="1"/>
  <c r="AA742" i="1"/>
  <c r="AA144" i="1"/>
  <c r="AA142" i="1"/>
  <c r="AA466" i="1"/>
  <c r="AA339" i="1"/>
  <c r="AA143" i="1"/>
  <c r="AA338" i="1"/>
  <c r="AA141" i="1"/>
  <c r="AA337" i="1"/>
  <c r="AA336" i="1"/>
  <c r="AA140" i="1"/>
  <c r="AA139" i="1"/>
  <c r="AA335" i="1"/>
  <c r="AA138" i="1"/>
  <c r="AA334" i="1"/>
  <c r="AA333" i="1"/>
  <c r="AA332" i="1"/>
  <c r="AA331" i="1"/>
  <c r="AA28" i="1"/>
  <c r="AA29" i="1"/>
  <c r="AA30" i="1"/>
  <c r="AA31" i="1"/>
  <c r="AA137" i="1"/>
  <c r="AA330" i="1"/>
  <c r="AA329" i="1"/>
  <c r="AA136" i="1"/>
  <c r="AA328" i="1"/>
  <c r="AA327" i="1"/>
  <c r="AA326" i="1"/>
  <c r="AA465" i="1"/>
  <c r="AA135" i="1"/>
  <c r="AA342" i="1"/>
  <c r="AA580" i="1"/>
  <c r="AA579" i="1"/>
  <c r="AA659" i="1"/>
  <c r="AA251" i="1"/>
  <c r="AA221" i="1"/>
  <c r="AA148" i="1"/>
  <c r="AA43" i="1"/>
  <c r="AA609" i="1"/>
  <c r="AA407" i="1"/>
  <c r="AA671" i="1"/>
  <c r="AA265" i="1"/>
  <c r="AA264" i="1"/>
  <c r="AA368" i="1"/>
  <c r="AA263" i="1"/>
  <c r="AA262" i="1"/>
  <c r="AA261" i="1"/>
  <c r="AA340" i="1"/>
  <c r="AA3" i="1"/>
  <c r="AA271" i="1"/>
  <c r="AA275" i="1"/>
  <c r="AA274" i="1"/>
  <c r="AA273" i="1"/>
  <c r="AA272" i="1"/>
  <c r="AA279" i="1"/>
  <c r="AA280" i="1"/>
  <c r="AA278" i="1"/>
  <c r="AA277" i="1"/>
  <c r="AA276" i="1"/>
  <c r="AA267" i="1"/>
  <c r="AA266" i="1"/>
  <c r="AA268" i="1"/>
  <c r="AA270" i="1"/>
  <c r="AA269" i="1"/>
  <c r="AA290" i="1"/>
  <c r="AA289" i="1"/>
  <c r="AA288" i="1"/>
  <c r="AA287" i="1"/>
  <c r="AA286" i="1"/>
  <c r="AA252" i="1"/>
  <c r="AA281" i="1"/>
  <c r="AA283" i="1"/>
  <c r="AA284" i="1"/>
  <c r="AA285" i="1"/>
  <c r="AA282" i="1"/>
  <c r="AA610" i="1"/>
  <c r="AA628" i="1"/>
  <c r="AA291" i="1"/>
  <c r="AA123" i="1"/>
  <c r="AA169" i="1"/>
  <c r="AA170" i="1"/>
  <c r="AA39" i="1"/>
  <c r="AA173" i="1"/>
  <c r="AA360" i="1"/>
  <c r="AA32" i="1"/>
  <c r="AA745" i="1"/>
  <c r="AA464" i="1"/>
  <c r="AA429" i="1"/>
  <c r="AA230" i="1"/>
  <c r="AA300" i="1"/>
  <c r="AA706" i="1"/>
  <c r="AA519" i="1"/>
  <c r="AA33" i="1"/>
  <c r="AA389" i="1"/>
  <c r="AA131" i="1"/>
  <c r="AA714" i="1"/>
  <c r="AA172" i="1"/>
  <c r="AA171" i="1"/>
  <c r="AA725" i="1"/>
  <c r="AA411" i="1"/>
  <c r="AA168" i="1"/>
  <c r="AA105" i="1"/>
  <c r="AA145" i="1"/>
  <c r="AA227" i="1"/>
  <c r="AA228" i="1"/>
  <c r="AA229" i="1"/>
  <c r="AA226" i="1"/>
  <c r="AA224" i="1"/>
  <c r="AA223" i="1"/>
  <c r="AA225" i="1"/>
  <c r="AA222" i="1"/>
  <c r="AA720" i="1"/>
  <c r="AA52" i="1"/>
  <c r="AA35" i="1"/>
  <c r="AA513" i="1"/>
  <c r="AA98" i="1"/>
  <c r="AA97" i="1"/>
  <c r="AA512" i="1"/>
  <c r="AA96" i="1"/>
  <c r="AA95" i="1"/>
  <c r="AA354" i="1"/>
  <c r="AA353" i="1"/>
  <c r="AA60" i="1"/>
  <c r="AA59" i="1"/>
  <c r="AA58" i="1"/>
  <c r="AA51" i="1"/>
  <c r="AA786" i="1"/>
  <c r="AA167" i="1"/>
  <c r="AA165" i="1"/>
  <c r="AA367" i="1"/>
  <c r="AA302" i="1"/>
  <c r="AA292" i="1"/>
  <c r="AA301" i="1"/>
  <c r="AA603" i="1"/>
  <c r="AA373" i="1"/>
  <c r="AA662" i="1"/>
  <c r="AA21" i="1"/>
  <c r="AA661" i="1"/>
  <c r="AA483" i="1"/>
  <c r="AA670" i="1"/>
  <c r="AA412" i="1"/>
  <c r="AA707" i="1"/>
  <c r="AA802" i="1"/>
  <c r="AA705" i="1"/>
  <c r="AA592" i="1"/>
  <c r="AA601" i="1"/>
  <c r="AA600" i="1"/>
  <c r="AA599" i="1"/>
  <c r="AA597" i="1"/>
  <c r="AA598" i="1"/>
  <c r="AA596" i="1"/>
  <c r="AA595" i="1"/>
  <c r="AA594" i="1"/>
  <c r="AA593" i="1"/>
  <c r="AA511" i="1"/>
  <c r="AA510" i="1"/>
  <c r="AA509" i="1"/>
  <c r="AA508" i="1"/>
  <c r="AA507" i="1"/>
  <c r="AA506" i="1"/>
  <c r="AA17" i="1"/>
  <c r="AA515" i="1"/>
  <c r="AA573" i="1"/>
  <c r="AA572" i="1"/>
  <c r="AA384" i="1"/>
  <c r="AA383" i="1"/>
  <c r="AA382" i="1"/>
  <c r="AA381" i="1"/>
  <c r="AA380" i="1"/>
  <c r="AA379" i="1"/>
  <c r="AA378" i="1"/>
  <c r="AA377" i="1"/>
  <c r="AA376" i="1"/>
  <c r="AA375" i="1"/>
  <c r="AA374" i="1"/>
  <c r="AA548" i="1"/>
  <c r="AA40" i="1"/>
  <c r="AA780" i="1"/>
  <c r="AA115" i="1"/>
  <c r="AA873" i="1"/>
  <c r="AA772" i="1"/>
  <c r="AA660" i="1"/>
  <c r="AA500" i="1"/>
  <c r="AA359" i="1"/>
  <c r="AA295" i="1"/>
  <c r="AA781" i="1"/>
  <c r="AA49" i="1"/>
  <c r="AA44" i="1"/>
  <c r="AA775" i="1"/>
  <c r="AA294" i="1"/>
  <c r="AA293" i="1"/>
  <c r="AA761" i="1"/>
  <c r="AA343" i="1"/>
  <c r="Z577" i="1"/>
  <c r="Z455" i="1"/>
  <c r="Z454" i="1"/>
  <c r="Z424" i="1"/>
  <c r="Z423" i="1"/>
  <c r="Z681" i="1"/>
  <c r="Z369" i="1"/>
  <c r="Z366" i="1"/>
  <c r="Z567" i="1"/>
  <c r="Z569" i="1"/>
  <c r="Z565" i="1"/>
  <c r="Z566" i="1"/>
  <c r="Z568" i="1"/>
  <c r="Z562" i="1"/>
  <c r="Z563" i="1"/>
  <c r="Z561" i="1"/>
  <c r="Z564" i="1"/>
  <c r="Z560" i="1"/>
  <c r="Z467" i="1"/>
  <c r="Z801" i="1"/>
  <c r="Z800" i="1"/>
  <c r="Z789" i="1"/>
  <c r="Z480" i="1"/>
  <c r="Z82" i="1"/>
  <c r="Z81" i="1"/>
  <c r="Z514" i="1"/>
  <c r="Z591" i="1"/>
  <c r="Z777" i="1"/>
  <c r="Z778" i="1"/>
  <c r="Z458" i="1"/>
  <c r="Z606" i="1"/>
  <c r="Z618" i="1"/>
  <c r="Z304" i="1"/>
  <c r="Z305" i="1"/>
  <c r="Z524" i="1"/>
  <c r="Z523" i="1"/>
  <c r="Z522" i="1"/>
  <c r="Z760" i="1"/>
  <c r="Z730" i="1"/>
  <c r="Z731" i="1"/>
  <c r="Z727" i="1"/>
  <c r="Z451" i="1"/>
  <c r="Z450" i="1"/>
  <c r="Z449" i="1"/>
  <c r="Z448" i="1"/>
  <c r="Z4" i="1"/>
  <c r="Z5" i="1"/>
  <c r="Z10" i="1"/>
  <c r="Z11" i="1"/>
  <c r="Z604" i="1"/>
  <c r="Z8" i="1"/>
  <c r="Z9" i="1"/>
  <c r="Z6" i="1"/>
  <c r="Z7" i="1"/>
  <c r="Z260" i="1"/>
  <c r="Z101" i="1"/>
  <c r="Z102" i="1"/>
  <c r="Z100" i="1"/>
  <c r="Z103" i="1"/>
  <c r="Z309" i="1"/>
  <c r="Z752" i="1"/>
  <c r="Z443" i="1"/>
  <c r="Z505" i="1"/>
  <c r="Z504" i="1"/>
  <c r="Z503" i="1"/>
  <c r="Z117" i="1"/>
  <c r="Z402" i="1"/>
  <c r="Z401" i="1"/>
  <c r="Z399" i="1"/>
  <c r="Z396" i="1"/>
  <c r="Z397" i="1"/>
  <c r="Z398" i="1"/>
  <c r="Z400" i="1"/>
  <c r="Z395" i="1"/>
  <c r="Z446" i="1"/>
  <c r="Z445" i="1"/>
  <c r="Z759" i="1"/>
  <c r="Z758" i="1"/>
  <c r="Z757" i="1"/>
  <c r="Z489" i="1"/>
  <c r="Z555" i="1"/>
  <c r="Z416" i="1"/>
  <c r="Z415" i="1"/>
  <c r="Z414" i="1"/>
  <c r="Z487" i="1"/>
  <c r="Z350" i="1"/>
  <c r="Z728" i="1"/>
  <c r="Z486" i="1"/>
  <c r="Z485" i="1"/>
  <c r="Z55" i="1"/>
  <c r="Z352" i="1"/>
  <c r="Z779" i="1"/>
  <c r="Z109" i="1"/>
  <c r="Z108" i="1"/>
  <c r="Z107" i="1"/>
  <c r="Z106" i="1"/>
  <c r="Z746" i="1"/>
  <c r="Z737" i="1"/>
  <c r="Z738" i="1"/>
  <c r="Z54" i="1"/>
  <c r="Z187" i="1"/>
  <c r="Z435" i="1"/>
  <c r="Z406" i="1"/>
  <c r="Z405" i="1"/>
  <c r="Z404" i="1"/>
  <c r="Z403" i="1"/>
  <c r="Z425" i="1"/>
  <c r="Z749" i="1"/>
  <c r="Z750" i="1"/>
  <c r="Z65" i="1"/>
  <c r="Z64" i="1"/>
  <c r="Z66" i="1"/>
  <c r="Z67" i="1"/>
  <c r="Z69" i="1"/>
  <c r="Z68" i="1"/>
  <c r="Z70" i="1"/>
  <c r="Z71" i="1"/>
  <c r="Z570" i="1"/>
  <c r="Z571" i="1"/>
  <c r="Z92" i="1"/>
  <c r="Z680" i="1"/>
  <c r="Z45" i="1"/>
  <c r="Z93" i="1"/>
  <c r="Z551" i="1"/>
  <c r="Z550" i="1"/>
  <c r="Z549" i="1"/>
  <c r="Z120" i="1"/>
  <c r="Z129" i="1"/>
  <c r="Z126" i="1"/>
  <c r="Z125" i="1"/>
  <c r="Z765" i="1"/>
  <c r="Z732" i="1"/>
  <c r="Z38" i="1"/>
  <c r="Z179" i="1"/>
  <c r="Z178" i="1"/>
  <c r="Z177" i="1"/>
  <c r="Z37" i="1"/>
  <c r="Z726" i="1"/>
  <c r="Z365" i="1"/>
  <c r="Z520" i="1"/>
  <c r="Z521" i="1"/>
  <c r="Z776" i="1"/>
  <c r="Z764" i="1"/>
  <c r="Z787" i="1"/>
  <c r="Z166" i="1"/>
  <c r="Z164" i="1"/>
  <c r="Z341" i="1"/>
  <c r="Z36" i="1"/>
  <c r="Z231" i="1"/>
  <c r="Z475" i="1"/>
  <c r="Z675" i="1"/>
  <c r="Z676" i="1"/>
  <c r="Z441" i="1"/>
  <c r="Z771" i="1"/>
  <c r="Z419" i="1"/>
  <c r="Z478" i="1"/>
  <c r="Z741" i="1"/>
  <c r="Z418" i="1"/>
  <c r="Z22" i="1"/>
  <c r="Z558" i="1"/>
  <c r="Z578" i="1"/>
  <c r="Z766" i="1"/>
  <c r="Z119" i="1"/>
  <c r="Z607" i="1"/>
  <c r="Z517" i="1"/>
  <c r="Z557" i="1"/>
  <c r="Z556" i="1"/>
  <c r="Z785" i="1"/>
  <c r="Z442" i="1"/>
  <c r="Z518" i="1"/>
  <c r="Z713" i="1"/>
  <c r="Z712" i="1"/>
  <c r="Z94" i="1"/>
  <c r="Z792" i="1"/>
  <c r="Z83" i="1"/>
  <c r="Z669" i="1"/>
  <c r="Z345" i="1"/>
  <c r="Z461" i="1"/>
  <c r="Z463" i="1"/>
  <c r="Z462" i="1"/>
  <c r="Z625" i="1"/>
  <c r="Z128" i="1"/>
  <c r="Z72" i="1"/>
  <c r="Z794" i="1"/>
  <c r="Z460" i="1"/>
  <c r="Z490" i="1"/>
  <c r="Z495" i="1"/>
  <c r="Z491" i="1"/>
  <c r="Z497" i="1"/>
  <c r="Z492" i="1"/>
  <c r="Z496" i="1"/>
  <c r="Z493" i="1"/>
  <c r="Z499" i="1"/>
  <c r="Z494" i="1"/>
  <c r="Z498" i="1"/>
  <c r="Z426" i="1"/>
  <c r="Z673" i="1"/>
  <c r="Z672" i="1"/>
  <c r="Z674" i="1"/>
  <c r="Z679" i="1"/>
  <c r="Z306" i="1"/>
  <c r="Z552" i="1"/>
  <c r="Z47" i="1"/>
  <c r="Z459" i="1"/>
  <c r="Z796" i="1"/>
  <c r="Z795" i="1"/>
  <c r="Z803" i="1"/>
  <c r="Z349" i="1"/>
  <c r="Z325" i="1"/>
  <c r="Z324" i="1"/>
  <c r="Z323" i="1"/>
  <c r="Z321" i="1"/>
  <c r="Z322" i="1"/>
  <c r="Z677" i="1"/>
  <c r="Z20" i="1"/>
  <c r="Z19" i="1"/>
  <c r="Z474" i="1"/>
  <c r="Z346" i="1"/>
  <c r="Z413" i="1"/>
  <c r="Z585" i="1"/>
  <c r="Z56" i="1"/>
  <c r="Z481" i="1"/>
  <c r="Z347" i="1"/>
  <c r="Z348" i="1"/>
  <c r="Z469" i="1"/>
  <c r="Z468" i="1"/>
  <c r="Z428" i="1"/>
  <c r="Z299" i="1"/>
  <c r="Z34" i="1"/>
  <c r="Z26" i="1"/>
  <c r="Z27" i="1"/>
  <c r="Z716" i="1"/>
  <c r="Z768" i="1"/>
  <c r="Z769" i="1"/>
  <c r="Z755" i="1"/>
  <c r="Z754" i="1"/>
  <c r="Z719" i="1"/>
  <c r="Z717" i="1"/>
  <c r="Z718" i="1"/>
  <c r="Z715" i="1"/>
  <c r="Z724" i="1"/>
  <c r="Z751" i="1"/>
  <c r="Z743" i="1"/>
  <c r="Z742" i="1"/>
  <c r="Z144" i="1"/>
  <c r="Z142" i="1"/>
  <c r="Z466" i="1"/>
  <c r="Z339" i="1"/>
  <c r="Z143" i="1"/>
  <c r="Z338" i="1"/>
  <c r="Z141" i="1"/>
  <c r="Z337" i="1"/>
  <c r="Z336" i="1"/>
  <c r="Z140" i="1"/>
  <c r="Z139" i="1"/>
  <c r="Z335" i="1"/>
  <c r="Z138" i="1"/>
  <c r="Z334" i="1"/>
  <c r="Z333" i="1"/>
  <c r="Z332" i="1"/>
  <c r="Z331" i="1"/>
  <c r="Z28" i="1"/>
  <c r="Z29" i="1"/>
  <c r="Z30" i="1"/>
  <c r="Z31" i="1"/>
  <c r="Z137" i="1"/>
  <c r="Z330" i="1"/>
  <c r="Z329" i="1"/>
  <c r="Z136" i="1"/>
  <c r="Z328" i="1"/>
  <c r="Z327" i="1"/>
  <c r="Z326" i="1"/>
  <c r="Z465" i="1"/>
  <c r="Z135" i="1"/>
  <c r="Z616" i="1"/>
  <c r="Z617" i="1"/>
  <c r="Z342" i="1"/>
  <c r="Z580" i="1"/>
  <c r="Z579" i="1"/>
  <c r="Z659" i="1"/>
  <c r="Z251" i="1"/>
  <c r="Z221" i="1"/>
  <c r="Z148" i="1"/>
  <c r="Z43" i="1"/>
  <c r="Z609" i="1"/>
  <c r="Z407" i="1"/>
  <c r="Z671" i="1"/>
  <c r="Z265" i="1"/>
  <c r="Z264" i="1"/>
  <c r="Z368" i="1"/>
  <c r="Z263" i="1"/>
  <c r="Z262" i="1"/>
  <c r="Z261" i="1"/>
  <c r="Z340" i="1"/>
  <c r="Z3" i="1"/>
  <c r="Z271" i="1"/>
  <c r="Z275" i="1"/>
  <c r="Z274" i="1"/>
  <c r="Z273" i="1"/>
  <c r="Z272" i="1"/>
  <c r="Z279" i="1"/>
  <c r="Z280" i="1"/>
  <c r="Z278" i="1"/>
  <c r="Z277" i="1"/>
  <c r="Z276" i="1"/>
  <c r="Z267" i="1"/>
  <c r="Z266" i="1"/>
  <c r="Z268" i="1"/>
  <c r="Z270" i="1"/>
  <c r="Z269" i="1"/>
  <c r="Z290" i="1"/>
  <c r="Z289" i="1"/>
  <c r="Z288" i="1"/>
  <c r="Z287" i="1"/>
  <c r="Z286" i="1"/>
  <c r="Z252" i="1"/>
  <c r="Z281" i="1"/>
  <c r="Z283" i="1"/>
  <c r="Z284" i="1"/>
  <c r="Z285" i="1"/>
  <c r="Z282" i="1"/>
  <c r="Z610" i="1"/>
  <c r="Z628" i="1"/>
  <c r="Z291" i="1"/>
  <c r="Z123" i="1"/>
  <c r="Z169" i="1"/>
  <c r="Z170" i="1"/>
  <c r="Z39" i="1"/>
  <c r="Z173" i="1"/>
  <c r="Z360" i="1"/>
  <c r="Z32" i="1"/>
  <c r="Z745" i="1"/>
  <c r="Z464" i="1"/>
  <c r="Z429" i="1"/>
  <c r="Z230" i="1"/>
  <c r="Z300" i="1"/>
  <c r="Z706" i="1"/>
  <c r="Z519" i="1"/>
  <c r="Z33" i="1"/>
  <c r="Z389" i="1"/>
  <c r="Z131" i="1"/>
  <c r="Z714" i="1"/>
  <c r="Z172" i="1"/>
  <c r="Z171" i="1"/>
  <c r="Z725" i="1"/>
  <c r="Z411" i="1"/>
  <c r="Z168" i="1"/>
  <c r="Z105" i="1"/>
  <c r="Z145" i="1"/>
  <c r="Z227" i="1"/>
  <c r="Z228" i="1"/>
  <c r="Z229" i="1"/>
  <c r="Z226" i="1"/>
  <c r="Z224" i="1"/>
  <c r="Z223" i="1"/>
  <c r="Z225" i="1"/>
  <c r="Z222" i="1"/>
  <c r="Z720" i="1"/>
  <c r="Z52" i="1"/>
  <c r="Z35" i="1"/>
  <c r="Z513" i="1"/>
  <c r="Z98" i="1"/>
  <c r="Z97" i="1"/>
  <c r="Z512" i="1"/>
  <c r="Z96" i="1"/>
  <c r="Z95" i="1"/>
  <c r="Z354" i="1"/>
  <c r="Z353" i="1"/>
  <c r="Z60" i="1"/>
  <c r="Z59" i="1"/>
  <c r="Z58" i="1"/>
  <c r="Z51" i="1"/>
  <c r="Z786" i="1"/>
  <c r="Z167" i="1"/>
  <c r="Z165" i="1"/>
  <c r="Z367" i="1"/>
  <c r="Z302" i="1"/>
  <c r="Z292" i="1"/>
  <c r="Z301" i="1"/>
  <c r="Z603" i="1"/>
  <c r="Z373" i="1"/>
  <c r="Z662" i="1"/>
  <c r="Z21" i="1"/>
  <c r="Z661" i="1"/>
  <c r="Z483" i="1"/>
  <c r="Z670" i="1"/>
  <c r="Z412" i="1"/>
  <c r="Z707" i="1"/>
  <c r="Z802" i="1"/>
  <c r="Z705" i="1"/>
  <c r="Z592" i="1"/>
  <c r="Z601" i="1"/>
  <c r="Z600" i="1"/>
  <c r="Z599" i="1"/>
  <c r="Z597" i="1"/>
  <c r="Z598" i="1"/>
  <c r="Z596" i="1"/>
  <c r="Z595" i="1"/>
  <c r="Z594" i="1"/>
  <c r="Z593" i="1"/>
  <c r="Z511" i="1"/>
  <c r="Z510" i="1"/>
  <c r="Z509" i="1"/>
  <c r="Z508" i="1"/>
  <c r="Z507" i="1"/>
  <c r="Z506" i="1"/>
  <c r="Z17" i="1"/>
  <c r="Z515" i="1"/>
  <c r="Z573" i="1"/>
  <c r="Z572" i="1"/>
  <c r="Z384" i="1"/>
  <c r="Z383" i="1"/>
  <c r="Z382" i="1"/>
  <c r="Z381" i="1"/>
  <c r="Z380" i="1"/>
  <c r="Z379" i="1"/>
  <c r="Z378" i="1"/>
  <c r="Z377" i="1"/>
  <c r="Z376" i="1"/>
  <c r="Z375" i="1"/>
  <c r="Z374" i="1"/>
  <c r="Z548" i="1"/>
  <c r="Z40" i="1"/>
  <c r="Z780" i="1"/>
  <c r="Z115" i="1"/>
  <c r="Z873" i="1"/>
  <c r="Z772" i="1"/>
  <c r="Z99" i="1"/>
  <c r="Z660" i="1"/>
  <c r="Z500" i="1"/>
  <c r="Z359" i="1"/>
  <c r="Z295" i="1"/>
  <c r="Z781" i="1"/>
  <c r="Z49" i="1"/>
  <c r="Z44" i="1"/>
  <c r="Z775" i="1"/>
  <c r="Z294" i="1"/>
  <c r="Z293" i="1"/>
  <c r="Z761" i="1"/>
  <c r="Z343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P807" i="1"/>
  <c r="AY807" i="1" s="1"/>
  <c r="L805" i="1"/>
  <c r="L804" i="1"/>
  <c r="L803" i="1"/>
  <c r="AW793" i="1"/>
  <c r="AT793" i="1"/>
  <c r="AS793" i="1"/>
  <c r="AR793" i="1"/>
  <c r="AX793" i="1" s="1"/>
  <c r="AK793" i="1"/>
  <c r="AJ793" i="1"/>
  <c r="AH793" i="1"/>
  <c r="AG793" i="1"/>
  <c r="AF793" i="1"/>
  <c r="AL793" i="1" s="1"/>
  <c r="AQ791" i="1"/>
  <c r="AP791" i="1"/>
  <c r="AY791" i="1" s="1"/>
  <c r="AT788" i="1"/>
  <c r="AS788" i="1"/>
  <c r="AR788" i="1"/>
  <c r="AX788" i="1" s="1"/>
  <c r="AQ788" i="1"/>
  <c r="AP788" i="1"/>
  <c r="AH788" i="1"/>
  <c r="AG788" i="1"/>
  <c r="AF788" i="1"/>
  <c r="AM788" i="1" s="1"/>
  <c r="AE788" i="1"/>
  <c r="AD788" i="1"/>
  <c r="AE784" i="1"/>
  <c r="AD784" i="1"/>
  <c r="AM784" i="1" s="1"/>
  <c r="AW783" i="1"/>
  <c r="AP783" i="1"/>
  <c r="AY783" i="1" s="1"/>
  <c r="AW779" i="1"/>
  <c r="Y779" i="1"/>
  <c r="V773" i="1"/>
  <c r="U773" i="1"/>
  <c r="T773" i="1"/>
  <c r="AA773" i="1" s="1"/>
  <c r="R773" i="1"/>
  <c r="V763" i="1"/>
  <c r="U763" i="1"/>
  <c r="T763" i="1"/>
  <c r="AA763" i="1" s="1"/>
  <c r="V762" i="1"/>
  <c r="U762" i="1"/>
  <c r="T762" i="1"/>
  <c r="AA762" i="1" s="1"/>
  <c r="AW752" i="1"/>
  <c r="AR752" i="1"/>
  <c r="AY752" i="1" s="1"/>
  <c r="AK752" i="1"/>
  <c r="Y752" i="1"/>
  <c r="AQ747" i="1"/>
  <c r="AP747" i="1"/>
  <c r="AY747" i="1" s="1"/>
  <c r="AE747" i="1"/>
  <c r="AD747" i="1"/>
  <c r="AM747" i="1" s="1"/>
  <c r="AT744" i="1"/>
  <c r="AR744" i="1"/>
  <c r="AX744" i="1" s="1"/>
  <c r="P734" i="1"/>
  <c r="AW733" i="1"/>
  <c r="AT733" i="1"/>
  <c r="AS733" i="1"/>
  <c r="AR733" i="1"/>
  <c r="AY733" i="1" s="1"/>
  <c r="AK733" i="1"/>
  <c r="AJ733" i="1"/>
  <c r="AH733" i="1"/>
  <c r="AG733" i="1"/>
  <c r="AF733" i="1"/>
  <c r="AM733" i="1" s="1"/>
  <c r="AB733" i="1"/>
  <c r="Y733" i="1"/>
  <c r="X733" i="1"/>
  <c r="V733" i="1"/>
  <c r="U733" i="1"/>
  <c r="T733" i="1"/>
  <c r="AA733" i="1" s="1"/>
  <c r="P733" i="1"/>
  <c r="AB732" i="1"/>
  <c r="AB731" i="1"/>
  <c r="P731" i="1"/>
  <c r="AB730" i="1"/>
  <c r="AB729" i="1"/>
  <c r="P729" i="1"/>
  <c r="AB728" i="1"/>
  <c r="P728" i="1"/>
  <c r="AB727" i="1"/>
  <c r="AB726" i="1"/>
  <c r="AB725" i="1"/>
  <c r="AB724" i="1"/>
  <c r="P724" i="1"/>
  <c r="P723" i="1"/>
  <c r="P722" i="1"/>
  <c r="P721" i="1"/>
  <c r="AB719" i="1"/>
  <c r="P719" i="1"/>
  <c r="AB718" i="1"/>
  <c r="P718" i="1"/>
  <c r="AB717" i="1"/>
  <c r="P717" i="1"/>
  <c r="AB716" i="1"/>
  <c r="P716" i="1"/>
  <c r="AB715" i="1"/>
  <c r="P715" i="1"/>
  <c r="AB714" i="1"/>
  <c r="P714" i="1"/>
  <c r="AB713" i="1"/>
  <c r="P713" i="1"/>
  <c r="AB712" i="1"/>
  <c r="P712" i="1"/>
  <c r="AB711" i="1"/>
  <c r="P711" i="1"/>
  <c r="AB710" i="1"/>
  <c r="Y710" i="1"/>
  <c r="X710" i="1"/>
  <c r="W710" i="1"/>
  <c r="T710" i="1"/>
  <c r="AA710" i="1" s="1"/>
  <c r="P710" i="1"/>
  <c r="AB709" i="1"/>
  <c r="P709" i="1"/>
  <c r="AB708" i="1"/>
  <c r="V708" i="1"/>
  <c r="T708" i="1"/>
  <c r="AA708" i="1" s="1"/>
  <c r="P708" i="1"/>
  <c r="AB707" i="1"/>
  <c r="P707" i="1"/>
  <c r="AB706" i="1"/>
  <c r="P706" i="1"/>
  <c r="L706" i="1"/>
  <c r="AB705" i="1"/>
  <c r="P705" i="1"/>
  <c r="AN704" i="1"/>
  <c r="AB704" i="1"/>
  <c r="P704" i="1"/>
  <c r="AN703" i="1"/>
  <c r="AB703" i="1"/>
  <c r="P703" i="1"/>
  <c r="AN702" i="1"/>
  <c r="AB702" i="1"/>
  <c r="P702" i="1"/>
  <c r="AN701" i="1"/>
  <c r="AB701" i="1"/>
  <c r="P701" i="1"/>
  <c r="AN700" i="1"/>
  <c r="AB700" i="1"/>
  <c r="P700" i="1"/>
  <c r="AN699" i="1"/>
  <c r="AB699" i="1"/>
  <c r="P699" i="1"/>
  <c r="AN698" i="1"/>
  <c r="AB698" i="1"/>
  <c r="P698" i="1"/>
  <c r="AN697" i="1"/>
  <c r="AB697" i="1"/>
  <c r="P697" i="1"/>
  <c r="AN696" i="1"/>
  <c r="AB696" i="1"/>
  <c r="P696" i="1"/>
  <c r="AN695" i="1"/>
  <c r="AB695" i="1"/>
  <c r="P695" i="1"/>
  <c r="AN694" i="1"/>
  <c r="AB694" i="1"/>
  <c r="P694" i="1"/>
  <c r="AN693" i="1"/>
  <c r="AB693" i="1"/>
  <c r="P693" i="1"/>
  <c r="AN692" i="1"/>
  <c r="AB692" i="1"/>
  <c r="P692" i="1"/>
  <c r="AN691" i="1"/>
  <c r="AB691" i="1"/>
  <c r="P691" i="1"/>
  <c r="AN690" i="1"/>
  <c r="AB690" i="1"/>
  <c r="P690" i="1"/>
  <c r="AN689" i="1"/>
  <c r="AB689" i="1"/>
  <c r="P689" i="1"/>
  <c r="AN688" i="1"/>
  <c r="AB688" i="1"/>
  <c r="P688" i="1"/>
  <c r="AN687" i="1"/>
  <c r="AB687" i="1"/>
  <c r="P687" i="1"/>
  <c r="AN686" i="1"/>
  <c r="AB686" i="1"/>
  <c r="P686" i="1"/>
  <c r="AN685" i="1"/>
  <c r="AB685" i="1"/>
  <c r="P685" i="1"/>
  <c r="AN684" i="1"/>
  <c r="AB684" i="1"/>
  <c r="P684" i="1"/>
  <c r="AN683" i="1"/>
  <c r="AB683" i="1"/>
  <c r="P683" i="1"/>
  <c r="AN682" i="1"/>
  <c r="AB682" i="1"/>
  <c r="P682" i="1"/>
  <c r="AN681" i="1"/>
  <c r="AB681" i="1"/>
  <c r="P681" i="1"/>
  <c r="AN680" i="1"/>
  <c r="AB680" i="1"/>
  <c r="P680" i="1"/>
  <c r="AN679" i="1"/>
  <c r="AB679" i="1"/>
  <c r="P679" i="1"/>
  <c r="AN678" i="1"/>
  <c r="AB678" i="1"/>
  <c r="P678" i="1"/>
  <c r="AN677" i="1"/>
  <c r="AB677" i="1"/>
  <c r="P677" i="1"/>
  <c r="AN676" i="1"/>
  <c r="AB676" i="1"/>
  <c r="P676" i="1"/>
  <c r="AN675" i="1"/>
  <c r="AB675" i="1"/>
  <c r="P675" i="1"/>
  <c r="AN674" i="1"/>
  <c r="AB674" i="1"/>
  <c r="P674" i="1"/>
  <c r="AN673" i="1"/>
  <c r="AB673" i="1"/>
  <c r="P673" i="1"/>
  <c r="AN672" i="1"/>
  <c r="AB672" i="1"/>
  <c r="P672" i="1"/>
  <c r="AN671" i="1"/>
  <c r="AB671" i="1"/>
  <c r="P671" i="1"/>
  <c r="AN670" i="1"/>
  <c r="AB670" i="1"/>
  <c r="P670" i="1"/>
  <c r="AN669" i="1"/>
  <c r="AB669" i="1"/>
  <c r="P669" i="1"/>
  <c r="AN668" i="1"/>
  <c r="AB668" i="1"/>
  <c r="P668" i="1"/>
  <c r="AT667" i="1"/>
  <c r="AS667" i="1"/>
  <c r="AR667" i="1"/>
  <c r="AY667" i="1" s="1"/>
  <c r="AN667" i="1"/>
  <c r="AB667" i="1"/>
  <c r="P667" i="1"/>
  <c r="L667" i="1"/>
  <c r="AT666" i="1"/>
  <c r="AS666" i="1"/>
  <c r="AR666" i="1"/>
  <c r="AX666" i="1" s="1"/>
  <c r="AO666" i="1"/>
  <c r="AN666" i="1" s="1"/>
  <c r="AB666" i="1"/>
  <c r="P666" i="1"/>
  <c r="AN665" i="1"/>
  <c r="AB665" i="1"/>
  <c r="P665" i="1"/>
  <c r="AN664" i="1"/>
  <c r="AB664" i="1"/>
  <c r="P664" i="1"/>
  <c r="AT663" i="1"/>
  <c r="AS663" i="1"/>
  <c r="AR663" i="1"/>
  <c r="AY663" i="1" s="1"/>
  <c r="AN663" i="1"/>
  <c r="AH663" i="1"/>
  <c r="AG663" i="1"/>
  <c r="AF663" i="1"/>
  <c r="AM663" i="1" s="1"/>
  <c r="AB663" i="1"/>
  <c r="P663" i="1"/>
  <c r="AN662" i="1"/>
  <c r="AB662" i="1"/>
  <c r="P662" i="1"/>
  <c r="AN661" i="1"/>
  <c r="AB661" i="1"/>
  <c r="P661" i="1"/>
  <c r="AN660" i="1"/>
  <c r="AB660" i="1"/>
  <c r="P660" i="1"/>
  <c r="AN659" i="1"/>
  <c r="AB659" i="1"/>
  <c r="P659" i="1"/>
  <c r="AN658" i="1"/>
  <c r="AB658" i="1"/>
  <c r="P658" i="1"/>
  <c r="AN657" i="1"/>
  <c r="AB657" i="1"/>
  <c r="P657" i="1"/>
  <c r="AN656" i="1"/>
  <c r="AB656" i="1"/>
  <c r="P656" i="1"/>
  <c r="AN655" i="1"/>
  <c r="AB655" i="1"/>
  <c r="P655" i="1"/>
  <c r="AN654" i="1"/>
  <c r="AB654" i="1"/>
  <c r="P654" i="1"/>
  <c r="AN653" i="1"/>
  <c r="AB653" i="1"/>
  <c r="P653" i="1"/>
  <c r="AN652" i="1"/>
  <c r="AB652" i="1"/>
  <c r="P652" i="1"/>
  <c r="AN651" i="1"/>
  <c r="AB651" i="1"/>
  <c r="P651" i="1"/>
  <c r="AN650" i="1"/>
  <c r="AB650" i="1"/>
  <c r="P650" i="1"/>
  <c r="AN649" i="1"/>
  <c r="AB649" i="1"/>
  <c r="P649" i="1"/>
  <c r="AN648" i="1"/>
  <c r="AB648" i="1"/>
  <c r="P648" i="1"/>
  <c r="AN647" i="1"/>
  <c r="AB647" i="1"/>
  <c r="P647" i="1"/>
  <c r="AN646" i="1"/>
  <c r="AB646" i="1"/>
  <c r="P646" i="1"/>
  <c r="AN645" i="1"/>
  <c r="AB645" i="1"/>
  <c r="P645" i="1"/>
  <c r="AR644" i="1"/>
  <c r="AY644" i="1" s="1"/>
  <c r="AN644" i="1"/>
  <c r="AH644" i="1"/>
  <c r="AB644" i="1"/>
  <c r="P644" i="1"/>
  <c r="AN643" i="1"/>
  <c r="AH643" i="1"/>
  <c r="AF643" i="1"/>
  <c r="AL643" i="1" s="1"/>
  <c r="AB643" i="1"/>
  <c r="P643" i="1"/>
  <c r="AN642" i="1"/>
  <c r="AB642" i="1"/>
  <c r="P642" i="1"/>
  <c r="AN641" i="1"/>
  <c r="AB641" i="1"/>
  <c r="P641" i="1"/>
  <c r="AW640" i="1"/>
  <c r="AR640" i="1"/>
  <c r="AY640" i="1" s="1"/>
  <c r="AN640" i="1"/>
  <c r="AK640" i="1"/>
  <c r="AJ640" i="1"/>
  <c r="AF640" i="1"/>
  <c r="AM640" i="1" s="1"/>
  <c r="AB640" i="1"/>
  <c r="P640" i="1"/>
  <c r="AN639" i="1"/>
  <c r="AB639" i="1"/>
  <c r="P639" i="1"/>
  <c r="AN638" i="1"/>
  <c r="AB638" i="1"/>
  <c r="P638" i="1"/>
  <c r="AN637" i="1"/>
  <c r="AB637" i="1"/>
  <c r="P637" i="1"/>
  <c r="AN636" i="1"/>
  <c r="AB636" i="1"/>
  <c r="P636" i="1"/>
  <c r="AN635" i="1"/>
  <c r="AB635" i="1"/>
  <c r="P635" i="1"/>
  <c r="AN634" i="1"/>
  <c r="AB634" i="1"/>
  <c r="P634" i="1"/>
  <c r="AN633" i="1"/>
  <c r="AB633" i="1"/>
  <c r="P633" i="1"/>
  <c r="AN632" i="1"/>
  <c r="AB632" i="1"/>
  <c r="P632" i="1"/>
  <c r="AN631" i="1"/>
  <c r="AB631" i="1"/>
  <c r="P631" i="1"/>
  <c r="AN630" i="1"/>
  <c r="AB630" i="1"/>
  <c r="P630" i="1"/>
  <c r="AN629" i="1"/>
  <c r="AB629" i="1"/>
  <c r="P629" i="1"/>
  <c r="AN628" i="1"/>
  <c r="AC628" i="1"/>
  <c r="AB628" i="1" s="1"/>
  <c r="P628" i="1"/>
  <c r="AW627" i="1"/>
  <c r="AN627" i="1"/>
  <c r="AK627" i="1"/>
  <c r="AF627" i="1"/>
  <c r="AM627" i="1" s="1"/>
  <c r="AB627" i="1"/>
  <c r="P627" i="1"/>
  <c r="AW626" i="1"/>
  <c r="AR626" i="1"/>
  <c r="AY626" i="1" s="1"/>
  <c r="AN626" i="1"/>
  <c r="AK626" i="1"/>
  <c r="AF626" i="1"/>
  <c r="AM626" i="1" s="1"/>
  <c r="AB626" i="1"/>
  <c r="P626" i="1"/>
  <c r="AN625" i="1"/>
  <c r="AB625" i="1"/>
  <c r="P625" i="1"/>
  <c r="L625" i="1"/>
  <c r="AN624" i="1"/>
  <c r="AB624" i="1"/>
  <c r="P624" i="1"/>
  <c r="AN623" i="1"/>
  <c r="AB623" i="1"/>
  <c r="P623" i="1"/>
  <c r="AN622" i="1"/>
  <c r="AB622" i="1"/>
  <c r="P622" i="1"/>
  <c r="AN621" i="1"/>
  <c r="AB621" i="1"/>
  <c r="P621" i="1"/>
  <c r="AW620" i="1"/>
  <c r="AR620" i="1"/>
  <c r="AX620" i="1" s="1"/>
  <c r="AN620" i="1"/>
  <c r="AB620" i="1"/>
  <c r="P620" i="1"/>
  <c r="AR619" i="1"/>
  <c r="AY619" i="1" s="1"/>
  <c r="AN619" i="1"/>
  <c r="AF619" i="1"/>
  <c r="AM619" i="1" s="1"/>
  <c r="AB619" i="1"/>
  <c r="P619" i="1"/>
  <c r="L619" i="1"/>
  <c r="AN618" i="1"/>
  <c r="AB618" i="1"/>
  <c r="P618" i="1"/>
  <c r="AN617" i="1"/>
  <c r="AB617" i="1"/>
  <c r="S617" i="1"/>
  <c r="R617" i="1"/>
  <c r="AA617" i="1" s="1"/>
  <c r="P617" i="1"/>
  <c r="L617" i="1"/>
  <c r="AN616" i="1"/>
  <c r="AB616" i="1"/>
  <c r="S616" i="1"/>
  <c r="R616" i="1"/>
  <c r="AA616" i="1" s="1"/>
  <c r="P616" i="1"/>
  <c r="AO615" i="1"/>
  <c r="AN615" i="1" s="1"/>
  <c r="AB615" i="1"/>
  <c r="P615" i="1"/>
  <c r="L615" i="1"/>
  <c r="AO614" i="1"/>
  <c r="AN614" i="1" s="1"/>
  <c r="AB614" i="1"/>
  <c r="P614" i="1"/>
  <c r="L614" i="1"/>
  <c r="AO613" i="1"/>
  <c r="AN613" i="1" s="1"/>
  <c r="AB613" i="1"/>
  <c r="P613" i="1"/>
  <c r="L613" i="1"/>
  <c r="AT612" i="1"/>
  <c r="AN612" i="1"/>
  <c r="AK612" i="1"/>
  <c r="AH612" i="1"/>
  <c r="AG612" i="1"/>
  <c r="AF612" i="1"/>
  <c r="AL612" i="1" s="1"/>
  <c r="AB612" i="1"/>
  <c r="P612" i="1"/>
  <c r="AN611" i="1"/>
  <c r="AB611" i="1"/>
  <c r="P611" i="1"/>
  <c r="AN610" i="1"/>
  <c r="AB610" i="1"/>
  <c r="Q610" i="1"/>
  <c r="P610" i="1" s="1"/>
  <c r="AN609" i="1"/>
  <c r="AB609" i="1"/>
  <c r="Q609" i="1"/>
  <c r="P609" i="1" s="1"/>
  <c r="AN608" i="1"/>
  <c r="AB608" i="1"/>
  <c r="P608" i="1"/>
  <c r="AN607" i="1"/>
  <c r="AB607" i="1"/>
  <c r="P607" i="1"/>
  <c r="L607" i="1"/>
  <c r="AW606" i="1"/>
  <c r="AP606" i="1"/>
  <c r="AY606" i="1" s="1"/>
  <c r="AN606" i="1"/>
  <c r="AB606" i="1"/>
  <c r="P606" i="1"/>
  <c r="AN605" i="1"/>
  <c r="AB605" i="1"/>
  <c r="P605" i="1"/>
  <c r="L605" i="1"/>
  <c r="AN604" i="1"/>
  <c r="AB604" i="1"/>
  <c r="P604" i="1"/>
  <c r="AN603" i="1"/>
  <c r="AB603" i="1"/>
  <c r="P603" i="1"/>
  <c r="L603" i="1"/>
  <c r="AW602" i="1"/>
  <c r="AR602" i="1"/>
  <c r="AY602" i="1" s="1"/>
  <c r="AQ602" i="1"/>
  <c r="AP602" i="1"/>
  <c r="AN602" i="1"/>
  <c r="AB602" i="1"/>
  <c r="P602" i="1"/>
  <c r="AN601" i="1"/>
  <c r="AB601" i="1"/>
  <c r="P601" i="1"/>
  <c r="AN600" i="1"/>
  <c r="AB600" i="1"/>
  <c r="P600" i="1"/>
  <c r="AN599" i="1"/>
  <c r="AB599" i="1"/>
  <c r="P599" i="1"/>
  <c r="AN598" i="1"/>
  <c r="AB598" i="1"/>
  <c r="P598" i="1"/>
  <c r="AN597" i="1"/>
  <c r="AB597" i="1"/>
  <c r="P597" i="1"/>
  <c r="AN596" i="1"/>
  <c r="AB596" i="1"/>
  <c r="P596" i="1"/>
  <c r="AN595" i="1"/>
  <c r="AB595" i="1"/>
  <c r="P595" i="1"/>
  <c r="AN594" i="1"/>
  <c r="AB594" i="1"/>
  <c r="P594" i="1"/>
  <c r="AN593" i="1"/>
  <c r="AB593" i="1"/>
  <c r="P593" i="1"/>
  <c r="AN592" i="1"/>
  <c r="AB592" i="1"/>
  <c r="P592" i="1"/>
  <c r="AN591" i="1"/>
  <c r="AB591" i="1"/>
  <c r="P591" i="1"/>
  <c r="AN590" i="1"/>
  <c r="AB590" i="1"/>
  <c r="P590" i="1"/>
  <c r="AN589" i="1"/>
  <c r="AB589" i="1"/>
  <c r="P589" i="1"/>
  <c r="AN588" i="1"/>
  <c r="AB588" i="1"/>
  <c r="P588" i="1"/>
  <c r="AW587" i="1"/>
  <c r="AP587" i="1"/>
  <c r="AY587" i="1" s="1"/>
  <c r="AN587" i="1"/>
  <c r="AB587" i="1"/>
  <c r="P587" i="1"/>
  <c r="AW586" i="1"/>
  <c r="AV586" i="1"/>
  <c r="AR586" i="1"/>
  <c r="AY586" i="1" s="1"/>
  <c r="AN586" i="1"/>
  <c r="AK586" i="1"/>
  <c r="AJ586" i="1"/>
  <c r="AF586" i="1"/>
  <c r="AM586" i="1" s="1"/>
  <c r="AB586" i="1"/>
  <c r="P586" i="1"/>
  <c r="L586" i="1"/>
  <c r="AN585" i="1"/>
  <c r="AB585" i="1"/>
  <c r="P585" i="1"/>
  <c r="AT584" i="1"/>
  <c r="AS584" i="1"/>
  <c r="AR584" i="1"/>
  <c r="AY584" i="1" s="1"/>
  <c r="AN584" i="1"/>
  <c r="AB584" i="1"/>
  <c r="V584" i="1"/>
  <c r="U584" i="1"/>
  <c r="T584" i="1"/>
  <c r="Z584" i="1" s="1"/>
  <c r="P584" i="1"/>
  <c r="L584" i="1"/>
  <c r="AW583" i="1"/>
  <c r="AT583" i="1"/>
  <c r="AS583" i="1"/>
  <c r="AR583" i="1"/>
  <c r="AY583" i="1" s="1"/>
  <c r="AN583" i="1"/>
  <c r="AH583" i="1"/>
  <c r="AG583" i="1"/>
  <c r="AF583" i="1"/>
  <c r="AM583" i="1" s="1"/>
  <c r="AB583" i="1"/>
  <c r="V583" i="1"/>
  <c r="U583" i="1"/>
  <c r="T583" i="1"/>
  <c r="AA583" i="1" s="1"/>
  <c r="P583" i="1"/>
  <c r="L583" i="1"/>
  <c r="AW582" i="1"/>
  <c r="AR582" i="1"/>
  <c r="AY582" i="1" s="1"/>
  <c r="AP582" i="1"/>
  <c r="AN582" i="1"/>
  <c r="AD582" i="1"/>
  <c r="AM582" i="1" s="1"/>
  <c r="AB582" i="1"/>
  <c r="P582" i="1"/>
  <c r="L582" i="1"/>
  <c r="AN581" i="1"/>
  <c r="AB581" i="1"/>
  <c r="P581" i="1"/>
  <c r="L581" i="1"/>
  <c r="AN580" i="1"/>
  <c r="AB580" i="1"/>
  <c r="P580" i="1"/>
  <c r="AN579" i="1"/>
  <c r="AB579" i="1"/>
  <c r="P579" i="1"/>
  <c r="AN578" i="1"/>
  <c r="AB578" i="1"/>
  <c r="Q578" i="1"/>
  <c r="P578" i="1" s="1"/>
  <c r="L578" i="1"/>
  <c r="AN577" i="1"/>
  <c r="AB577" i="1"/>
  <c r="P577" i="1"/>
  <c r="AQ576" i="1"/>
  <c r="AP576" i="1"/>
  <c r="AY576" i="1" s="1"/>
  <c r="AN576" i="1"/>
  <c r="AB576" i="1"/>
  <c r="P576" i="1"/>
  <c r="AQ575" i="1"/>
  <c r="AP575" i="1"/>
  <c r="AY575" i="1" s="1"/>
  <c r="AN575" i="1"/>
  <c r="AB575" i="1"/>
  <c r="P575" i="1"/>
  <c r="AN574" i="1"/>
  <c r="AB574" i="1"/>
  <c r="P574" i="1"/>
  <c r="L574" i="1"/>
  <c r="AN573" i="1"/>
  <c r="AB573" i="1"/>
  <c r="P573" i="1"/>
  <c r="AN572" i="1"/>
  <c r="AB572" i="1"/>
  <c r="P572" i="1"/>
  <c r="AN571" i="1"/>
  <c r="AB571" i="1"/>
  <c r="P571" i="1"/>
  <c r="AN570" i="1"/>
  <c r="AB570" i="1"/>
  <c r="P570" i="1"/>
  <c r="AN569" i="1"/>
  <c r="AB569" i="1"/>
  <c r="P569" i="1"/>
  <c r="AN568" i="1"/>
  <c r="AB568" i="1"/>
  <c r="P568" i="1"/>
  <c r="AN567" i="1"/>
  <c r="AB567" i="1"/>
  <c r="P567" i="1"/>
  <c r="AN566" i="1"/>
  <c r="AB566" i="1"/>
  <c r="P566" i="1"/>
  <c r="AN565" i="1"/>
  <c r="AB565" i="1"/>
  <c r="P565" i="1"/>
  <c r="AN564" i="1"/>
  <c r="AB564" i="1"/>
  <c r="P564" i="1"/>
  <c r="AN563" i="1"/>
  <c r="AB563" i="1"/>
  <c r="P563" i="1"/>
  <c r="AN562" i="1"/>
  <c r="AB562" i="1"/>
  <c r="P562" i="1"/>
  <c r="AN561" i="1"/>
  <c r="AB561" i="1"/>
  <c r="P561" i="1"/>
  <c r="AN560" i="1"/>
  <c r="AB560" i="1"/>
  <c r="P560" i="1"/>
  <c r="AR559" i="1"/>
  <c r="AY559" i="1" s="1"/>
  <c r="AN559" i="1"/>
  <c r="AB559" i="1"/>
  <c r="P559" i="1"/>
  <c r="L559" i="1"/>
  <c r="AN558" i="1"/>
  <c r="AB558" i="1"/>
  <c r="P558" i="1"/>
  <c r="AN557" i="1"/>
  <c r="AB557" i="1"/>
  <c r="P557" i="1"/>
  <c r="AN556" i="1"/>
  <c r="AB556" i="1"/>
  <c r="P556" i="1"/>
  <c r="AN555" i="1"/>
  <c r="AB555" i="1"/>
  <c r="P555" i="1"/>
  <c r="AN554" i="1"/>
  <c r="AB554" i="1"/>
  <c r="P554" i="1"/>
  <c r="AP553" i="1"/>
  <c r="AN553" i="1"/>
  <c r="AB553" i="1"/>
  <c r="P553" i="1"/>
  <c r="AN552" i="1"/>
  <c r="AB552" i="1"/>
  <c r="P552" i="1"/>
  <c r="AN551" i="1"/>
  <c r="AB551" i="1"/>
  <c r="P551" i="1"/>
  <c r="AN550" i="1"/>
  <c r="AB550" i="1"/>
  <c r="P550" i="1"/>
  <c r="AN549" i="1"/>
  <c r="AB549" i="1"/>
  <c r="P549" i="1"/>
  <c r="AN548" i="1"/>
  <c r="AB548" i="1"/>
  <c r="P548" i="1"/>
  <c r="AW547" i="1"/>
  <c r="AN547" i="1"/>
  <c r="AB547" i="1"/>
  <c r="P547" i="1"/>
  <c r="L547" i="1"/>
  <c r="AN546" i="1"/>
  <c r="AB546" i="1"/>
  <c r="P546" i="1"/>
  <c r="AN545" i="1"/>
  <c r="AB545" i="1"/>
  <c r="P545" i="1"/>
  <c r="AN544" i="1"/>
  <c r="AB544" i="1"/>
  <c r="P544" i="1"/>
  <c r="AN543" i="1"/>
  <c r="AB543" i="1"/>
  <c r="P543" i="1"/>
  <c r="AN542" i="1"/>
  <c r="AB542" i="1"/>
  <c r="P542" i="1"/>
  <c r="AN541" i="1"/>
  <c r="AB541" i="1"/>
  <c r="P541" i="1"/>
  <c r="AN540" i="1"/>
  <c r="AB540" i="1"/>
  <c r="P540" i="1"/>
  <c r="AN539" i="1"/>
  <c r="AB539" i="1"/>
  <c r="P539" i="1"/>
  <c r="AN538" i="1"/>
  <c r="AB538" i="1"/>
  <c r="P538" i="1"/>
  <c r="AN537" i="1"/>
  <c r="AB537" i="1"/>
  <c r="P537" i="1"/>
  <c r="AN536" i="1"/>
  <c r="AB536" i="1"/>
  <c r="P536" i="1"/>
  <c r="AN535" i="1"/>
  <c r="AB535" i="1"/>
  <c r="P535" i="1"/>
  <c r="AN534" i="1"/>
  <c r="AB534" i="1"/>
  <c r="P534" i="1"/>
  <c r="AN533" i="1"/>
  <c r="AB533" i="1"/>
  <c r="P533" i="1"/>
  <c r="AN532" i="1"/>
  <c r="AB532" i="1"/>
  <c r="P532" i="1"/>
  <c r="AN531" i="1"/>
  <c r="AB531" i="1"/>
  <c r="P531" i="1"/>
  <c r="AN530" i="1"/>
  <c r="AB530" i="1"/>
  <c r="P530" i="1"/>
  <c r="AN529" i="1"/>
  <c r="AB529" i="1"/>
  <c r="P529" i="1"/>
  <c r="AN528" i="1"/>
  <c r="AB528" i="1"/>
  <c r="P528" i="1"/>
  <c r="AP527" i="1"/>
  <c r="AY527" i="1" s="1"/>
  <c r="AN527" i="1"/>
  <c r="AB527" i="1"/>
  <c r="P527" i="1"/>
  <c r="L527" i="1"/>
  <c r="AP526" i="1"/>
  <c r="AY526" i="1" s="1"/>
  <c r="AN526" i="1"/>
  <c r="AB526" i="1"/>
  <c r="P526" i="1"/>
  <c r="L526" i="1"/>
  <c r="AN525" i="1"/>
  <c r="AB525" i="1"/>
  <c r="P525" i="1"/>
  <c r="L525" i="1"/>
  <c r="AN524" i="1"/>
  <c r="AB524" i="1"/>
  <c r="P524" i="1"/>
  <c r="AN523" i="1"/>
  <c r="AB523" i="1"/>
  <c r="P523" i="1"/>
  <c r="AN522" i="1"/>
  <c r="AB522" i="1"/>
  <c r="P522" i="1"/>
  <c r="AQ521" i="1"/>
  <c r="AP521" i="1"/>
  <c r="AY521" i="1" s="1"/>
  <c r="AN521" i="1"/>
  <c r="AB521" i="1"/>
  <c r="P521" i="1"/>
  <c r="AQ520" i="1"/>
  <c r="AP520" i="1"/>
  <c r="AY520" i="1" s="1"/>
  <c r="AN520" i="1"/>
  <c r="AB520" i="1"/>
  <c r="P520" i="1"/>
  <c r="AN519" i="1"/>
  <c r="AB519" i="1"/>
  <c r="P519" i="1"/>
  <c r="L519" i="1"/>
  <c r="AN518" i="1"/>
  <c r="AB518" i="1"/>
  <c r="P518" i="1"/>
  <c r="AN517" i="1"/>
  <c r="AB517" i="1"/>
  <c r="P517" i="1"/>
  <c r="AN516" i="1"/>
  <c r="AB516" i="1"/>
  <c r="P516" i="1"/>
  <c r="L516" i="1"/>
  <c r="AN515" i="1"/>
  <c r="AB515" i="1"/>
  <c r="P515" i="1"/>
  <c r="AN514" i="1"/>
  <c r="AB514" i="1"/>
  <c r="Q514" i="1"/>
  <c r="P514" i="1" s="1"/>
  <c r="AN513" i="1"/>
  <c r="AB513" i="1"/>
  <c r="P513" i="1"/>
  <c r="AN512" i="1"/>
  <c r="AB512" i="1"/>
  <c r="P512" i="1"/>
  <c r="AN511" i="1"/>
  <c r="AB511" i="1"/>
  <c r="P511" i="1"/>
  <c r="AN510" i="1"/>
  <c r="AB510" i="1"/>
  <c r="P510" i="1"/>
  <c r="AN509" i="1"/>
  <c r="AB509" i="1"/>
  <c r="P509" i="1"/>
  <c r="AN508" i="1"/>
  <c r="AB508" i="1"/>
  <c r="P508" i="1"/>
  <c r="AN507" i="1"/>
  <c r="AB507" i="1"/>
  <c r="P507" i="1"/>
  <c r="AN506" i="1"/>
  <c r="AB506" i="1"/>
  <c r="P506" i="1"/>
  <c r="AN505" i="1"/>
  <c r="AB505" i="1"/>
  <c r="P505" i="1"/>
  <c r="AN504" i="1"/>
  <c r="AB504" i="1"/>
  <c r="P504" i="1"/>
  <c r="AN503" i="1"/>
  <c r="AB503" i="1"/>
  <c r="P503" i="1"/>
  <c r="AN502" i="1"/>
  <c r="AB502" i="1"/>
  <c r="Y502" i="1"/>
  <c r="X502" i="1"/>
  <c r="T502" i="1"/>
  <c r="AA502" i="1" s="1"/>
  <c r="P502" i="1"/>
  <c r="AN501" i="1"/>
  <c r="AB501" i="1"/>
  <c r="P501" i="1"/>
  <c r="AN500" i="1"/>
  <c r="AB500" i="1"/>
  <c r="P500" i="1"/>
  <c r="AN499" i="1"/>
  <c r="AB499" i="1"/>
  <c r="P499" i="1"/>
  <c r="AN498" i="1"/>
  <c r="AB498" i="1"/>
  <c r="P498" i="1"/>
  <c r="AN497" i="1"/>
  <c r="AB497" i="1"/>
  <c r="P497" i="1"/>
  <c r="AN496" i="1"/>
  <c r="AB496" i="1"/>
  <c r="P496" i="1"/>
  <c r="AN495" i="1"/>
  <c r="AB495" i="1"/>
  <c r="P495" i="1"/>
  <c r="AN494" i="1"/>
  <c r="AB494" i="1"/>
  <c r="P494" i="1"/>
  <c r="AN493" i="1"/>
  <c r="AB493" i="1"/>
  <c r="P493" i="1"/>
  <c r="AN492" i="1"/>
  <c r="AB492" i="1"/>
  <c r="P492" i="1"/>
  <c r="AN491" i="1"/>
  <c r="AB491" i="1"/>
  <c r="P491" i="1"/>
  <c r="AN490" i="1"/>
  <c r="AB490" i="1"/>
  <c r="P490" i="1"/>
  <c r="AN489" i="1"/>
  <c r="AB489" i="1"/>
  <c r="P489" i="1"/>
  <c r="L489" i="1"/>
  <c r="AN488" i="1"/>
  <c r="AB488" i="1"/>
  <c r="P488" i="1"/>
  <c r="AN487" i="1"/>
  <c r="AB487" i="1"/>
  <c r="P487" i="1"/>
  <c r="L487" i="1"/>
  <c r="AN486" i="1"/>
  <c r="AB486" i="1"/>
  <c r="P486" i="1"/>
  <c r="AN485" i="1"/>
  <c r="AB485" i="1"/>
  <c r="P485" i="1"/>
  <c r="AN484" i="1"/>
  <c r="AB484" i="1"/>
  <c r="P484" i="1"/>
  <c r="L484" i="1"/>
  <c r="AN483" i="1"/>
  <c r="AB483" i="1"/>
  <c r="P483" i="1"/>
  <c r="L483" i="1"/>
  <c r="AN482" i="1"/>
  <c r="AB482" i="1"/>
  <c r="P482" i="1"/>
  <c r="AN481" i="1"/>
  <c r="AB481" i="1"/>
  <c r="P481" i="1"/>
  <c r="AN480" i="1"/>
  <c r="AB480" i="1"/>
  <c r="P480" i="1"/>
  <c r="AW479" i="1"/>
  <c r="AR479" i="1"/>
  <c r="AX479" i="1" s="1"/>
  <c r="AN479" i="1"/>
  <c r="AB479" i="1"/>
  <c r="P479" i="1"/>
  <c r="L479" i="1"/>
  <c r="AN478" i="1"/>
  <c r="AB478" i="1"/>
  <c r="P478" i="1"/>
  <c r="AN477" i="1"/>
  <c r="AB477" i="1"/>
  <c r="P477" i="1"/>
  <c r="L477" i="1"/>
  <c r="AN476" i="1"/>
  <c r="AB476" i="1"/>
  <c r="P476" i="1"/>
  <c r="AN475" i="1"/>
  <c r="AB475" i="1"/>
  <c r="P475" i="1"/>
  <c r="L475" i="1"/>
  <c r="AN474" i="1"/>
  <c r="AB474" i="1"/>
  <c r="P474" i="1"/>
  <c r="AN473" i="1"/>
  <c r="AB473" i="1"/>
  <c r="P473" i="1"/>
  <c r="AN472" i="1"/>
  <c r="AB472" i="1"/>
  <c r="P472" i="1"/>
  <c r="AN471" i="1"/>
  <c r="AB471" i="1"/>
  <c r="V471" i="1"/>
  <c r="U471" i="1"/>
  <c r="T471" i="1"/>
  <c r="AA471" i="1" s="1"/>
  <c r="P471" i="1"/>
  <c r="L471" i="1"/>
  <c r="AN470" i="1"/>
  <c r="AB470" i="1"/>
  <c r="V470" i="1"/>
  <c r="U470" i="1"/>
  <c r="T470" i="1"/>
  <c r="AA470" i="1" s="1"/>
  <c r="P470" i="1"/>
  <c r="L470" i="1"/>
  <c r="AN469" i="1"/>
  <c r="AB469" i="1"/>
  <c r="P469" i="1"/>
  <c r="AN468" i="1"/>
  <c r="AB468" i="1"/>
  <c r="P468" i="1"/>
  <c r="AN467" i="1"/>
  <c r="AB467" i="1"/>
  <c r="P467" i="1"/>
  <c r="L467" i="1"/>
  <c r="AN466" i="1"/>
  <c r="AB466" i="1"/>
  <c r="P466" i="1"/>
  <c r="AN465" i="1"/>
  <c r="AB465" i="1"/>
  <c r="P465" i="1"/>
  <c r="AN464" i="1"/>
  <c r="AB464" i="1"/>
  <c r="P464" i="1"/>
  <c r="AN463" i="1"/>
  <c r="AB463" i="1"/>
  <c r="P463" i="1"/>
  <c r="AN462" i="1"/>
  <c r="AB462" i="1"/>
  <c r="P462" i="1"/>
  <c r="AN461" i="1"/>
  <c r="AB461" i="1"/>
  <c r="P461" i="1"/>
  <c r="AN460" i="1"/>
  <c r="AB460" i="1"/>
  <c r="P460" i="1"/>
  <c r="AN459" i="1"/>
  <c r="AB459" i="1"/>
  <c r="P459" i="1"/>
  <c r="L459" i="1"/>
  <c r="AN458" i="1"/>
  <c r="AB458" i="1"/>
  <c r="P458" i="1"/>
  <c r="L458" i="1"/>
  <c r="AN457" i="1"/>
  <c r="AB457" i="1"/>
  <c r="P457" i="1"/>
  <c r="AN456" i="1"/>
  <c r="AB456" i="1"/>
  <c r="P456" i="1"/>
  <c r="AN455" i="1"/>
  <c r="AB455" i="1"/>
  <c r="P455" i="1"/>
  <c r="AN454" i="1"/>
  <c r="AB454" i="1"/>
  <c r="P454" i="1"/>
  <c r="AN453" i="1"/>
  <c r="AB453" i="1"/>
  <c r="P453" i="1"/>
  <c r="AN452" i="1"/>
  <c r="AB452" i="1"/>
  <c r="P452" i="1"/>
  <c r="AN451" i="1"/>
  <c r="AB451" i="1"/>
  <c r="P451" i="1"/>
  <c r="AN450" i="1"/>
  <c r="AB450" i="1"/>
  <c r="P450" i="1"/>
  <c r="AN449" i="1"/>
  <c r="AB449" i="1"/>
  <c r="P449" i="1"/>
  <c r="AN448" i="1"/>
  <c r="AB448" i="1"/>
  <c r="P448" i="1"/>
  <c r="AN447" i="1"/>
  <c r="AB447" i="1"/>
  <c r="P447" i="1"/>
  <c r="AN446" i="1"/>
  <c r="AB446" i="1"/>
  <c r="P446" i="1"/>
  <c r="AN445" i="1"/>
  <c r="AB445" i="1"/>
  <c r="P445" i="1"/>
  <c r="AN444" i="1"/>
  <c r="AD444" i="1"/>
  <c r="AM444" i="1" s="1"/>
  <c r="AB444" i="1"/>
  <c r="P444" i="1"/>
  <c r="L444" i="1"/>
  <c r="AT443" i="1"/>
  <c r="AS443" i="1"/>
  <c r="AR443" i="1"/>
  <c r="AY443" i="1" s="1"/>
  <c r="AN443" i="1"/>
  <c r="AF443" i="1"/>
  <c r="AL443" i="1" s="1"/>
  <c r="AB443" i="1"/>
  <c r="P443" i="1"/>
  <c r="AN442" i="1"/>
  <c r="AB442" i="1"/>
  <c r="P442" i="1"/>
  <c r="AN441" i="1"/>
  <c r="AB441" i="1"/>
  <c r="P441" i="1"/>
  <c r="L441" i="1"/>
  <c r="AN440" i="1"/>
  <c r="AB440" i="1"/>
  <c r="P440" i="1"/>
  <c r="AN439" i="1"/>
  <c r="AB439" i="1"/>
  <c r="P439" i="1"/>
  <c r="L439" i="1"/>
  <c r="AN438" i="1"/>
  <c r="AB438" i="1"/>
  <c r="P438" i="1"/>
  <c r="L438" i="1"/>
  <c r="AN437" i="1"/>
  <c r="AB437" i="1"/>
  <c r="P437" i="1"/>
  <c r="L437" i="1"/>
  <c r="AN436" i="1"/>
  <c r="AB436" i="1"/>
  <c r="P436" i="1"/>
  <c r="L436" i="1"/>
  <c r="AN435" i="1"/>
  <c r="AB435" i="1"/>
  <c r="P435" i="1"/>
  <c r="AN434" i="1"/>
  <c r="AB434" i="1"/>
  <c r="P434" i="1"/>
  <c r="AN433" i="1"/>
  <c r="AB433" i="1"/>
  <c r="P433" i="1"/>
  <c r="AW432" i="1"/>
  <c r="AN432" i="1"/>
  <c r="AF432" i="1"/>
  <c r="AM432" i="1" s="1"/>
  <c r="AB432" i="1"/>
  <c r="P432" i="1"/>
  <c r="AW431" i="1"/>
  <c r="AR431" i="1"/>
  <c r="AX431" i="1" s="1"/>
  <c r="AN431" i="1"/>
  <c r="AK431" i="1"/>
  <c r="AF431" i="1"/>
  <c r="AM431" i="1" s="1"/>
  <c r="AB431" i="1"/>
  <c r="P431" i="1"/>
  <c r="AW430" i="1"/>
  <c r="AN430" i="1"/>
  <c r="AK430" i="1"/>
  <c r="AJ430" i="1"/>
  <c r="AF430" i="1"/>
  <c r="AM430" i="1" s="1"/>
  <c r="AB430" i="1"/>
  <c r="P430" i="1"/>
  <c r="AN429" i="1"/>
  <c r="AB429" i="1"/>
  <c r="P429" i="1"/>
  <c r="AN428" i="1"/>
  <c r="AB428" i="1"/>
  <c r="P428" i="1"/>
  <c r="AN427" i="1"/>
  <c r="AB427" i="1"/>
  <c r="P427" i="1"/>
  <c r="AN426" i="1"/>
  <c r="AB426" i="1"/>
  <c r="P426" i="1"/>
  <c r="AN425" i="1"/>
  <c r="AB425" i="1"/>
  <c r="P425" i="1"/>
  <c r="AN424" i="1"/>
  <c r="AB424" i="1"/>
  <c r="P424" i="1"/>
  <c r="AN423" i="1"/>
  <c r="AB423" i="1"/>
  <c r="P423" i="1"/>
  <c r="AW422" i="1"/>
  <c r="AV422" i="1"/>
  <c r="AR422" i="1"/>
  <c r="AY422" i="1" s="1"/>
  <c r="AO422" i="1"/>
  <c r="AN422" i="1" s="1"/>
  <c r="AB422" i="1"/>
  <c r="P422" i="1"/>
  <c r="AW421" i="1"/>
  <c r="AV421" i="1"/>
  <c r="AR421" i="1"/>
  <c r="AY421" i="1" s="1"/>
  <c r="AN421" i="1"/>
  <c r="AB421" i="1"/>
  <c r="P421" i="1"/>
  <c r="AQ420" i="1"/>
  <c r="AP420" i="1"/>
  <c r="AN420" i="1"/>
  <c r="AE420" i="1"/>
  <c r="AD420" i="1"/>
  <c r="AB420" i="1"/>
  <c r="P420" i="1"/>
  <c r="AN419" i="1"/>
  <c r="AB419" i="1"/>
  <c r="P419" i="1"/>
  <c r="AN418" i="1"/>
  <c r="AB418" i="1"/>
  <c r="P418" i="1"/>
  <c r="AN417" i="1"/>
  <c r="AB417" i="1"/>
  <c r="P417" i="1"/>
  <c r="AN416" i="1"/>
  <c r="AB416" i="1"/>
  <c r="P416" i="1"/>
  <c r="AN415" i="1"/>
  <c r="AB415" i="1"/>
  <c r="P415" i="1"/>
  <c r="AN414" i="1"/>
  <c r="AB414" i="1"/>
  <c r="P414" i="1"/>
  <c r="AN413" i="1"/>
  <c r="AB413" i="1"/>
  <c r="P413" i="1"/>
  <c r="AN412" i="1"/>
  <c r="AB412" i="1"/>
  <c r="P412" i="1"/>
  <c r="AN411" i="1"/>
  <c r="AB411" i="1"/>
  <c r="P411" i="1"/>
  <c r="AN410" i="1"/>
  <c r="AB410" i="1"/>
  <c r="T410" i="1"/>
  <c r="AA410" i="1" s="1"/>
  <c r="P410" i="1"/>
  <c r="AN409" i="1"/>
  <c r="AB409" i="1"/>
  <c r="T409" i="1"/>
  <c r="AA409" i="1" s="1"/>
  <c r="P409" i="1"/>
  <c r="AN408" i="1"/>
  <c r="AB408" i="1"/>
  <c r="P408" i="1"/>
  <c r="AN407" i="1"/>
  <c r="AB407" i="1"/>
  <c r="P407" i="1"/>
  <c r="AN406" i="1"/>
  <c r="AB406" i="1"/>
  <c r="P406" i="1"/>
  <c r="AN405" i="1"/>
  <c r="AB405" i="1"/>
  <c r="P405" i="1"/>
  <c r="AN404" i="1"/>
  <c r="AB404" i="1"/>
  <c r="P404" i="1"/>
  <c r="AN403" i="1"/>
  <c r="AB403" i="1"/>
  <c r="P403" i="1"/>
  <c r="AN402" i="1"/>
  <c r="AB402" i="1"/>
  <c r="P402" i="1"/>
  <c r="AN401" i="1"/>
  <c r="AB401" i="1"/>
  <c r="P401" i="1"/>
  <c r="AN400" i="1"/>
  <c r="AB400" i="1"/>
  <c r="P400" i="1"/>
  <c r="AN399" i="1"/>
  <c r="AB399" i="1"/>
  <c r="P399" i="1"/>
  <c r="AN398" i="1"/>
  <c r="AB398" i="1"/>
  <c r="P398" i="1"/>
  <c r="AN397" i="1"/>
  <c r="AB397" i="1"/>
  <c r="P397" i="1"/>
  <c r="AN396" i="1"/>
  <c r="AB396" i="1"/>
  <c r="P396" i="1"/>
  <c r="AN395" i="1"/>
  <c r="AB395" i="1"/>
  <c r="P395" i="1"/>
  <c r="AW394" i="1"/>
  <c r="AQ394" i="1"/>
  <c r="AP394" i="1"/>
  <c r="AY394" i="1" s="1"/>
  <c r="AN394" i="1"/>
  <c r="AB394" i="1"/>
  <c r="P394" i="1"/>
  <c r="AN393" i="1"/>
  <c r="AB393" i="1"/>
  <c r="P393" i="1"/>
  <c r="AN392" i="1"/>
  <c r="AB392" i="1"/>
  <c r="P392" i="1"/>
  <c r="AN391" i="1"/>
  <c r="AB391" i="1"/>
  <c r="P391" i="1"/>
  <c r="AT390" i="1"/>
  <c r="AR390" i="1"/>
  <c r="AY390" i="1" s="1"/>
  <c r="AQ390" i="1"/>
  <c r="AP390" i="1"/>
  <c r="AN390" i="1"/>
  <c r="AB390" i="1"/>
  <c r="P390" i="1"/>
  <c r="AN389" i="1"/>
  <c r="AB389" i="1"/>
  <c r="P389" i="1"/>
  <c r="AN388" i="1"/>
  <c r="AB388" i="1"/>
  <c r="P388" i="1"/>
  <c r="AN387" i="1"/>
  <c r="AB387" i="1"/>
  <c r="P387" i="1"/>
  <c r="L387" i="1"/>
  <c r="AN386" i="1"/>
  <c r="AB386" i="1"/>
  <c r="P386" i="1"/>
  <c r="L386" i="1"/>
  <c r="AN385" i="1"/>
  <c r="AB385" i="1"/>
  <c r="P385" i="1"/>
  <c r="AN384" i="1"/>
  <c r="AB384" i="1"/>
  <c r="P384" i="1"/>
  <c r="AN383" i="1"/>
  <c r="AB383" i="1"/>
  <c r="P383" i="1"/>
  <c r="AN382" i="1"/>
  <c r="AB382" i="1"/>
  <c r="P382" i="1"/>
  <c r="AN381" i="1"/>
  <c r="AB381" i="1"/>
  <c r="P381" i="1"/>
  <c r="AN380" i="1"/>
  <c r="AB380" i="1"/>
  <c r="P380" i="1"/>
  <c r="AN379" i="1"/>
  <c r="AB379" i="1"/>
  <c r="P379" i="1"/>
  <c r="AN378" i="1"/>
  <c r="AB378" i="1"/>
  <c r="P378" i="1"/>
  <c r="AN377" i="1"/>
  <c r="AB377" i="1"/>
  <c r="P377" i="1"/>
  <c r="AN376" i="1"/>
  <c r="AB376" i="1"/>
  <c r="P376" i="1"/>
  <c r="AN375" i="1"/>
  <c r="AB375" i="1"/>
  <c r="P375" i="1"/>
  <c r="AN374" i="1"/>
  <c r="AB374" i="1"/>
  <c r="P374" i="1"/>
  <c r="AN373" i="1"/>
  <c r="AB373" i="1"/>
  <c r="P373" i="1"/>
  <c r="AW372" i="1"/>
  <c r="AV372" i="1"/>
  <c r="AR372" i="1"/>
  <c r="AY372" i="1" s="1"/>
  <c r="AQ372" i="1"/>
  <c r="AP372" i="1"/>
  <c r="AN372" i="1"/>
  <c r="AB372" i="1"/>
  <c r="P372" i="1"/>
  <c r="AN371" i="1"/>
  <c r="AB371" i="1"/>
  <c r="Y371" i="1"/>
  <c r="X371" i="1"/>
  <c r="T371" i="1"/>
  <c r="AA371" i="1" s="1"/>
  <c r="P371" i="1"/>
  <c r="AN370" i="1"/>
  <c r="AB370" i="1"/>
  <c r="P370" i="1"/>
  <c r="L370" i="1"/>
  <c r="AN369" i="1"/>
  <c r="AB369" i="1"/>
  <c r="P369" i="1"/>
  <c r="AN368" i="1"/>
  <c r="AB368" i="1"/>
  <c r="P368" i="1"/>
  <c r="AN367" i="1"/>
  <c r="AB367" i="1"/>
  <c r="P367" i="1"/>
  <c r="AN366" i="1"/>
  <c r="AB366" i="1"/>
  <c r="P366" i="1"/>
  <c r="AN365" i="1"/>
  <c r="AB365" i="1"/>
  <c r="P365" i="1"/>
  <c r="AN364" i="1"/>
  <c r="AB364" i="1"/>
  <c r="P364" i="1"/>
  <c r="AW363" i="1"/>
  <c r="AR363" i="1"/>
  <c r="AY363" i="1" s="1"/>
  <c r="AQ363" i="1"/>
  <c r="AP363" i="1"/>
  <c r="AN363" i="1"/>
  <c r="AB363" i="1"/>
  <c r="P363" i="1"/>
  <c r="AT362" i="1"/>
  <c r="AS362" i="1"/>
  <c r="AR362" i="1"/>
  <c r="AX362" i="1" s="1"/>
  <c r="AN362" i="1"/>
  <c r="AH362" i="1"/>
  <c r="AG362" i="1"/>
  <c r="AF362" i="1"/>
  <c r="AM362" i="1" s="1"/>
  <c r="AB362" i="1"/>
  <c r="P362" i="1"/>
  <c r="AN361" i="1"/>
  <c r="AB361" i="1"/>
  <c r="P361" i="1"/>
  <c r="AN360" i="1"/>
  <c r="AB360" i="1"/>
  <c r="P360" i="1"/>
  <c r="AN359" i="1"/>
  <c r="AB359" i="1"/>
  <c r="P359" i="1"/>
  <c r="L359" i="1"/>
  <c r="AN358" i="1"/>
  <c r="AB358" i="1"/>
  <c r="P358" i="1"/>
  <c r="L358" i="1"/>
  <c r="AN357" i="1"/>
  <c r="AB357" i="1"/>
  <c r="P357" i="1"/>
  <c r="AN356" i="1"/>
  <c r="AB356" i="1"/>
  <c r="P356" i="1"/>
  <c r="AN355" i="1"/>
  <c r="AB355" i="1"/>
  <c r="P355" i="1"/>
  <c r="L355" i="1"/>
  <c r="AN354" i="1"/>
  <c r="AB354" i="1"/>
  <c r="P354" i="1"/>
  <c r="AN353" i="1"/>
  <c r="AB353" i="1"/>
  <c r="P353" i="1"/>
  <c r="L353" i="1"/>
  <c r="AN352" i="1"/>
  <c r="AB352" i="1"/>
  <c r="P352" i="1"/>
  <c r="AW351" i="1"/>
  <c r="AN351" i="1"/>
  <c r="AB351" i="1"/>
  <c r="P351" i="1"/>
  <c r="AN350" i="1"/>
  <c r="AB350" i="1"/>
  <c r="P350" i="1"/>
  <c r="AN349" i="1"/>
  <c r="AB349" i="1"/>
  <c r="P349" i="1"/>
  <c r="L349" i="1"/>
  <c r="AN348" i="1"/>
  <c r="AB348" i="1"/>
  <c r="P348" i="1"/>
  <c r="L348" i="1"/>
  <c r="AN347" i="1"/>
  <c r="AB347" i="1"/>
  <c r="P347" i="1"/>
  <c r="AN346" i="1"/>
  <c r="AB346" i="1"/>
  <c r="Q346" i="1"/>
  <c r="P346" i="1" s="1"/>
  <c r="L346" i="1"/>
  <c r="AN345" i="1"/>
  <c r="AB345" i="1"/>
  <c r="Q345" i="1"/>
  <c r="P345" i="1" s="1"/>
  <c r="L345" i="1"/>
  <c r="AN344" i="1"/>
  <c r="AB344" i="1"/>
  <c r="P344" i="1"/>
  <c r="AN343" i="1"/>
  <c r="AB343" i="1"/>
  <c r="P343" i="1"/>
  <c r="L343" i="1"/>
  <c r="AN342" i="1"/>
  <c r="AB342" i="1"/>
  <c r="P342" i="1"/>
  <c r="L342" i="1"/>
  <c r="AN341" i="1"/>
  <c r="AB341" i="1"/>
  <c r="P341" i="1"/>
  <c r="AN340" i="1"/>
  <c r="AB340" i="1"/>
  <c r="P340" i="1"/>
  <c r="AN339" i="1"/>
  <c r="AB339" i="1"/>
  <c r="P339" i="1"/>
  <c r="AN338" i="1"/>
  <c r="AB338" i="1"/>
  <c r="P338" i="1"/>
  <c r="AN337" i="1"/>
  <c r="AB337" i="1"/>
  <c r="P337" i="1"/>
  <c r="AN336" i="1"/>
  <c r="AB336" i="1"/>
  <c r="P336" i="1"/>
  <c r="AN335" i="1"/>
  <c r="AB335" i="1"/>
  <c r="P335" i="1"/>
  <c r="AN334" i="1"/>
  <c r="AB334" i="1"/>
  <c r="P334" i="1"/>
  <c r="AN333" i="1"/>
  <c r="AB333" i="1"/>
  <c r="P333" i="1"/>
  <c r="AN332" i="1"/>
  <c r="AB332" i="1"/>
  <c r="P332" i="1"/>
  <c r="AN331" i="1"/>
  <c r="AB331" i="1"/>
  <c r="P331" i="1"/>
  <c r="AN330" i="1"/>
  <c r="AB330" i="1"/>
  <c r="P330" i="1"/>
  <c r="AN329" i="1"/>
  <c r="AB329" i="1"/>
  <c r="P329" i="1"/>
  <c r="AN328" i="1"/>
  <c r="AB328" i="1"/>
  <c r="P328" i="1"/>
  <c r="AN327" i="1"/>
  <c r="AB327" i="1"/>
  <c r="P327" i="1"/>
  <c r="AN326" i="1"/>
  <c r="AB326" i="1"/>
  <c r="P326" i="1"/>
  <c r="AN325" i="1"/>
  <c r="AB325" i="1"/>
  <c r="P325" i="1"/>
  <c r="AN324" i="1"/>
  <c r="AB324" i="1"/>
  <c r="P324" i="1"/>
  <c r="AN323" i="1"/>
  <c r="AB323" i="1"/>
  <c r="P323" i="1"/>
  <c r="AN322" i="1"/>
  <c r="AB322" i="1"/>
  <c r="P322" i="1"/>
  <c r="AN321" i="1"/>
  <c r="AB321" i="1"/>
  <c r="P321" i="1"/>
  <c r="AN320" i="1"/>
  <c r="AB320" i="1"/>
  <c r="P320" i="1"/>
  <c r="AN319" i="1"/>
  <c r="AB319" i="1"/>
  <c r="P319" i="1"/>
  <c r="AN318" i="1"/>
  <c r="AB318" i="1"/>
  <c r="P318" i="1"/>
  <c r="AN317" i="1"/>
  <c r="AB317" i="1"/>
  <c r="P317" i="1"/>
  <c r="AN316" i="1"/>
  <c r="AB316" i="1"/>
  <c r="P316" i="1"/>
  <c r="AN315" i="1"/>
  <c r="AB315" i="1"/>
  <c r="P315" i="1"/>
  <c r="AN314" i="1"/>
  <c r="AB314" i="1"/>
  <c r="P314" i="1"/>
  <c r="AN313" i="1"/>
  <c r="AB313" i="1"/>
  <c r="P313" i="1"/>
  <c r="AN312" i="1"/>
  <c r="AB312" i="1"/>
  <c r="P312" i="1"/>
  <c r="AW311" i="1"/>
  <c r="AV311" i="1"/>
  <c r="AR311" i="1"/>
  <c r="AX311" i="1" s="1"/>
  <c r="AP311" i="1"/>
  <c r="AN311" i="1"/>
  <c r="AB311" i="1"/>
  <c r="Y311" i="1"/>
  <c r="X311" i="1"/>
  <c r="T311" i="1"/>
  <c r="AA311" i="1" s="1"/>
  <c r="R311" i="1"/>
  <c r="P311" i="1"/>
  <c r="AW310" i="1"/>
  <c r="AR310" i="1"/>
  <c r="AY310" i="1" s="1"/>
  <c r="AP310" i="1"/>
  <c r="AN310" i="1"/>
  <c r="AB310" i="1"/>
  <c r="Y310" i="1"/>
  <c r="T310" i="1"/>
  <c r="AA310" i="1" s="1"/>
  <c r="R310" i="1"/>
  <c r="P310" i="1"/>
  <c r="AN309" i="1"/>
  <c r="AB309" i="1"/>
  <c r="P309" i="1"/>
  <c r="AN308" i="1"/>
  <c r="AB308" i="1"/>
  <c r="P308" i="1"/>
  <c r="AT307" i="1"/>
  <c r="AN307" i="1"/>
  <c r="AB307" i="1"/>
  <c r="P307" i="1"/>
  <c r="AN306" i="1"/>
  <c r="AB306" i="1"/>
  <c r="P306" i="1"/>
  <c r="AN305" i="1"/>
  <c r="AB305" i="1"/>
  <c r="P305" i="1"/>
  <c r="AN304" i="1"/>
  <c r="AB304" i="1"/>
  <c r="P304" i="1"/>
  <c r="AT303" i="1"/>
  <c r="AS303" i="1"/>
  <c r="AR303" i="1"/>
  <c r="AY303" i="1" s="1"/>
  <c r="AN303" i="1"/>
  <c r="AB303" i="1"/>
  <c r="V303" i="1"/>
  <c r="U303" i="1"/>
  <c r="T303" i="1"/>
  <c r="AA303" i="1" s="1"/>
  <c r="P303" i="1"/>
  <c r="AN302" i="1"/>
  <c r="AB302" i="1"/>
  <c r="P302" i="1"/>
  <c r="AN301" i="1"/>
  <c r="AB301" i="1"/>
  <c r="P301" i="1"/>
  <c r="AN300" i="1"/>
  <c r="AB300" i="1"/>
  <c r="P300" i="1"/>
  <c r="L300" i="1"/>
  <c r="AN299" i="1"/>
  <c r="AB299" i="1"/>
  <c r="P299" i="1"/>
  <c r="AN298" i="1"/>
  <c r="AB298" i="1"/>
  <c r="P298" i="1"/>
  <c r="L298" i="1"/>
  <c r="AN297" i="1"/>
  <c r="AB297" i="1"/>
  <c r="P297" i="1"/>
  <c r="L297" i="1"/>
  <c r="AN296" i="1"/>
  <c r="AB296" i="1"/>
  <c r="P296" i="1"/>
  <c r="L296" i="1"/>
  <c r="AN295" i="1"/>
  <c r="AB295" i="1"/>
  <c r="P295" i="1"/>
  <c r="L295" i="1"/>
  <c r="AN294" i="1"/>
  <c r="AB294" i="1"/>
  <c r="P294" i="1"/>
  <c r="AN293" i="1"/>
  <c r="AB293" i="1"/>
  <c r="P293" i="1"/>
  <c r="AN292" i="1"/>
  <c r="AB292" i="1"/>
  <c r="P292" i="1"/>
  <c r="AN291" i="1"/>
  <c r="AB291" i="1"/>
  <c r="P291" i="1"/>
  <c r="L291" i="1"/>
  <c r="AN290" i="1"/>
  <c r="AB290" i="1"/>
  <c r="Q290" i="1"/>
  <c r="P290" i="1" s="1"/>
  <c r="AN289" i="1"/>
  <c r="AB289" i="1"/>
  <c r="Q289" i="1"/>
  <c r="P289" i="1" s="1"/>
  <c r="AN288" i="1"/>
  <c r="AB288" i="1"/>
  <c r="Q288" i="1"/>
  <c r="P288" i="1" s="1"/>
  <c r="AN287" i="1"/>
  <c r="AB287" i="1"/>
  <c r="Q287" i="1"/>
  <c r="P287" i="1" s="1"/>
  <c r="AN286" i="1"/>
  <c r="AB286" i="1"/>
  <c r="Q286" i="1"/>
  <c r="P286" i="1" s="1"/>
  <c r="AN285" i="1"/>
  <c r="AB285" i="1"/>
  <c r="Q285" i="1"/>
  <c r="P285" i="1" s="1"/>
  <c r="AN284" i="1"/>
  <c r="AB284" i="1"/>
  <c r="Q284" i="1"/>
  <c r="P284" i="1" s="1"/>
  <c r="AN283" i="1"/>
  <c r="AB283" i="1"/>
  <c r="Q283" i="1"/>
  <c r="P283" i="1" s="1"/>
  <c r="AN282" i="1"/>
  <c r="AB282" i="1"/>
  <c r="Q282" i="1"/>
  <c r="P282" i="1" s="1"/>
  <c r="AN281" i="1"/>
  <c r="AB281" i="1"/>
  <c r="Q281" i="1"/>
  <c r="P281" i="1" s="1"/>
  <c r="AN280" i="1"/>
  <c r="AB280" i="1"/>
  <c r="Q280" i="1"/>
  <c r="P280" i="1" s="1"/>
  <c r="AN279" i="1"/>
  <c r="AB279" i="1"/>
  <c r="Q279" i="1"/>
  <c r="P279" i="1" s="1"/>
  <c r="AN278" i="1"/>
  <c r="AB278" i="1"/>
  <c r="Q278" i="1"/>
  <c r="P278" i="1" s="1"/>
  <c r="AN277" i="1"/>
  <c r="AB277" i="1"/>
  <c r="Q277" i="1"/>
  <c r="P277" i="1" s="1"/>
  <c r="AN276" i="1"/>
  <c r="AB276" i="1"/>
  <c r="Q276" i="1"/>
  <c r="P276" i="1" s="1"/>
  <c r="AN275" i="1"/>
  <c r="AB275" i="1"/>
  <c r="Q275" i="1"/>
  <c r="P275" i="1" s="1"/>
  <c r="AN274" i="1"/>
  <c r="AB274" i="1"/>
  <c r="Q274" i="1"/>
  <c r="P274" i="1" s="1"/>
  <c r="AN273" i="1"/>
  <c r="AB273" i="1"/>
  <c r="Q273" i="1"/>
  <c r="P273" i="1" s="1"/>
  <c r="AN272" i="1"/>
  <c r="AB272" i="1"/>
  <c r="Q272" i="1"/>
  <c r="P272" i="1" s="1"/>
  <c r="AN271" i="1"/>
  <c r="AB271" i="1"/>
  <c r="Q271" i="1"/>
  <c r="P271" i="1" s="1"/>
  <c r="AN270" i="1"/>
  <c r="AB270" i="1"/>
  <c r="Q270" i="1"/>
  <c r="P270" i="1" s="1"/>
  <c r="AN269" i="1"/>
  <c r="AB269" i="1"/>
  <c r="Q269" i="1"/>
  <c r="P269" i="1" s="1"/>
  <c r="AN268" i="1"/>
  <c r="AB268" i="1"/>
  <c r="Q268" i="1"/>
  <c r="P268" i="1" s="1"/>
  <c r="AN267" i="1"/>
  <c r="AB267" i="1"/>
  <c r="Q267" i="1"/>
  <c r="P267" i="1" s="1"/>
  <c r="AN266" i="1"/>
  <c r="AB266" i="1"/>
  <c r="Q266" i="1"/>
  <c r="P266" i="1" s="1"/>
  <c r="AN265" i="1"/>
  <c r="AB265" i="1"/>
  <c r="Q265" i="1"/>
  <c r="P265" i="1" s="1"/>
  <c r="AN264" i="1"/>
  <c r="AB264" i="1"/>
  <c r="Q264" i="1"/>
  <c r="P264" i="1" s="1"/>
  <c r="AN263" i="1"/>
  <c r="AB263" i="1"/>
  <c r="Q263" i="1"/>
  <c r="P263" i="1" s="1"/>
  <c r="AN262" i="1"/>
  <c r="AB262" i="1"/>
  <c r="Q262" i="1"/>
  <c r="P262" i="1" s="1"/>
  <c r="AN261" i="1"/>
  <c r="AB261" i="1"/>
  <c r="Q261" i="1"/>
  <c r="P261" i="1" s="1"/>
  <c r="AN260" i="1"/>
  <c r="AB260" i="1"/>
  <c r="P260" i="1"/>
  <c r="AW259" i="1"/>
  <c r="AQ259" i="1"/>
  <c r="AP259" i="1"/>
  <c r="AY259" i="1" s="1"/>
  <c r="AN259" i="1"/>
  <c r="AB259" i="1"/>
  <c r="P259" i="1"/>
  <c r="AN258" i="1"/>
  <c r="AB258" i="1"/>
  <c r="P258" i="1"/>
  <c r="AN257" i="1"/>
  <c r="AB257" i="1"/>
  <c r="P257" i="1"/>
  <c r="AN256" i="1"/>
  <c r="AB256" i="1"/>
  <c r="P256" i="1"/>
  <c r="AN255" i="1"/>
  <c r="AB255" i="1"/>
  <c r="P255" i="1"/>
  <c r="AN254" i="1"/>
  <c r="AB254" i="1"/>
  <c r="P254" i="1"/>
  <c r="AN253" i="1"/>
  <c r="AB253" i="1"/>
  <c r="P253" i="1"/>
  <c r="AN252" i="1"/>
  <c r="AB252" i="1"/>
  <c r="P252" i="1"/>
  <c r="L252" i="1"/>
  <c r="AN251" i="1"/>
  <c r="AB251" i="1"/>
  <c r="P251" i="1"/>
  <c r="AN250" i="1"/>
  <c r="AB250" i="1"/>
  <c r="P250" i="1"/>
  <c r="AN249" i="1"/>
  <c r="AB249" i="1"/>
  <c r="P249" i="1"/>
  <c r="AN248" i="1"/>
  <c r="AB248" i="1"/>
  <c r="P248" i="1"/>
  <c r="AN247" i="1"/>
  <c r="AB247" i="1"/>
  <c r="P247" i="1"/>
  <c r="AN246" i="1"/>
  <c r="AB246" i="1"/>
  <c r="P246" i="1"/>
  <c r="AN245" i="1"/>
  <c r="AB245" i="1"/>
  <c r="P245" i="1"/>
  <c r="AN244" i="1"/>
  <c r="AB244" i="1"/>
  <c r="P244" i="1"/>
  <c r="AN243" i="1"/>
  <c r="AB243" i="1"/>
  <c r="P243" i="1"/>
  <c r="AN242" i="1"/>
  <c r="AB242" i="1"/>
  <c r="P242" i="1"/>
  <c r="AN241" i="1"/>
  <c r="AB241" i="1"/>
  <c r="P241" i="1"/>
  <c r="AN240" i="1"/>
  <c r="AB240" i="1"/>
  <c r="P240" i="1"/>
  <c r="AN239" i="1"/>
  <c r="AB239" i="1"/>
  <c r="P239" i="1"/>
  <c r="AN238" i="1"/>
  <c r="AB238" i="1"/>
  <c r="P238" i="1"/>
  <c r="AN237" i="1"/>
  <c r="AB237" i="1"/>
  <c r="P237" i="1"/>
  <c r="AN236" i="1"/>
  <c r="AB236" i="1"/>
  <c r="P236" i="1"/>
  <c r="AN235" i="1"/>
  <c r="AB235" i="1"/>
  <c r="P235" i="1"/>
  <c r="AN234" i="1"/>
  <c r="AB234" i="1"/>
  <c r="P234" i="1"/>
  <c r="AN233" i="1"/>
  <c r="AB233" i="1"/>
  <c r="P233" i="1"/>
  <c r="AN232" i="1"/>
  <c r="AB232" i="1"/>
  <c r="P232" i="1"/>
  <c r="L232" i="1"/>
  <c r="AN231" i="1"/>
  <c r="AB231" i="1"/>
  <c r="P231" i="1"/>
  <c r="L231" i="1"/>
  <c r="AN230" i="1"/>
  <c r="AB230" i="1"/>
  <c r="P230" i="1"/>
  <c r="AN229" i="1"/>
  <c r="AB229" i="1"/>
  <c r="P229" i="1"/>
  <c r="AN228" i="1"/>
  <c r="AB228" i="1"/>
  <c r="P228" i="1"/>
  <c r="AN227" i="1"/>
  <c r="AB227" i="1"/>
  <c r="P227" i="1"/>
  <c r="AN226" i="1"/>
  <c r="AB226" i="1"/>
  <c r="P226" i="1"/>
  <c r="AN225" i="1"/>
  <c r="AB225" i="1"/>
  <c r="P225" i="1"/>
  <c r="AN224" i="1"/>
  <c r="AB224" i="1"/>
  <c r="P224" i="1"/>
  <c r="AN223" i="1"/>
  <c r="AB223" i="1"/>
  <c r="P223" i="1"/>
  <c r="AN222" i="1"/>
  <c r="AB222" i="1"/>
  <c r="P222" i="1"/>
  <c r="AN221" i="1"/>
  <c r="AB221" i="1"/>
  <c r="P221" i="1"/>
  <c r="AN220" i="1"/>
  <c r="AB220" i="1"/>
  <c r="V220" i="1"/>
  <c r="U220" i="1"/>
  <c r="T220" i="1"/>
  <c r="Z220" i="1" s="1"/>
  <c r="P220" i="1"/>
  <c r="AN219" i="1"/>
  <c r="AB219" i="1"/>
  <c r="V219" i="1"/>
  <c r="U219" i="1"/>
  <c r="T219" i="1"/>
  <c r="AA219" i="1" s="1"/>
  <c r="P219" i="1"/>
  <c r="AN218" i="1"/>
  <c r="AB218" i="1"/>
  <c r="V218" i="1"/>
  <c r="U218" i="1"/>
  <c r="T218" i="1"/>
  <c r="AA218" i="1" s="1"/>
  <c r="P218" i="1"/>
  <c r="AN217" i="1"/>
  <c r="AB217" i="1"/>
  <c r="P217" i="1"/>
  <c r="AN216" i="1"/>
  <c r="AB216" i="1"/>
  <c r="P216" i="1"/>
  <c r="AN215" i="1"/>
  <c r="AB215" i="1"/>
  <c r="P215" i="1"/>
  <c r="AN214" i="1"/>
  <c r="AB214" i="1"/>
  <c r="P214" i="1"/>
  <c r="AN213" i="1"/>
  <c r="AB213" i="1"/>
  <c r="P213" i="1"/>
  <c r="AN212" i="1"/>
  <c r="AB212" i="1"/>
  <c r="P212" i="1"/>
  <c r="AN211" i="1"/>
  <c r="AB211" i="1"/>
  <c r="P211" i="1"/>
  <c r="AN210" i="1"/>
  <c r="AB210" i="1"/>
  <c r="P210" i="1"/>
  <c r="AN209" i="1"/>
  <c r="AB209" i="1"/>
  <c r="P209" i="1"/>
  <c r="AN208" i="1"/>
  <c r="AB208" i="1"/>
  <c r="P208" i="1"/>
  <c r="AN207" i="1"/>
  <c r="AB207" i="1"/>
  <c r="P207" i="1"/>
  <c r="AN206" i="1"/>
  <c r="AB206" i="1"/>
  <c r="P206" i="1"/>
  <c r="AN205" i="1"/>
  <c r="AB205" i="1"/>
  <c r="P205" i="1"/>
  <c r="AN204" i="1"/>
  <c r="AB204" i="1"/>
  <c r="P204" i="1"/>
  <c r="AN203" i="1"/>
  <c r="AB203" i="1"/>
  <c r="P203" i="1"/>
  <c r="AN202" i="1"/>
  <c r="AB202" i="1"/>
  <c r="P202" i="1"/>
  <c r="AP201" i="1"/>
  <c r="AY201" i="1" s="1"/>
  <c r="AN201" i="1"/>
  <c r="AB201" i="1"/>
  <c r="P201" i="1"/>
  <c r="AP200" i="1"/>
  <c r="AY200" i="1" s="1"/>
  <c r="AN200" i="1"/>
  <c r="AB200" i="1"/>
  <c r="P200" i="1"/>
  <c r="AP199" i="1"/>
  <c r="AY199" i="1" s="1"/>
  <c r="AN199" i="1"/>
  <c r="AB199" i="1"/>
  <c r="P199" i="1"/>
  <c r="AP198" i="1"/>
  <c r="AY198" i="1" s="1"/>
  <c r="AN198" i="1"/>
  <c r="AB198" i="1"/>
  <c r="P198" i="1"/>
  <c r="AP197" i="1"/>
  <c r="AY197" i="1" s="1"/>
  <c r="AN197" i="1"/>
  <c r="AB197" i="1"/>
  <c r="P197" i="1"/>
  <c r="AP196" i="1"/>
  <c r="AY196" i="1" s="1"/>
  <c r="AN196" i="1"/>
  <c r="AB196" i="1"/>
  <c r="P196" i="1"/>
  <c r="AP195" i="1"/>
  <c r="AY195" i="1" s="1"/>
  <c r="AN195" i="1"/>
  <c r="AB195" i="1"/>
  <c r="P195" i="1"/>
  <c r="AP194" i="1"/>
  <c r="AY194" i="1" s="1"/>
  <c r="AN194" i="1"/>
  <c r="AB194" i="1"/>
  <c r="P194" i="1"/>
  <c r="AP193" i="1"/>
  <c r="AY193" i="1" s="1"/>
  <c r="AN193" i="1"/>
  <c r="AB193" i="1"/>
  <c r="P193" i="1"/>
  <c r="AP192" i="1"/>
  <c r="AY192" i="1" s="1"/>
  <c r="AN192" i="1"/>
  <c r="AB192" i="1"/>
  <c r="P192" i="1"/>
  <c r="AP191" i="1"/>
  <c r="AY191" i="1" s="1"/>
  <c r="AN191" i="1"/>
  <c r="AB191" i="1"/>
  <c r="P191" i="1"/>
  <c r="AP190" i="1"/>
  <c r="AY190" i="1" s="1"/>
  <c r="AN190" i="1"/>
  <c r="AB190" i="1"/>
  <c r="P190" i="1"/>
  <c r="AN189" i="1"/>
  <c r="AB189" i="1"/>
  <c r="P189" i="1"/>
  <c r="AN188" i="1"/>
  <c r="AB188" i="1"/>
  <c r="P188" i="1"/>
  <c r="AN187" i="1"/>
  <c r="AB187" i="1"/>
  <c r="P187" i="1"/>
  <c r="AN186" i="1"/>
  <c r="AB186" i="1"/>
  <c r="P186" i="1"/>
  <c r="AN185" i="1"/>
  <c r="AB185" i="1"/>
  <c r="P185" i="1"/>
  <c r="AN184" i="1"/>
  <c r="AB184" i="1"/>
  <c r="P184" i="1"/>
  <c r="AW183" i="1"/>
  <c r="AV183" i="1"/>
  <c r="AR183" i="1"/>
  <c r="AY183" i="1" s="1"/>
  <c r="AN183" i="1"/>
  <c r="AK183" i="1"/>
  <c r="AF183" i="1"/>
  <c r="AM183" i="1" s="1"/>
  <c r="AB183" i="1"/>
  <c r="P183" i="1"/>
  <c r="L183" i="1"/>
  <c r="AW182" i="1"/>
  <c r="AV182" i="1"/>
  <c r="AQ182" i="1"/>
  <c r="AP182" i="1"/>
  <c r="AY182" i="1" s="1"/>
  <c r="AN182" i="1"/>
  <c r="AB182" i="1"/>
  <c r="P182" i="1"/>
  <c r="AN181" i="1"/>
  <c r="AB181" i="1"/>
  <c r="V181" i="1"/>
  <c r="U181" i="1"/>
  <c r="T181" i="1"/>
  <c r="AA181" i="1" s="1"/>
  <c r="P181" i="1"/>
  <c r="L181" i="1"/>
  <c r="AR180" i="1"/>
  <c r="AY180" i="1" s="1"/>
  <c r="AQ180" i="1"/>
  <c r="AN180" i="1"/>
  <c r="AB180" i="1"/>
  <c r="P180" i="1"/>
  <c r="L180" i="1"/>
  <c r="AN179" i="1"/>
  <c r="AB179" i="1"/>
  <c r="P179" i="1"/>
  <c r="AN178" i="1"/>
  <c r="AB178" i="1"/>
  <c r="P178" i="1"/>
  <c r="AN177" i="1"/>
  <c r="AB177" i="1"/>
  <c r="P177" i="1"/>
  <c r="AN176" i="1"/>
  <c r="AB176" i="1"/>
  <c r="P176" i="1"/>
  <c r="AN175" i="1"/>
  <c r="AB175" i="1"/>
  <c r="P175" i="1"/>
  <c r="AN174" i="1"/>
  <c r="AB174" i="1"/>
  <c r="P174" i="1"/>
  <c r="AN173" i="1"/>
  <c r="AB173" i="1"/>
  <c r="P173" i="1"/>
  <c r="AN172" i="1"/>
  <c r="AB172" i="1"/>
  <c r="P172" i="1"/>
  <c r="AN171" i="1"/>
  <c r="AB171" i="1"/>
  <c r="P171" i="1"/>
  <c r="AN170" i="1"/>
  <c r="AB170" i="1"/>
  <c r="P170" i="1"/>
  <c r="AN169" i="1"/>
  <c r="AB169" i="1"/>
  <c r="P169" i="1"/>
  <c r="AN168" i="1"/>
  <c r="AB168" i="1"/>
  <c r="P168" i="1"/>
  <c r="AN167" i="1"/>
  <c r="AB167" i="1"/>
  <c r="Q167" i="1"/>
  <c r="P167" i="1" s="1"/>
  <c r="AN166" i="1"/>
  <c r="AB166" i="1"/>
  <c r="Q166" i="1"/>
  <c r="P166" i="1" s="1"/>
  <c r="AN165" i="1"/>
  <c r="AB165" i="1"/>
  <c r="AN164" i="1"/>
  <c r="AB164" i="1"/>
  <c r="AN163" i="1"/>
  <c r="AB163" i="1"/>
  <c r="P163" i="1"/>
  <c r="AN162" i="1"/>
  <c r="AB162" i="1"/>
  <c r="P162" i="1"/>
  <c r="AN161" i="1"/>
  <c r="AB161" i="1"/>
  <c r="P161" i="1"/>
  <c r="AN160" i="1"/>
  <c r="AB160" i="1"/>
  <c r="P160" i="1"/>
  <c r="AN159" i="1"/>
  <c r="AB159" i="1"/>
  <c r="P159" i="1"/>
  <c r="AN158" i="1"/>
  <c r="AB158" i="1"/>
  <c r="P158" i="1"/>
  <c r="AN157" i="1"/>
  <c r="AB157" i="1"/>
  <c r="P157" i="1"/>
  <c r="AN156" i="1"/>
  <c r="AB156" i="1"/>
  <c r="P156" i="1"/>
  <c r="AN155" i="1"/>
  <c r="AB155" i="1"/>
  <c r="P155" i="1"/>
  <c r="AN154" i="1"/>
  <c r="AB154" i="1"/>
  <c r="P154" i="1"/>
  <c r="AN153" i="1"/>
  <c r="AB153" i="1"/>
  <c r="P153" i="1"/>
  <c r="AN152" i="1"/>
  <c r="AB152" i="1"/>
  <c r="P152" i="1"/>
  <c r="AN151" i="1"/>
  <c r="AB151" i="1"/>
  <c r="P151" i="1"/>
  <c r="AN150" i="1"/>
  <c r="AB150" i="1"/>
  <c r="P150" i="1"/>
  <c r="AN149" i="1"/>
  <c r="AB149" i="1"/>
  <c r="P149" i="1"/>
  <c r="AN148" i="1"/>
  <c r="AB148" i="1"/>
  <c r="P148" i="1"/>
  <c r="AN147" i="1"/>
  <c r="AB147" i="1"/>
  <c r="P147" i="1"/>
  <c r="AN146" i="1"/>
  <c r="AB146" i="1"/>
  <c r="P146" i="1"/>
  <c r="AN145" i="1"/>
  <c r="AB145" i="1"/>
  <c r="P145" i="1"/>
  <c r="AN144" i="1"/>
  <c r="AB144" i="1"/>
  <c r="P144" i="1"/>
  <c r="AN143" i="1"/>
  <c r="AB143" i="1"/>
  <c r="P143" i="1"/>
  <c r="AN142" i="1"/>
  <c r="AB142" i="1"/>
  <c r="P142" i="1"/>
  <c r="AN141" i="1"/>
  <c r="AB141" i="1"/>
  <c r="P141" i="1"/>
  <c r="AN140" i="1"/>
  <c r="AB140" i="1"/>
  <c r="P140" i="1"/>
  <c r="AN139" i="1"/>
  <c r="AB139" i="1"/>
  <c r="P139" i="1"/>
  <c r="AN138" i="1"/>
  <c r="AB138" i="1"/>
  <c r="P138" i="1"/>
  <c r="AN137" i="1"/>
  <c r="AB137" i="1"/>
  <c r="P137" i="1"/>
  <c r="AN136" i="1"/>
  <c r="AB136" i="1"/>
  <c r="P136" i="1"/>
  <c r="AN135" i="1"/>
  <c r="AB135" i="1"/>
  <c r="P135" i="1"/>
  <c r="AN134" i="1"/>
  <c r="AB134" i="1"/>
  <c r="P134" i="1"/>
  <c r="AW133" i="1"/>
  <c r="AR133" i="1"/>
  <c r="AX133" i="1" s="1"/>
  <c r="AQ133" i="1"/>
  <c r="AN133" i="1"/>
  <c r="AB133" i="1"/>
  <c r="P133" i="1"/>
  <c r="AN132" i="1"/>
  <c r="AB132" i="1"/>
  <c r="P132" i="1"/>
  <c r="L132" i="1"/>
  <c r="AN131" i="1"/>
  <c r="AB131" i="1"/>
  <c r="P131" i="1"/>
  <c r="L131" i="1"/>
  <c r="AN130" i="1"/>
  <c r="AB130" i="1"/>
  <c r="P130" i="1"/>
  <c r="AN129" i="1"/>
  <c r="AB129" i="1"/>
  <c r="P129" i="1"/>
  <c r="AN128" i="1"/>
  <c r="AB128" i="1"/>
  <c r="P128" i="1"/>
  <c r="L128" i="1"/>
  <c r="AT127" i="1"/>
  <c r="AS127" i="1"/>
  <c r="AR127" i="1"/>
  <c r="AY127" i="1" s="1"/>
  <c r="AN127" i="1"/>
  <c r="AB127" i="1"/>
  <c r="P127" i="1"/>
  <c r="L127" i="1"/>
  <c r="AN126" i="1"/>
  <c r="AB126" i="1"/>
  <c r="P126" i="1"/>
  <c r="AN125" i="1"/>
  <c r="AB125" i="1"/>
  <c r="P125" i="1"/>
  <c r="AN124" i="1"/>
  <c r="AB124" i="1"/>
  <c r="P124" i="1"/>
  <c r="AN123" i="1"/>
  <c r="AB123" i="1"/>
  <c r="P123" i="1"/>
  <c r="AW122" i="1"/>
  <c r="AR122" i="1"/>
  <c r="AY122" i="1" s="1"/>
  <c r="AN122" i="1"/>
  <c r="AK122" i="1"/>
  <c r="AF122" i="1"/>
  <c r="AL122" i="1" s="1"/>
  <c r="AB122" i="1"/>
  <c r="P122" i="1"/>
  <c r="L122" i="1"/>
  <c r="AW121" i="1"/>
  <c r="AP121" i="1"/>
  <c r="AY121" i="1" s="1"/>
  <c r="AN121" i="1"/>
  <c r="AB121" i="1"/>
  <c r="P121" i="1"/>
  <c r="AN120" i="1"/>
  <c r="AB120" i="1"/>
  <c r="P120" i="1"/>
  <c r="L120" i="1"/>
  <c r="AN119" i="1"/>
  <c r="AB119" i="1"/>
  <c r="P119" i="1"/>
  <c r="AN118" i="1"/>
  <c r="AB118" i="1"/>
  <c r="P118" i="1"/>
  <c r="L118" i="1"/>
  <c r="AW117" i="1"/>
  <c r="AP117" i="1"/>
  <c r="AY117" i="1" s="1"/>
  <c r="AN117" i="1"/>
  <c r="AB117" i="1"/>
  <c r="Y117" i="1"/>
  <c r="S117" i="1"/>
  <c r="R117" i="1"/>
  <c r="AA117" i="1" s="1"/>
  <c r="P117" i="1"/>
  <c r="AN116" i="1"/>
  <c r="AB116" i="1"/>
  <c r="V116" i="1"/>
  <c r="U116" i="1"/>
  <c r="T116" i="1"/>
  <c r="AA116" i="1" s="1"/>
  <c r="P116" i="1"/>
  <c r="AN115" i="1"/>
  <c r="AB115" i="1"/>
  <c r="P115" i="1"/>
  <c r="L115" i="1"/>
  <c r="AT114" i="1"/>
  <c r="AR114" i="1"/>
  <c r="AY114" i="1" s="1"/>
  <c r="AN114" i="1"/>
  <c r="AH114" i="1"/>
  <c r="AG114" i="1"/>
  <c r="AF114" i="1"/>
  <c r="AM114" i="1" s="1"/>
  <c r="AB114" i="1"/>
  <c r="P114" i="1"/>
  <c r="AT113" i="1"/>
  <c r="AS113" i="1"/>
  <c r="AR113" i="1"/>
  <c r="AY113" i="1" s="1"/>
  <c r="AN113" i="1"/>
  <c r="AH113" i="1"/>
  <c r="AF113" i="1"/>
  <c r="AM113" i="1" s="1"/>
  <c r="AB113" i="1"/>
  <c r="P113" i="1"/>
  <c r="AT112" i="1"/>
  <c r="AR112" i="1"/>
  <c r="AY112" i="1" s="1"/>
  <c r="AN112" i="1"/>
  <c r="AH112" i="1"/>
  <c r="AG112" i="1"/>
  <c r="AF112" i="1"/>
  <c r="AM112" i="1" s="1"/>
  <c r="AB112" i="1"/>
  <c r="P112" i="1"/>
  <c r="AT111" i="1"/>
  <c r="AS111" i="1"/>
  <c r="AR111" i="1"/>
  <c r="AX111" i="1" s="1"/>
  <c r="AN111" i="1"/>
  <c r="AH111" i="1"/>
  <c r="AG111" i="1"/>
  <c r="AF111" i="1"/>
  <c r="AL111" i="1" s="1"/>
  <c r="AB111" i="1"/>
  <c r="P111" i="1"/>
  <c r="AT110" i="1"/>
  <c r="AS110" i="1"/>
  <c r="AR110" i="1"/>
  <c r="AX110" i="1" s="1"/>
  <c r="AN110" i="1"/>
  <c r="AH110" i="1"/>
  <c r="AG110" i="1"/>
  <c r="AF110" i="1"/>
  <c r="AL110" i="1" s="1"/>
  <c r="AB110" i="1"/>
  <c r="P110" i="1"/>
  <c r="AN109" i="1"/>
  <c r="AB109" i="1"/>
  <c r="P109" i="1"/>
  <c r="AN108" i="1"/>
  <c r="AB108" i="1"/>
  <c r="P108" i="1"/>
  <c r="AN107" i="1"/>
  <c r="AB107" i="1"/>
  <c r="P107" i="1"/>
  <c r="AN106" i="1"/>
  <c r="AB106" i="1"/>
  <c r="P106" i="1"/>
  <c r="AN105" i="1"/>
  <c r="AB105" i="1"/>
  <c r="P105" i="1"/>
  <c r="AN104" i="1"/>
  <c r="AB104" i="1"/>
  <c r="P104" i="1"/>
  <c r="AN103" i="1"/>
  <c r="AB103" i="1"/>
  <c r="P103" i="1"/>
  <c r="AN102" i="1"/>
  <c r="AB102" i="1"/>
  <c r="P102" i="1"/>
  <c r="AN101" i="1"/>
  <c r="AB101" i="1"/>
  <c r="P101" i="1"/>
  <c r="AN100" i="1"/>
  <c r="AB100" i="1"/>
  <c r="P100" i="1"/>
  <c r="AN99" i="1"/>
  <c r="AB99" i="1"/>
  <c r="P99" i="1"/>
  <c r="AN98" i="1"/>
  <c r="AB98" i="1"/>
  <c r="P98" i="1"/>
  <c r="AN97" i="1"/>
  <c r="AB97" i="1"/>
  <c r="P97" i="1"/>
  <c r="AN96" i="1"/>
  <c r="AB96" i="1"/>
  <c r="P96" i="1"/>
  <c r="AN95" i="1"/>
  <c r="AB95" i="1"/>
  <c r="P95" i="1"/>
  <c r="AN94" i="1"/>
  <c r="AB94" i="1"/>
  <c r="P94" i="1"/>
  <c r="AN93" i="1"/>
  <c r="AB93" i="1"/>
  <c r="P93" i="1"/>
  <c r="AN92" i="1"/>
  <c r="AB92" i="1"/>
  <c r="R92" i="1"/>
  <c r="P92" i="1"/>
  <c r="AN91" i="1"/>
  <c r="AB91" i="1"/>
  <c r="P91" i="1"/>
  <c r="AN90" i="1"/>
  <c r="AB90" i="1"/>
  <c r="P90" i="1"/>
  <c r="AT89" i="1"/>
  <c r="AS89" i="1"/>
  <c r="AR89" i="1"/>
  <c r="AY89" i="1" s="1"/>
  <c r="AN89" i="1"/>
  <c r="AB89" i="1"/>
  <c r="P89" i="1"/>
  <c r="AT88" i="1"/>
  <c r="AS88" i="1"/>
  <c r="AR88" i="1"/>
  <c r="AX88" i="1" s="1"/>
  <c r="AN88" i="1"/>
  <c r="AB88" i="1"/>
  <c r="P88" i="1"/>
  <c r="AT87" i="1"/>
  <c r="AS87" i="1"/>
  <c r="AR87" i="1"/>
  <c r="AY87" i="1" s="1"/>
  <c r="AN87" i="1"/>
  <c r="AB87" i="1"/>
  <c r="P87" i="1"/>
  <c r="AT86" i="1"/>
  <c r="AS86" i="1"/>
  <c r="AR86" i="1"/>
  <c r="AY86" i="1" s="1"/>
  <c r="AN86" i="1"/>
  <c r="AB86" i="1"/>
  <c r="P86" i="1"/>
  <c r="AQ85" i="1"/>
  <c r="AP85" i="1"/>
  <c r="AY85" i="1" s="1"/>
  <c r="AN85" i="1"/>
  <c r="AB85" i="1"/>
  <c r="P85" i="1"/>
  <c r="AN84" i="1"/>
  <c r="AB84" i="1"/>
  <c r="P84" i="1"/>
  <c r="AN83" i="1"/>
  <c r="AB83" i="1"/>
  <c r="R83" i="1"/>
  <c r="AA83" i="1" s="1"/>
  <c r="P83" i="1"/>
  <c r="AN82" i="1"/>
  <c r="AB82" i="1"/>
  <c r="P82" i="1"/>
  <c r="AN81" i="1"/>
  <c r="AB81" i="1"/>
  <c r="P81" i="1"/>
  <c r="AN80" i="1"/>
  <c r="AB80" i="1"/>
  <c r="P80" i="1"/>
  <c r="AN79" i="1"/>
  <c r="AB79" i="1"/>
  <c r="P79" i="1"/>
  <c r="AN78" i="1"/>
  <c r="AB78" i="1"/>
  <c r="P78" i="1"/>
  <c r="L78" i="1"/>
  <c r="AN77" i="1"/>
  <c r="AB77" i="1"/>
  <c r="P77" i="1"/>
  <c r="L77" i="1"/>
  <c r="AN76" i="1"/>
  <c r="AB76" i="1"/>
  <c r="P76" i="1"/>
  <c r="L76" i="1"/>
  <c r="AN75" i="1"/>
  <c r="AB75" i="1"/>
  <c r="P75" i="1"/>
  <c r="L75" i="1"/>
  <c r="AN74" i="1"/>
  <c r="AB74" i="1"/>
  <c r="P74" i="1"/>
  <c r="AN73" i="1"/>
  <c r="AB73" i="1"/>
  <c r="P73" i="1"/>
  <c r="AN72" i="1"/>
  <c r="AB72" i="1"/>
  <c r="P72" i="1"/>
  <c r="AN71" i="1"/>
  <c r="AB71" i="1"/>
  <c r="P71" i="1"/>
  <c r="AN70" i="1"/>
  <c r="AB70" i="1"/>
  <c r="P70" i="1"/>
  <c r="AN69" i="1"/>
  <c r="AB69" i="1"/>
  <c r="P69" i="1"/>
  <c r="AN68" i="1"/>
  <c r="AB68" i="1"/>
  <c r="P68" i="1"/>
  <c r="AN67" i="1"/>
  <c r="AB67" i="1"/>
  <c r="P67" i="1"/>
  <c r="AN66" i="1"/>
  <c r="AB66" i="1"/>
  <c r="P66" i="1"/>
  <c r="AN65" i="1"/>
  <c r="AB65" i="1"/>
  <c r="P65" i="1"/>
  <c r="AN64" i="1"/>
  <c r="AB64" i="1"/>
  <c r="P64" i="1"/>
  <c r="AW63" i="1"/>
  <c r="AQ63" i="1"/>
  <c r="AP63" i="1"/>
  <c r="AY63" i="1" s="1"/>
  <c r="AN63" i="1"/>
  <c r="AB63" i="1"/>
  <c r="P63" i="1"/>
  <c r="AN62" i="1"/>
  <c r="AB62" i="1"/>
  <c r="P62" i="1"/>
  <c r="AN61" i="1"/>
  <c r="AB61" i="1"/>
  <c r="P61" i="1"/>
  <c r="AN60" i="1"/>
  <c r="AB60" i="1"/>
  <c r="P60" i="1"/>
  <c r="L60" i="1"/>
  <c r="AN59" i="1"/>
  <c r="AB59" i="1"/>
  <c r="P59" i="1"/>
  <c r="L59" i="1"/>
  <c r="AN58" i="1"/>
  <c r="AB58" i="1"/>
  <c r="P58" i="1"/>
  <c r="L58" i="1"/>
  <c r="AN57" i="1"/>
  <c r="AB57" i="1"/>
  <c r="P57" i="1"/>
  <c r="AN56" i="1"/>
  <c r="AB56" i="1"/>
  <c r="P56" i="1"/>
  <c r="AN55" i="1"/>
  <c r="AB55" i="1"/>
  <c r="P55" i="1"/>
  <c r="AN54" i="1"/>
  <c r="AB54" i="1"/>
  <c r="P54" i="1"/>
  <c r="AN53" i="1"/>
  <c r="AB53" i="1"/>
  <c r="P53" i="1"/>
  <c r="AN52" i="1"/>
  <c r="AB52" i="1"/>
  <c r="P52" i="1"/>
  <c r="AN51" i="1"/>
  <c r="AB51" i="1"/>
  <c r="P51" i="1"/>
  <c r="AN50" i="1"/>
  <c r="AB50" i="1"/>
  <c r="P50" i="1"/>
  <c r="AN49" i="1"/>
  <c r="AB49" i="1"/>
  <c r="P49" i="1"/>
  <c r="M49" i="1"/>
  <c r="L49" i="1"/>
  <c r="AP48" i="1"/>
  <c r="AY48" i="1" s="1"/>
  <c r="AN48" i="1"/>
  <c r="AB48" i="1"/>
  <c r="P48" i="1"/>
  <c r="AN47" i="1"/>
  <c r="AB47" i="1"/>
  <c r="P47" i="1"/>
  <c r="AW46" i="1"/>
  <c r="AV46" i="1"/>
  <c r="AQ46" i="1"/>
  <c r="AP46" i="1"/>
  <c r="AY46" i="1" s="1"/>
  <c r="AN46" i="1"/>
  <c r="AB46" i="1"/>
  <c r="P46" i="1"/>
  <c r="AN45" i="1"/>
  <c r="AB45" i="1"/>
  <c r="P45" i="1"/>
  <c r="AN44" i="1"/>
  <c r="AB44" i="1"/>
  <c r="P44" i="1"/>
  <c r="AN43" i="1"/>
  <c r="AB43" i="1"/>
  <c r="P43" i="1"/>
  <c r="AN42" i="1"/>
  <c r="AB42" i="1"/>
  <c r="V42" i="1"/>
  <c r="U42" i="1"/>
  <c r="T42" i="1"/>
  <c r="AA42" i="1" s="1"/>
  <c r="P42" i="1"/>
  <c r="AN41" i="1"/>
  <c r="AB41" i="1"/>
  <c r="V41" i="1"/>
  <c r="U41" i="1"/>
  <c r="T41" i="1"/>
  <c r="AA41" i="1" s="1"/>
  <c r="Q41" i="1"/>
  <c r="P41" i="1" s="1"/>
  <c r="AW40" i="1"/>
  <c r="AN40" i="1"/>
  <c r="AB40" i="1"/>
  <c r="P40" i="1"/>
  <c r="AO39" i="1"/>
  <c r="AN39" i="1" s="1"/>
  <c r="AB39" i="1"/>
  <c r="P39" i="1"/>
  <c r="AN38" i="1"/>
  <c r="AB38" i="1"/>
  <c r="P38" i="1"/>
  <c r="AN37" i="1"/>
  <c r="AB37" i="1"/>
  <c r="P37" i="1"/>
  <c r="AN36" i="1"/>
  <c r="AB36" i="1"/>
  <c r="P36" i="1"/>
  <c r="AN35" i="1"/>
  <c r="AB35" i="1"/>
  <c r="P35" i="1"/>
  <c r="AN34" i="1"/>
  <c r="AB34" i="1"/>
  <c r="P34" i="1"/>
  <c r="AN33" i="1"/>
  <c r="AB33" i="1"/>
  <c r="P33" i="1"/>
  <c r="AN32" i="1"/>
  <c r="AB32" i="1"/>
  <c r="P32" i="1"/>
  <c r="AN31" i="1"/>
  <c r="AB31" i="1"/>
  <c r="P31" i="1"/>
  <c r="AN30" i="1"/>
  <c r="AB30" i="1"/>
  <c r="P30" i="1"/>
  <c r="AN29" i="1"/>
  <c r="AB29" i="1"/>
  <c r="P29" i="1"/>
  <c r="AN28" i="1"/>
  <c r="AB28" i="1"/>
  <c r="P28" i="1"/>
  <c r="AN27" i="1"/>
  <c r="AB27" i="1"/>
  <c r="P27" i="1"/>
  <c r="AN26" i="1"/>
  <c r="AB26" i="1"/>
  <c r="P26" i="1"/>
  <c r="AN25" i="1"/>
  <c r="AB25" i="1"/>
  <c r="P25" i="1"/>
  <c r="AR24" i="1"/>
  <c r="AY24" i="1" s="1"/>
  <c r="AN24" i="1"/>
  <c r="AF24" i="1"/>
  <c r="AM24" i="1" s="1"/>
  <c r="AB24" i="1"/>
  <c r="P24" i="1"/>
  <c r="AR23" i="1"/>
  <c r="AX23" i="1" s="1"/>
  <c r="AN23" i="1"/>
  <c r="AF23" i="1"/>
  <c r="AM23" i="1" s="1"/>
  <c r="AB23" i="1"/>
  <c r="P23" i="1"/>
  <c r="AN22" i="1"/>
  <c r="AB22" i="1"/>
  <c r="P22" i="1"/>
  <c r="L22" i="1"/>
  <c r="AN21" i="1"/>
  <c r="AB21" i="1"/>
  <c r="P21" i="1"/>
  <c r="AN20" i="1"/>
  <c r="AB20" i="1"/>
  <c r="P20" i="1"/>
  <c r="L20" i="1"/>
  <c r="AN19" i="1"/>
  <c r="AB19" i="1"/>
  <c r="P19" i="1"/>
  <c r="L19" i="1"/>
  <c r="AN18" i="1"/>
  <c r="AB18" i="1"/>
  <c r="P18" i="1"/>
  <c r="AN17" i="1"/>
  <c r="AB17" i="1"/>
  <c r="P17" i="1"/>
  <c r="AW16" i="1"/>
  <c r="AT16" i="1"/>
  <c r="AS16" i="1"/>
  <c r="AR16" i="1"/>
  <c r="AX16" i="1" s="1"/>
  <c r="AN16" i="1"/>
  <c r="AB16" i="1"/>
  <c r="P16" i="1"/>
  <c r="L16" i="1"/>
  <c r="AW15" i="1"/>
  <c r="AT15" i="1"/>
  <c r="AS15" i="1"/>
  <c r="AR15" i="1"/>
  <c r="AY15" i="1" s="1"/>
  <c r="AN15" i="1"/>
  <c r="AB15" i="1"/>
  <c r="P15" i="1"/>
  <c r="L15" i="1"/>
  <c r="AP14" i="1"/>
  <c r="AY14" i="1" s="1"/>
  <c r="AN14" i="1"/>
  <c r="AB14" i="1"/>
  <c r="P14" i="1"/>
  <c r="AN13" i="1"/>
  <c r="AB13" i="1"/>
  <c r="V13" i="1"/>
  <c r="U13" i="1"/>
  <c r="T13" i="1"/>
  <c r="AA13" i="1" s="1"/>
  <c r="P13" i="1"/>
  <c r="L13" i="1"/>
  <c r="AN12" i="1"/>
  <c r="AB12" i="1"/>
  <c r="P12" i="1"/>
  <c r="AN11" i="1"/>
  <c r="AB11" i="1"/>
  <c r="P11" i="1"/>
  <c r="AN10" i="1"/>
  <c r="AB10" i="1"/>
  <c r="P10" i="1"/>
  <c r="AN9" i="1"/>
  <c r="AB9" i="1"/>
  <c r="P9" i="1"/>
  <c r="AN8" i="1"/>
  <c r="AB8" i="1"/>
  <c r="P8" i="1"/>
  <c r="AN7" i="1"/>
  <c r="AB7" i="1"/>
  <c r="P7" i="1"/>
  <c r="AN6" i="1"/>
  <c r="AB6" i="1"/>
  <c r="P6" i="1"/>
  <c r="AN5" i="1"/>
  <c r="AB5" i="1"/>
  <c r="P5" i="1"/>
  <c r="AN4" i="1"/>
  <c r="AB4" i="1"/>
  <c r="P4" i="1"/>
  <c r="AN3" i="1"/>
  <c r="AB3" i="1"/>
  <c r="P3" i="1"/>
  <c r="AN2" i="1"/>
  <c r="AB2" i="1"/>
  <c r="P2" i="1"/>
  <c r="Z310" i="1" l="1"/>
  <c r="Z708" i="1"/>
  <c r="AL23" i="1"/>
  <c r="AL112" i="1"/>
  <c r="AL640" i="1"/>
  <c r="AM110" i="1"/>
  <c r="AX89" i="1"/>
  <c r="AX112" i="1"/>
  <c r="AY620" i="1"/>
  <c r="AY88" i="1"/>
  <c r="AY133" i="1"/>
  <c r="AA584" i="1"/>
  <c r="AL430" i="1"/>
  <c r="AX122" i="1"/>
  <c r="AX443" i="1"/>
  <c r="AY362" i="1"/>
  <c r="AY110" i="1"/>
  <c r="Z13" i="1"/>
  <c r="AL733" i="1"/>
  <c r="AL583" i="1"/>
  <c r="AM793" i="1"/>
  <c r="AX183" i="1"/>
  <c r="AX15" i="1"/>
  <c r="AX390" i="1"/>
  <c r="AY479" i="1"/>
  <c r="AY744" i="1"/>
  <c r="Z410" i="1"/>
  <c r="AL24" i="1"/>
  <c r="AX24" i="1"/>
  <c r="AX586" i="1"/>
  <c r="AX310" i="1"/>
  <c r="AY16" i="1"/>
  <c r="AY793" i="1"/>
  <c r="Z218" i="1"/>
  <c r="AA220" i="1"/>
  <c r="AM111" i="1"/>
  <c r="AX602" i="1"/>
  <c r="AX626" i="1"/>
  <c r="Z311" i="1"/>
  <c r="Z710" i="1"/>
  <c r="Z116" i="1"/>
  <c r="AL432" i="1"/>
  <c r="AL663" i="1"/>
  <c r="AL362" i="1"/>
  <c r="AL627" i="1"/>
  <c r="AL113" i="1"/>
  <c r="AM643" i="1"/>
  <c r="AM443" i="1"/>
  <c r="AX127" i="1"/>
  <c r="AX86" i="1"/>
  <c r="AX663" i="1"/>
  <c r="AX363" i="1"/>
  <c r="AX584" i="1"/>
  <c r="AX87" i="1"/>
  <c r="AX421" i="1"/>
  <c r="AX422" i="1"/>
  <c r="AX582" i="1"/>
  <c r="AX303" i="1"/>
  <c r="AX113" i="1"/>
  <c r="AX752" i="1"/>
  <c r="AY431" i="1"/>
  <c r="AY666" i="1"/>
  <c r="AY788" i="1"/>
  <c r="AY23" i="1"/>
  <c r="AY111" i="1"/>
  <c r="AY311" i="1"/>
  <c r="Z41" i="1"/>
  <c r="Z303" i="1"/>
  <c r="Z763" i="1"/>
  <c r="Z219" i="1"/>
  <c r="Z42" i="1"/>
  <c r="Z470" i="1"/>
  <c r="Z583" i="1"/>
  <c r="Z181" i="1"/>
  <c r="AL431" i="1"/>
  <c r="AL619" i="1"/>
  <c r="AL183" i="1"/>
  <c r="AL626" i="1"/>
  <c r="AL586" i="1"/>
  <c r="AL114" i="1"/>
  <c r="AL788" i="1"/>
  <c r="AX559" i="1"/>
  <c r="AX733" i="1"/>
  <c r="AX619" i="1"/>
  <c r="AX667" i="1"/>
  <c r="AX114" i="1"/>
  <c r="AX640" i="1"/>
  <c r="AX180" i="1"/>
  <c r="AX644" i="1"/>
  <c r="AX372" i="1"/>
  <c r="AX583" i="1"/>
  <c r="AM612" i="1"/>
  <c r="AM122" i="1"/>
  <c r="Z371" i="1"/>
  <c r="Z502" i="1"/>
  <c r="Z733" i="1"/>
  <c r="Z762" i="1"/>
  <c r="Z773" i="1"/>
  <c r="Z471" i="1"/>
  <c r="Z409" i="1"/>
  <c r="Q164" i="1"/>
  <c r="P164" i="1" s="1"/>
  <c r="Q165" i="1" l="1"/>
  <c r="P1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742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ID#AAAAam5iO1g
Dafina Petrova    (2022-06-09 10:10:18)
these are the days transformed from business days to natural days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EZxMAWI47QCmt7sOVShf/2Frgpg=="/>
    </ext>
  </extLst>
</comments>
</file>

<file path=xl/sharedStrings.xml><?xml version="1.0" encoding="utf-8"?>
<sst xmlns="http://schemas.openxmlformats.org/spreadsheetml/2006/main" count="9224" uniqueCount="1035">
  <si>
    <t>TI</t>
  </si>
  <si>
    <t>tN</t>
  </si>
  <si>
    <t>tmean</t>
  </si>
  <si>
    <t>tSD</t>
  </si>
  <si>
    <t>tmedian</t>
  </si>
  <si>
    <t>tQ1</t>
  </si>
  <si>
    <t>tQ3</t>
  </si>
  <si>
    <t xml:space="preserve">tIQR </t>
  </si>
  <si>
    <t>tmin</t>
  </si>
  <si>
    <t xml:space="preserve">tmax </t>
  </si>
  <si>
    <t>tmeas</t>
  </si>
  <si>
    <t>tmm</t>
  </si>
  <si>
    <t>DI</t>
  </si>
  <si>
    <t>dN</t>
  </si>
  <si>
    <t>dmean</t>
  </si>
  <si>
    <t>dSD</t>
  </si>
  <si>
    <t>dmedian</t>
  </si>
  <si>
    <t>dQ1</t>
  </si>
  <si>
    <t>dQ3</t>
  </si>
  <si>
    <t>dIQR</t>
  </si>
  <si>
    <t>dmin</t>
  </si>
  <si>
    <t xml:space="preserve">dmax </t>
  </si>
  <si>
    <t>dmeas</t>
  </si>
  <si>
    <t>dmm</t>
  </si>
  <si>
    <t>PI</t>
  </si>
  <si>
    <t>pN</t>
  </si>
  <si>
    <t>pmean</t>
  </si>
  <si>
    <t>pSD</t>
  </si>
  <si>
    <t>pmedian</t>
  </si>
  <si>
    <t>pQ1</t>
  </si>
  <si>
    <t>pQ3</t>
  </si>
  <si>
    <t>pIQR</t>
  </si>
  <si>
    <t>pmin</t>
  </si>
  <si>
    <t xml:space="preserve">pmax </t>
  </si>
  <si>
    <t>pmeas</t>
  </si>
  <si>
    <t>pmm</t>
  </si>
  <si>
    <t>HDI</t>
  </si>
  <si>
    <t>Rangel-Méndez</t>
  </si>
  <si>
    <t>na</t>
  </si>
  <si>
    <t>Mexico</t>
  </si>
  <si>
    <t>breast</t>
  </si>
  <si>
    <t>nr</t>
  </si>
  <si>
    <t>histopathological, clinical or similar</t>
  </si>
  <si>
    <t>upper middle</t>
  </si>
  <si>
    <t>Abu-Helalah</t>
  </si>
  <si>
    <t>Jordan</t>
  </si>
  <si>
    <t>lower middle</t>
  </si>
  <si>
    <t>Adams</t>
  </si>
  <si>
    <t>specific site and American Indican-Alaska native</t>
  </si>
  <si>
    <t>USA</t>
  </si>
  <si>
    <t>not reported</t>
  </si>
  <si>
    <t>surgery, radiation, chemotherapy, hormonal therapy</t>
  </si>
  <si>
    <t>high</t>
  </si>
  <si>
    <t>specific cite and non-hispanic white</t>
  </si>
  <si>
    <t>digestive/gastrointestinal</t>
  </si>
  <si>
    <t>colorectal</t>
  </si>
  <si>
    <t>surgery, radiation, chemotherapy</t>
  </si>
  <si>
    <t>respiratory/thoracic</t>
  </si>
  <si>
    <t>lung</t>
  </si>
  <si>
    <t>genitourinary</t>
  </si>
  <si>
    <t>prostate</t>
  </si>
  <si>
    <t>Agodirin</t>
  </si>
  <si>
    <t>Nigeria</t>
  </si>
  <si>
    <t>Ahmad</t>
  </si>
  <si>
    <t>chemoradiation</t>
  </si>
  <si>
    <t>Akhtar</t>
  </si>
  <si>
    <t>Bangladesh</t>
  </si>
  <si>
    <t>Alam</t>
  </si>
  <si>
    <t>age</t>
  </si>
  <si>
    <t>age&gt;64</t>
  </si>
  <si>
    <t>skin</t>
  </si>
  <si>
    <t>non-melanoma</t>
  </si>
  <si>
    <t>age &lt;=64</t>
  </si>
  <si>
    <t>Alanen</t>
  </si>
  <si>
    <t>Finland</t>
  </si>
  <si>
    <t>first active treatment or best supportive care decision</t>
  </si>
  <si>
    <t>Allgar</t>
  </si>
  <si>
    <t>UK</t>
  </si>
  <si>
    <t>England</t>
  </si>
  <si>
    <t>head and neck</t>
  </si>
  <si>
    <t>Almassi</t>
  </si>
  <si>
    <t>directly to cystectomy</t>
  </si>
  <si>
    <t>bladder</t>
  </si>
  <si>
    <t>radical cystectomy</t>
  </si>
  <si>
    <t>underwent TURBT (transurethral resection of bladder tumor )</t>
  </si>
  <si>
    <t>Alwan</t>
  </si>
  <si>
    <t>Iraq</t>
  </si>
  <si>
    <t>mastectomy</t>
  </si>
  <si>
    <t>Amri</t>
  </si>
  <si>
    <t>colon</t>
  </si>
  <si>
    <t>surgery</t>
  </si>
  <si>
    <t>Antel</t>
  </si>
  <si>
    <t>specific site</t>
  </si>
  <si>
    <t>South Africa</t>
  </si>
  <si>
    <t>hematologic/blood</t>
  </si>
  <si>
    <t>lymphoma</t>
  </si>
  <si>
    <t>Hodgkin lymphoma</t>
  </si>
  <si>
    <t>non-Hodgkin lymphoma</t>
  </si>
  <si>
    <t>Arhi</t>
  </si>
  <si>
    <t>administrative codes</t>
  </si>
  <si>
    <t>Ashing-Giwa</t>
  </si>
  <si>
    <t>breast cancer</t>
  </si>
  <si>
    <t>self-reported</t>
  </si>
  <si>
    <t>cervical cancer</t>
  </si>
  <si>
    <t>gynecological</t>
  </si>
  <si>
    <t>cervical</t>
  </si>
  <si>
    <t>Aslam</t>
  </si>
  <si>
    <t>urgent referral</t>
  </si>
  <si>
    <t>2005-2012</t>
  </si>
  <si>
    <t>routine referral</t>
  </si>
  <si>
    <t>emergency referral</t>
  </si>
  <si>
    <t>2-week-wait</t>
  </si>
  <si>
    <t>Attalla</t>
  </si>
  <si>
    <t>penile</t>
  </si>
  <si>
    <t>Ayrault-Piault</t>
  </si>
  <si>
    <t>France</t>
  </si>
  <si>
    <t>Baade</t>
  </si>
  <si>
    <t>Australia</t>
  </si>
  <si>
    <t>Bae</t>
  </si>
  <si>
    <t>melanoma</t>
  </si>
  <si>
    <t>Balasubramanian</t>
  </si>
  <si>
    <t>Bleicher</t>
  </si>
  <si>
    <t>had MRI</t>
  </si>
  <si>
    <t>did not have MRI</t>
  </si>
  <si>
    <t>Bonfil</t>
  </si>
  <si>
    <t>Spain</t>
  </si>
  <si>
    <t>Boriani</t>
  </si>
  <si>
    <t>acral lentiginous melanoma</t>
  </si>
  <si>
    <t>complete excision</t>
  </si>
  <si>
    <t>Brenkman</t>
  </si>
  <si>
    <t>neoadjuvant</t>
  </si>
  <si>
    <t>Netherlands</t>
  </si>
  <si>
    <t>Brocken</t>
  </si>
  <si>
    <t>Brooks</t>
  </si>
  <si>
    <t>Canada</t>
  </si>
  <si>
    <t>lymphoma (Hodgkin)</t>
  </si>
  <si>
    <t>chemotherapy</t>
  </si>
  <si>
    <t>Bruins</t>
  </si>
  <si>
    <t>surgery (radical cystectomy)</t>
  </si>
  <si>
    <t>Brzozowska</t>
  </si>
  <si>
    <t>Poland</t>
  </si>
  <si>
    <t>Caudell</t>
  </si>
  <si>
    <t>radiotherapy</t>
  </si>
  <si>
    <t>CerdanSantacruz</t>
  </si>
  <si>
    <t>Chandra</t>
  </si>
  <si>
    <t>India</t>
  </si>
  <si>
    <t>low</t>
  </si>
  <si>
    <t>Cheung</t>
  </si>
  <si>
    <t>Chien</t>
  </si>
  <si>
    <t>neoadjuvant therapy</t>
  </si>
  <si>
    <t>Chiou</t>
  </si>
  <si>
    <t>Taiwan</t>
  </si>
  <si>
    <t>Connolly</t>
  </si>
  <si>
    <t>Ireland</t>
  </si>
  <si>
    <t>testicular</t>
  </si>
  <si>
    <t>Connors</t>
  </si>
  <si>
    <t>surgery or neoadjuvant chemotherapy or hormonal therapy</t>
  </si>
  <si>
    <t>DaSilva</t>
  </si>
  <si>
    <t>Brazil</t>
  </si>
  <si>
    <t>surgery, chemoradiation, radiation</t>
  </si>
  <si>
    <t>Dahlke</t>
  </si>
  <si>
    <t>Germany</t>
  </si>
  <si>
    <t>radiation or radiation plus simultaneous chemotherapy</t>
  </si>
  <si>
    <t>Fernandez-de Castro</t>
  </si>
  <si>
    <t>Dapkeviciute</t>
  </si>
  <si>
    <t>Hodgkin lymphona</t>
  </si>
  <si>
    <t>Lithuania</t>
  </si>
  <si>
    <t>lymphoma (non-Hodgkin)</t>
  </si>
  <si>
    <t>multiple myeloma</t>
  </si>
  <si>
    <t>Dusengimana</t>
  </si>
  <si>
    <t>non-pregnancy-associated</t>
  </si>
  <si>
    <t>Rwanda</t>
  </si>
  <si>
    <t>pregnancy-associated</t>
  </si>
  <si>
    <t>PA breast</t>
  </si>
  <si>
    <t>Dyer</t>
  </si>
  <si>
    <t>Eaglehouse</t>
  </si>
  <si>
    <t>Stage II high risk and III and non-hispanic black and underwent surgery plus adjuvant chemo</t>
  </si>
  <si>
    <t xml:space="preserve">colon </t>
  </si>
  <si>
    <t>surgery or any treatment (for Stage IV)</t>
  </si>
  <si>
    <t>Stage IV and non-hispanic black</t>
  </si>
  <si>
    <t xml:space="preserve">Stage II high risk and III and non-hispanic black and underwent surgery only </t>
  </si>
  <si>
    <t>stage I and II low risk and non-hispanic black</t>
  </si>
  <si>
    <t>Stage II high risk and III and non-hispanic white and underwent surgery plus adjuvant chemo</t>
  </si>
  <si>
    <t>Stage IV and non-hispanic white</t>
  </si>
  <si>
    <t xml:space="preserve">Stage II high risk and III and non-hispanic white and underwent surgery only </t>
  </si>
  <si>
    <t>stage I and II low risk and non-hispanic white</t>
  </si>
  <si>
    <t>Emery</t>
  </si>
  <si>
    <t>community intervention and breast cancer</t>
  </si>
  <si>
    <t>community control and breast cancer</t>
  </si>
  <si>
    <t>community intervention and colorectal cancer</t>
  </si>
  <si>
    <t>community control and colorectal cancer</t>
  </si>
  <si>
    <t>community intervention and lung cancer</t>
  </si>
  <si>
    <t>community control and lung cancer</t>
  </si>
  <si>
    <t>community intervention and prostate cancer</t>
  </si>
  <si>
    <t>community control and prostate cancer</t>
  </si>
  <si>
    <t>Esteva</t>
  </si>
  <si>
    <t>surgery, radiotherapy, chemotherapy or palliative treatment</t>
  </si>
  <si>
    <t>rectum</t>
  </si>
  <si>
    <t>Favero</t>
  </si>
  <si>
    <t>Barros</t>
  </si>
  <si>
    <t>Basaran</t>
  </si>
  <si>
    <t>Turkey</t>
  </si>
  <si>
    <t>Basu</t>
  </si>
  <si>
    <t>lung cancer</t>
  </si>
  <si>
    <t>Baun</t>
  </si>
  <si>
    <t>Denmark</t>
  </si>
  <si>
    <t>ovarian</t>
  </si>
  <si>
    <t>Beattie</t>
  </si>
  <si>
    <t>Becker</t>
  </si>
  <si>
    <t>kidney</t>
  </si>
  <si>
    <t>surgery (radical or partial nephrectomy)</t>
  </si>
  <si>
    <t>Bekeny</t>
  </si>
  <si>
    <t>surgery (mastectomy)</t>
  </si>
  <si>
    <t>Benbakhta</t>
  </si>
  <si>
    <t>Morocco</t>
  </si>
  <si>
    <t>Bergin</t>
  </si>
  <si>
    <t>breast cancer and rural residence</t>
  </si>
  <si>
    <t>breast cancer and urban residence</t>
  </si>
  <si>
    <t>colorectal cancer and rural residence</t>
  </si>
  <si>
    <t>colorectal cancer and urban residence</t>
  </si>
  <si>
    <t>Bhandari</t>
  </si>
  <si>
    <t>chemotherapy, radiation, surgery, a combination</t>
  </si>
  <si>
    <t>Bilimoria</t>
  </si>
  <si>
    <t>esophagus</t>
  </si>
  <si>
    <t>esophageal</t>
  </si>
  <si>
    <t>surgery, neoadjuvant therapy</t>
  </si>
  <si>
    <t>gastric</t>
  </si>
  <si>
    <t>rectal</t>
  </si>
  <si>
    <t>liver</t>
  </si>
  <si>
    <t>upper gastrointestinal</t>
  </si>
  <si>
    <t>Fisher</t>
  </si>
  <si>
    <t>Flores-Balcazar</t>
  </si>
  <si>
    <t>Flukes</t>
  </si>
  <si>
    <t>larynx</t>
  </si>
  <si>
    <t>laryngeal</t>
  </si>
  <si>
    <t>surgery or radiotherapy</t>
  </si>
  <si>
    <t>oral</t>
  </si>
  <si>
    <t>oropharynx</t>
  </si>
  <si>
    <t>oropharyngeal</t>
  </si>
  <si>
    <t>Foerster</t>
  </si>
  <si>
    <t>country</t>
  </si>
  <si>
    <t>Namibia black</t>
  </si>
  <si>
    <t>Namibia</t>
  </si>
  <si>
    <t>Zambia</t>
  </si>
  <si>
    <t>Namibia non-black</t>
  </si>
  <si>
    <t>Uganda</t>
  </si>
  <si>
    <t>Forrest</t>
  </si>
  <si>
    <t>chemotherapy, surgery, or radiotherapy</t>
  </si>
  <si>
    <t>Fossati</t>
  </si>
  <si>
    <t>Italy</t>
  </si>
  <si>
    <t>surgery (radical prostatectomy)</t>
  </si>
  <si>
    <t>Fouladi</t>
  </si>
  <si>
    <t>Iran</t>
  </si>
  <si>
    <t xml:space="preserve">surgery, chemotherapy, radiotherapy or combinations </t>
  </si>
  <si>
    <t>Friese</t>
  </si>
  <si>
    <t>myeloma</t>
  </si>
  <si>
    <t>about 76</t>
  </si>
  <si>
    <t>Fujiwara</t>
  </si>
  <si>
    <t>Fujiya</t>
  </si>
  <si>
    <t>Japan</t>
  </si>
  <si>
    <t>surgery (gastrectomy)</t>
  </si>
  <si>
    <t>Gangane</t>
  </si>
  <si>
    <t>Gao</t>
  </si>
  <si>
    <t>2005-2006</t>
  </si>
  <si>
    <t>China</t>
  </si>
  <si>
    <t>Gauchy</t>
  </si>
  <si>
    <t>lymphoma (non-Hodgkin, diffuse large B-cell)</t>
  </si>
  <si>
    <t>Gebremariam</t>
  </si>
  <si>
    <t>Ethiopia</t>
  </si>
  <si>
    <t>George</t>
  </si>
  <si>
    <t>African American</t>
  </si>
  <si>
    <t>surgery (breast conserving or mastectomy)</t>
  </si>
  <si>
    <t>White</t>
  </si>
  <si>
    <t>Gilde</t>
  </si>
  <si>
    <t>Goel</t>
  </si>
  <si>
    <t>Grass</t>
  </si>
  <si>
    <t>surgery (colectomy)</t>
  </si>
  <si>
    <t>Grotenhuis</t>
  </si>
  <si>
    <t>Guizard</t>
  </si>
  <si>
    <t>French cancer registries (Calvados, Manche, and Somme)</t>
  </si>
  <si>
    <t>Guldbrandt</t>
  </si>
  <si>
    <t>Gullatte</t>
  </si>
  <si>
    <t>Gyenwali</t>
  </si>
  <si>
    <t>Nepal</t>
  </si>
  <si>
    <t>Hansen</t>
  </si>
  <si>
    <t>colorectal cancer</t>
  </si>
  <si>
    <t>Lymphoma (non-Hodgkin)</t>
  </si>
  <si>
    <t>pancreas</t>
  </si>
  <si>
    <t>pancreatic</t>
  </si>
  <si>
    <t>uterine</t>
  </si>
  <si>
    <t>DeBoer</t>
  </si>
  <si>
    <t>AIDS-related</t>
  </si>
  <si>
    <t>Kaposi sarcoma</t>
  </si>
  <si>
    <t>delaVega</t>
  </si>
  <si>
    <t>Cuba</t>
  </si>
  <si>
    <t>Dereje</t>
  </si>
  <si>
    <t>Diaconescu</t>
  </si>
  <si>
    <t>Din</t>
  </si>
  <si>
    <t>endometrial</t>
  </si>
  <si>
    <t>leukemia</t>
  </si>
  <si>
    <t>Droste</t>
  </si>
  <si>
    <t>Heeg</t>
  </si>
  <si>
    <t>no transfer and surgery</t>
  </si>
  <si>
    <t>no transfer and NAC</t>
  </si>
  <si>
    <t>neoadjuvant chemotherapy</t>
  </si>
  <si>
    <t>transfer and surgery</t>
  </si>
  <si>
    <t>transfer and NAC</t>
  </si>
  <si>
    <t>Helsper</t>
  </si>
  <si>
    <t>melanoma GP</t>
  </si>
  <si>
    <t>melanoma referred</t>
  </si>
  <si>
    <t>Hoffman</t>
  </si>
  <si>
    <t>classic IBC</t>
  </si>
  <si>
    <t>Multiple</t>
  </si>
  <si>
    <t>USA, Canada</t>
  </si>
  <si>
    <t>atypical IBC</t>
  </si>
  <si>
    <t>Hughes</t>
  </si>
  <si>
    <t>Hulvat</t>
  </si>
  <si>
    <t>Husein-Elahmed</t>
  </si>
  <si>
    <t>basal cell carcinoma</t>
  </si>
  <si>
    <t>Iacovelli</t>
  </si>
  <si>
    <t>renal</t>
  </si>
  <si>
    <t>tyrosine kinase inhibitors (TKIs)</t>
  </si>
  <si>
    <t>Ibrahim</t>
  </si>
  <si>
    <t>Idowu</t>
  </si>
  <si>
    <t>neurologic</t>
  </si>
  <si>
    <t>neurologic (intracranial)</t>
  </si>
  <si>
    <t>Iglay</t>
  </si>
  <si>
    <t>with mental illness</t>
  </si>
  <si>
    <t>without mental illness</t>
  </si>
  <si>
    <t>Innos</t>
  </si>
  <si>
    <t>Estonia</t>
  </si>
  <si>
    <t>Jaiswal</t>
  </si>
  <si>
    <t>surgery or neoadjuvant chemotherapy</t>
  </si>
  <si>
    <t>Jakobsen</t>
  </si>
  <si>
    <t>2000-2009</t>
  </si>
  <si>
    <t>2009-2014</t>
  </si>
  <si>
    <t>Jassem</t>
  </si>
  <si>
    <t>Latvia</t>
  </si>
  <si>
    <t>Slovakia</t>
  </si>
  <si>
    <t>Croatia</t>
  </si>
  <si>
    <t>Hungary</t>
  </si>
  <si>
    <t>Romania</t>
  </si>
  <si>
    <t>Bulgaria</t>
  </si>
  <si>
    <t>Serbia</t>
  </si>
  <si>
    <t>Russia</t>
  </si>
  <si>
    <t>Jensen</t>
  </si>
  <si>
    <t>breast and 2004-2005 (no CPPs implemented or before)</t>
  </si>
  <si>
    <t>breast and 2010 (fully  implemented  CPPs or after)</t>
  </si>
  <si>
    <t>breast and 2007-2008 (CPPs under implementation or during)</t>
  </si>
  <si>
    <t>colorectal and 2004-2005 (no CPPs implemented or before)</t>
  </si>
  <si>
    <t>colorectal and 2010 (fully  implemented  CPPs or after)</t>
  </si>
  <si>
    <t>colorectal and 2007-2008 (CPPs under implementation or during)</t>
  </si>
  <si>
    <t>lung and 2004-2005 (no CPPs implemented or before)</t>
  </si>
  <si>
    <t>lung and 2010 (fully  implemented  CPPs or after)</t>
  </si>
  <si>
    <t>lung and 2007-2008 (CPPs under implementation or during)</t>
  </si>
  <si>
    <t>malignant melanoma and 2004-2005 (no CPPs implemented or before)</t>
  </si>
  <si>
    <t xml:space="preserve">2010 (fully  implemented  CPPs or after)malignant melanoma and </t>
  </si>
  <si>
    <t>malignant melanoma and 2007-2008 (CPPs under implementation or during)</t>
  </si>
  <si>
    <t>prostate and 2004-2005 (no CPPs implemented or before)</t>
  </si>
  <si>
    <t>prostate and 2010 (fully  implemented  CPPs or after)</t>
  </si>
  <si>
    <t>prostate and 2007-2008 (CPPs under implementation or during)</t>
  </si>
  <si>
    <t>Jeon</t>
  </si>
  <si>
    <t>up to 6 months</t>
  </si>
  <si>
    <t>South Korea</t>
  </si>
  <si>
    <t>thyroid</t>
  </si>
  <si>
    <t>6-12 months</t>
  </si>
  <si>
    <t>more than 12 months</t>
  </si>
  <si>
    <t>Jiang</t>
  </si>
  <si>
    <t>Johansson</t>
  </si>
  <si>
    <t>breast cancer (not pregnancy associated), 0-6 months period controls</t>
  </si>
  <si>
    <t>Sweden</t>
  </si>
  <si>
    <t>breast cancer (not pregnancy associated), pregnancy period controls</t>
  </si>
  <si>
    <t>breast cancer (not pregnancy associated),6-12 months period controls</t>
  </si>
  <si>
    <t>breast cancer (not pregnancy associated), 12-24 months period controls</t>
  </si>
  <si>
    <t>breast cancer (pregnancy associated), 0-6 months postpartum</t>
  </si>
  <si>
    <t>breast cancer (pregnancy associated), pregnancy period controls</t>
  </si>
  <si>
    <t>breast cancer (pregnancy associated), 6-12 months postpartum</t>
  </si>
  <si>
    <t>breast cancer (pregnancy associated), 12-24 months postpartum</t>
  </si>
  <si>
    <t>Kaing</t>
  </si>
  <si>
    <t>Karanek</t>
  </si>
  <si>
    <t>Kang</t>
  </si>
  <si>
    <t>Keeble</t>
  </si>
  <si>
    <t>brain</t>
  </si>
  <si>
    <t>endomentrial</t>
  </si>
  <si>
    <t>oro-pharyngeal</t>
  </si>
  <si>
    <t>unknown primary</t>
  </si>
  <si>
    <t>unknown</t>
  </si>
  <si>
    <t>stomach</t>
  </si>
  <si>
    <t>Gomez-Mercado</t>
  </si>
  <si>
    <t>Columbia</t>
  </si>
  <si>
    <t>Gonzalez-Balcala</t>
  </si>
  <si>
    <t>Khaliq</t>
  </si>
  <si>
    <t>route 3 (homeopathic doctor)</t>
  </si>
  <si>
    <t>Pakistan</t>
  </si>
  <si>
    <t>route 2 (hakim)</t>
  </si>
  <si>
    <t>route 5 (consultant)</t>
  </si>
  <si>
    <t>direct</t>
  </si>
  <si>
    <t>route 4 (GP)</t>
  </si>
  <si>
    <t>route 1 (pir)</t>
  </si>
  <si>
    <t>Khan</t>
  </si>
  <si>
    <t>Khanna</t>
  </si>
  <si>
    <t>surgery, radiation therapy, chemotherapy, and hormone therapy</t>
  </si>
  <si>
    <t>Khoranna</t>
  </si>
  <si>
    <t>breast and 2004-2005</t>
  </si>
  <si>
    <t>breast and 2006-2007</t>
  </si>
  <si>
    <t>breast and 2008-2009</t>
  </si>
  <si>
    <t>breast and 2010-2011</t>
  </si>
  <si>
    <t>breast and 2012-2013</t>
  </si>
  <si>
    <t>colorectal and 2010-2011</t>
  </si>
  <si>
    <t>colorectal and 2012-2013</t>
  </si>
  <si>
    <t>colorectal and 2008-2009</t>
  </si>
  <si>
    <t>colorectal and 2004-2005</t>
  </si>
  <si>
    <t>colorectal and 2006-2007</t>
  </si>
  <si>
    <t>lung and 2012-2013</t>
  </si>
  <si>
    <t>lung and 2004-2005</t>
  </si>
  <si>
    <t>lung and 2006-2007</t>
  </si>
  <si>
    <t>lung and 2008-2009</t>
  </si>
  <si>
    <t>lung and 2010-2011</t>
  </si>
  <si>
    <t>pancreas and 2004-2005</t>
  </si>
  <si>
    <t>pancreas and 2006-2007</t>
  </si>
  <si>
    <t>pancreas and 2008-2009</t>
  </si>
  <si>
    <t>pancreas and 2012-2013</t>
  </si>
  <si>
    <t>pancreas and 2010-2011</t>
  </si>
  <si>
    <t>prostate and 2012-2013</t>
  </si>
  <si>
    <t>prostate and 2004-2005</t>
  </si>
  <si>
    <t>prostate and 2010-2011</t>
  </si>
  <si>
    <t>prostate and 2008-2009</t>
  </si>
  <si>
    <t>prostate and 2006-2007</t>
  </si>
  <si>
    <t>renal and 2004-2005</t>
  </si>
  <si>
    <t>renal and 2006-2007</t>
  </si>
  <si>
    <t>renal and 2008-2009</t>
  </si>
  <si>
    <t>renal and 2010-2011</t>
  </si>
  <si>
    <t>renal and 2012-2013</t>
  </si>
  <si>
    <t>Kim</t>
  </si>
  <si>
    <t>Kitano</t>
  </si>
  <si>
    <t>Kozak</t>
  </si>
  <si>
    <t>specializaed multidisciplinary cancer clinic</t>
  </si>
  <si>
    <t>chemoradiation, surgery or chemotherapy only</t>
  </si>
  <si>
    <t>elsewhere</t>
  </si>
  <si>
    <t>Kruger</t>
  </si>
  <si>
    <t>Kulig</t>
  </si>
  <si>
    <t>Siewert type II</t>
  </si>
  <si>
    <t>Siewert type III</t>
  </si>
  <si>
    <t>Langenbach</t>
  </si>
  <si>
    <t>Langey</t>
  </si>
  <si>
    <t>overall</t>
  </si>
  <si>
    <t>Leroy</t>
  </si>
  <si>
    <t>Belgium</t>
  </si>
  <si>
    <t>surgery, radiotherapy or chemotherapy</t>
  </si>
  <si>
    <t>Letourneau</t>
  </si>
  <si>
    <t>underwent ovarian stimulation</t>
  </si>
  <si>
    <t>declined ovarian stimulation</t>
  </si>
  <si>
    <t>Li</t>
  </si>
  <si>
    <t>Liao</t>
  </si>
  <si>
    <t>female</t>
  </si>
  <si>
    <t>male</t>
  </si>
  <si>
    <t>radiotherapy, chemoradiotherapy, surgery alone, or surgery with adjuvant RT/CRT</t>
  </si>
  <si>
    <t>Lim</t>
  </si>
  <si>
    <t>borderline</t>
  </si>
  <si>
    <t>invasive epithelial ovarian cancer (iEOC)</t>
  </si>
  <si>
    <t>Lobo</t>
  </si>
  <si>
    <t>surgery, chemotherapy/hormone therapy or radiation therapy</t>
  </si>
  <si>
    <t>Lokanatha</t>
  </si>
  <si>
    <t>Lyratzopoulos</t>
  </si>
  <si>
    <t>gallbladder</t>
  </si>
  <si>
    <t>mesothelioma</t>
  </si>
  <si>
    <t>sarcoma</t>
  </si>
  <si>
    <t>musculoskeletal</t>
  </si>
  <si>
    <t>small intestine</t>
  </si>
  <si>
    <t>vulval</t>
  </si>
  <si>
    <t>vulvar</t>
  </si>
  <si>
    <t>Macia</t>
  </si>
  <si>
    <t>radical, symptomatic, or palliative</t>
  </si>
  <si>
    <t>Majeed</t>
  </si>
  <si>
    <t>blood</t>
  </si>
  <si>
    <t>bone</t>
  </si>
  <si>
    <t>bone sarcoma</t>
  </si>
  <si>
    <t>glioma</t>
  </si>
  <si>
    <t>mouth</t>
  </si>
  <si>
    <t>parotid</t>
  </si>
  <si>
    <t>Maslach</t>
  </si>
  <si>
    <t>Mateo</t>
  </si>
  <si>
    <t>Maurer</t>
  </si>
  <si>
    <t>LYSA</t>
  </si>
  <si>
    <t>France, Belgium, and Switzerland</t>
  </si>
  <si>
    <t>lymphoma (diffuse large B-cell)</t>
  </si>
  <si>
    <t>MER</t>
  </si>
  <si>
    <t>anthracyclinebased immunochemotherapy (IC)</t>
  </si>
  <si>
    <t>Medeiros</t>
  </si>
  <si>
    <t>Morse</t>
  </si>
  <si>
    <t>surgical</t>
  </si>
  <si>
    <t>non-surgical</t>
  </si>
  <si>
    <t>radiation with or without concurrent chemotherapy</t>
  </si>
  <si>
    <t>salivary gland cancer</t>
  </si>
  <si>
    <t>primary surgery, with or without adjuvant radiation or chemoradiation</t>
  </si>
  <si>
    <t>primary radiation or chemoradiation</t>
  </si>
  <si>
    <t>Mucha-Malecka</t>
  </si>
  <si>
    <t>glottic (laryngeal)</t>
  </si>
  <si>
    <t>Mujar</t>
  </si>
  <si>
    <t>Malaysia</t>
  </si>
  <si>
    <t>surgery, chemotherapy or hormonal therapy</t>
  </si>
  <si>
    <t>Nieminen</t>
  </si>
  <si>
    <t>surgery, (chemo)radiotherapy</t>
  </si>
  <si>
    <t>Lawaetz</t>
  </si>
  <si>
    <t>Greenland</t>
  </si>
  <si>
    <t>1994-2003</t>
  </si>
  <si>
    <t>Lee</t>
  </si>
  <si>
    <t>Leon-Rodriguez</t>
  </si>
  <si>
    <t>Nikonova</t>
  </si>
  <si>
    <t>diffuse large B-cell lymphoma (DLBCL)</t>
  </si>
  <si>
    <t>Nishida</t>
  </si>
  <si>
    <t>O'Callaghan</t>
  </si>
  <si>
    <t>Ozturk</t>
  </si>
  <si>
    <t>Pace</t>
  </si>
  <si>
    <t>Pakseresht</t>
  </si>
  <si>
    <t>Panda</t>
  </si>
  <si>
    <t>Pande</t>
  </si>
  <si>
    <t>Pang</t>
  </si>
  <si>
    <t>surgery; radiotherapy and/or chemotherapy</t>
  </si>
  <si>
    <t>Park</t>
  </si>
  <si>
    <t>Parsons</t>
  </si>
  <si>
    <t>Patel</t>
  </si>
  <si>
    <t>surgical or radiation therapy</t>
  </si>
  <si>
    <t>Pedersen</t>
  </si>
  <si>
    <t>Qu</t>
  </si>
  <si>
    <t xml:space="preserve">hormonetherapy, radiotherapy or surgery </t>
  </si>
  <si>
    <t>Rabiu</t>
  </si>
  <si>
    <t>Radzikowska</t>
  </si>
  <si>
    <t>Ramey</t>
  </si>
  <si>
    <t>anal</t>
  </si>
  <si>
    <t xml:space="preserve">concurrent chemoradiotherapy </t>
  </si>
  <si>
    <t>Redaniel</t>
  </si>
  <si>
    <t>Redondo</t>
  </si>
  <si>
    <t>Renzi</t>
  </si>
  <si>
    <t>Robinson</t>
  </si>
  <si>
    <t>Memon</t>
  </si>
  <si>
    <t>Menon</t>
  </si>
  <si>
    <t>Northern Ireland (UK)</t>
  </si>
  <si>
    <t>surgery, chemotherapy, radiotherapy and other</t>
  </si>
  <si>
    <t>Manitoba (Canada)</t>
  </si>
  <si>
    <t>Scotland (UK)</t>
  </si>
  <si>
    <t>Ontario (Canada)</t>
  </si>
  <si>
    <t>Wales (UK)</t>
  </si>
  <si>
    <t>England (UK)</t>
  </si>
  <si>
    <t>Millas</t>
  </si>
  <si>
    <t>surgery, stage I</t>
  </si>
  <si>
    <t>surgery or endoscopic resection</t>
  </si>
  <si>
    <t>surgery, stage III</t>
  </si>
  <si>
    <t>surgery, stage IV</t>
  </si>
  <si>
    <t>surgery, stage II</t>
  </si>
  <si>
    <t>Mimouni</t>
  </si>
  <si>
    <t>Mirfarhadi</t>
  </si>
  <si>
    <t>Breast</t>
  </si>
  <si>
    <t>Mokdad</t>
  </si>
  <si>
    <t>before initiation of the VMS (voice messaging system)</t>
  </si>
  <si>
    <t>surgical resection, chemotherapy, or  locoregional therapy</t>
  </si>
  <si>
    <t>after initiation of the VMS (voice messaging system)</t>
  </si>
  <si>
    <t>Moodley</t>
  </si>
  <si>
    <t>induction chemotherapy</t>
  </si>
  <si>
    <t xml:space="preserve">hypopharyngeal </t>
  </si>
  <si>
    <t>radiation with or without chemotherapy</t>
  </si>
  <si>
    <t>Roland</t>
  </si>
  <si>
    <t>surgery, chemotherapy or radiation therapy</t>
  </si>
  <si>
    <t>rectosigmoid</t>
  </si>
  <si>
    <t>Romanoff</t>
  </si>
  <si>
    <t>Peru</t>
  </si>
  <si>
    <t>Samson</t>
  </si>
  <si>
    <t>&lt;8 weeks</t>
  </si>
  <si>
    <t>8 or more weeks</t>
  </si>
  <si>
    <t>Sangeran</t>
  </si>
  <si>
    <t>Sawicki</t>
  </si>
  <si>
    <t>urban</t>
  </si>
  <si>
    <t>rural</t>
  </si>
  <si>
    <t>Schutte</t>
  </si>
  <si>
    <t>conventional workup (CW)</t>
  </si>
  <si>
    <t>the date of surgery or the date of the first fraction of (chemo)radiotherapy</t>
  </si>
  <si>
    <t>optimized workup (OW)</t>
  </si>
  <si>
    <t>Seiber</t>
  </si>
  <si>
    <t>surgery or chemotherapy or radiation or oncologic resection</t>
  </si>
  <si>
    <t>Sekeres</t>
  </si>
  <si>
    <t>remision inducted regimen (chemotherapy) that included cytarabine</t>
  </si>
  <si>
    <t>Sell</t>
  </si>
  <si>
    <t>Seneviratne</t>
  </si>
  <si>
    <t>New Zealand</t>
  </si>
  <si>
    <t>Serrell</t>
  </si>
  <si>
    <t>Teppo</t>
  </si>
  <si>
    <t>oral cavity (tongue)</t>
  </si>
  <si>
    <t>tongue</t>
  </si>
  <si>
    <t>pharyngeal</t>
  </si>
  <si>
    <t>Tolstrup</t>
  </si>
  <si>
    <t>women</t>
  </si>
  <si>
    <t>men</t>
  </si>
  <si>
    <t>Tomaszewski</t>
  </si>
  <si>
    <t>Torring</t>
  </si>
  <si>
    <t>Trepanier</t>
  </si>
  <si>
    <t>Tumati</t>
  </si>
  <si>
    <t>Unger-Saldana</t>
  </si>
  <si>
    <t>surgery, chemotherapy, radiotherapy, hormone therapy or target therapy</t>
  </si>
  <si>
    <t>Peltola</t>
  </si>
  <si>
    <t>endocrine and neuroendocrine</t>
  </si>
  <si>
    <t>insulinoma</t>
  </si>
  <si>
    <t>islet cell tumors (insulinoma)</t>
  </si>
  <si>
    <t>Perlow</t>
  </si>
  <si>
    <t>safety net hospital</t>
  </si>
  <si>
    <t>oropharyngeal or laryngeal</t>
  </si>
  <si>
    <t>surgery, chemotherapy, radiotherapy</t>
  </si>
  <si>
    <t>private academic hospital</t>
  </si>
  <si>
    <t>Piñeros</t>
  </si>
  <si>
    <t>Colombia</t>
  </si>
  <si>
    <t>surgery, chemotherapy or radiotherapy</t>
  </si>
  <si>
    <t>Polesel</t>
  </si>
  <si>
    <t>hypopharynx</t>
  </si>
  <si>
    <t>surgery, radiation, radical concomitantn radio-chemotherapy or chemotherapy</t>
  </si>
  <si>
    <t>oral cavity</t>
  </si>
  <si>
    <t>Poum</t>
  </si>
  <si>
    <t>Thailand</t>
  </si>
  <si>
    <t>Pozsgai</t>
  </si>
  <si>
    <t>Pruitt</t>
  </si>
  <si>
    <t>the first of any type of CRC treatment (including definitive surgery [colectomy/proctectomy or pelvic exenteration], chemotherapy, or radiotherapy</t>
  </si>
  <si>
    <t>van Erp</t>
  </si>
  <si>
    <t>Van Harten</t>
  </si>
  <si>
    <t>lip and oral cavity, naso-, oro- and hypopharyngeal, laryngeal, salivary gland (in all cases, squamous cell carcinoma)</t>
  </si>
  <si>
    <t>surgery, radiotherapy, chemoradiation</t>
  </si>
  <si>
    <t>Van Hout</t>
  </si>
  <si>
    <t>Vandborg</t>
  </si>
  <si>
    <t>Varela-Centelles</t>
  </si>
  <si>
    <t>Zadnik</t>
  </si>
  <si>
    <t>Slovenia</t>
  </si>
  <si>
    <t>Vinod</t>
  </si>
  <si>
    <t>all treatments (including palliative care)</t>
  </si>
  <si>
    <t>surgery, radiotherapy, systemic therapy, palliative care</t>
  </si>
  <si>
    <t>Visser</t>
  </si>
  <si>
    <t>perioperative chemotherapy, neoadjuvant chemoradiotherapy or esophagectomy, whichever is first</t>
  </si>
  <si>
    <t>primary surgery</t>
  </si>
  <si>
    <t>multimodality treatment</t>
  </si>
  <si>
    <t>2005-2013</t>
  </si>
  <si>
    <t>surgery or neoadjuvant chemoradiation</t>
  </si>
  <si>
    <t>Walter</t>
  </si>
  <si>
    <t>Wang</t>
  </si>
  <si>
    <t>radiation, sequential chemoradiation, concurrent chemoradiation</t>
  </si>
  <si>
    <t>Wanis</t>
  </si>
  <si>
    <t>Webber</t>
  </si>
  <si>
    <t>Webster</t>
  </si>
  <si>
    <t>Widhe</t>
  </si>
  <si>
    <t>soft tissue sarcoma</t>
  </si>
  <si>
    <t>Williams</t>
  </si>
  <si>
    <t>surgery, radiotherapy, chemotherapy, hormone therapy</t>
  </si>
  <si>
    <t>Wright</t>
  </si>
  <si>
    <t>primary surgical therapy</t>
  </si>
  <si>
    <t>Xavier</t>
  </si>
  <si>
    <t>Xu</t>
  </si>
  <si>
    <t>local tumor destruction (LTD) and hepatic resection</t>
  </si>
  <si>
    <t>Yaman</t>
  </si>
  <si>
    <t>Yang</t>
  </si>
  <si>
    <t>antepartum</t>
  </si>
  <si>
    <t>surgery, chemotherapy</t>
  </si>
  <si>
    <t>postpartum</t>
  </si>
  <si>
    <t>Yorio</t>
  </si>
  <si>
    <t>Yuan</t>
  </si>
  <si>
    <t>Yurdakul</t>
  </si>
  <si>
    <t>surgery, chemotherapy, radiation therapy or supportive therapy</t>
  </si>
  <si>
    <t>Shah</t>
  </si>
  <si>
    <t>Q5 of stages IA-IIIB (thoracic radiation as treatment)</t>
  </si>
  <si>
    <t>resection surgery for stages IA-IIIA, and thoracic radiation for stages IA-IIIB</t>
  </si>
  <si>
    <t>Q4 of stages IA-IIIB (thoracic radiation as treatment)</t>
  </si>
  <si>
    <t>Q3 of stages IA-IIIB (thoracic radiation as treatment)</t>
  </si>
  <si>
    <t>Q2 of stages IA-IIIB (thoracic radiation as treatment)</t>
  </si>
  <si>
    <t>Q1 of stages IA-IIIB (thoracic radiation as treatment)</t>
  </si>
  <si>
    <t>Q5 of stages IA-IIIA (lung resection surgery as treatment)</t>
  </si>
  <si>
    <t>Q3 of stages IA-IIIA (lung resection surgery as treatment)</t>
  </si>
  <si>
    <t>Q4 of stages IA-IIIA (lung resection surgery as treatment)</t>
  </si>
  <si>
    <t>Q1 of stages IA-IIIA (lung resection surgery as treatment)</t>
  </si>
  <si>
    <t>Q2 of stages IA-IIIA (lung resection surgery as treatment)</t>
  </si>
  <si>
    <t>Sharma</t>
  </si>
  <si>
    <t>chemotherapy and radiotherapy</t>
  </si>
  <si>
    <t>Sikdar</t>
  </si>
  <si>
    <t>Singal</t>
  </si>
  <si>
    <t>liver transplantation, resection, radiofrequency ablation, transarterial chemoembolization, systemic chemotherapy</t>
  </si>
  <si>
    <t>Singh</t>
  </si>
  <si>
    <t>surgery, chemotherapy, radiotherapy or no treatment</t>
  </si>
  <si>
    <t>First definitive treatment as recorded in the Manitoba Cancer Registry</t>
  </si>
  <si>
    <t>Smith</t>
  </si>
  <si>
    <t>1993-2004</t>
  </si>
  <si>
    <t>Soares Ferreira</t>
  </si>
  <si>
    <t>surgery, radiotherapy, chemotherapy or hormone therapy</t>
  </si>
  <si>
    <t>Stevens</t>
  </si>
  <si>
    <t>external beam radiotherapy</t>
  </si>
  <si>
    <t>Stornello</t>
  </si>
  <si>
    <t>Strohl</t>
  </si>
  <si>
    <t>Sue</t>
  </si>
  <si>
    <t>Sulu</t>
  </si>
  <si>
    <t>Zdravkovic</t>
  </si>
  <si>
    <t>symptoms for 3 months or less</t>
  </si>
  <si>
    <t>symptoms for &gt;3 months</t>
  </si>
  <si>
    <t>Zhang</t>
  </si>
  <si>
    <t>surgery, radiotherapy or chemoradiotherapy</t>
  </si>
  <si>
    <t>intermediate</t>
  </si>
  <si>
    <t>Kozielski</t>
  </si>
  <si>
    <t>small cell lung cancer</t>
  </si>
  <si>
    <t>non-small cell lung cancer</t>
  </si>
  <si>
    <t>Howell</t>
  </si>
  <si>
    <t>Hairy cell leukaemia</t>
  </si>
  <si>
    <t>leukemia (hairy cell)</t>
  </si>
  <si>
    <t>T-cell leukaemia</t>
  </si>
  <si>
    <t>leukemia (T-cell)</t>
  </si>
  <si>
    <t>Acute lymphoblastic leukaemia</t>
  </si>
  <si>
    <t>Chronic myeloid leukaemia</t>
  </si>
  <si>
    <t>Acute myeloid leukaemia</t>
  </si>
  <si>
    <t>Chronic lymphocytic leukaemia</t>
  </si>
  <si>
    <t>Burkitt lymphoma</t>
  </si>
  <si>
    <t>lymphoma (Burkitt)</t>
  </si>
  <si>
    <t>T-cell lymphoma</t>
  </si>
  <si>
    <t>lymphoma (T-cell)</t>
  </si>
  <si>
    <t>Mantle cell lymphoma</t>
  </si>
  <si>
    <t>lymphoma (mantle cell)</t>
  </si>
  <si>
    <t>Marginal zone lymphoma</t>
  </si>
  <si>
    <t>lymphoma (marginal zone)</t>
  </si>
  <si>
    <t>Follicular lymphoma</t>
  </si>
  <si>
    <t>lymphoma (follicular)</t>
  </si>
  <si>
    <t>Diffuse large B-cell lymphoma</t>
  </si>
  <si>
    <t>Lymphoproliferative disorder NOS</t>
  </si>
  <si>
    <t>lymphoproliferative disorder NOS</t>
  </si>
  <si>
    <t>Myelodysplastic syndromes</t>
  </si>
  <si>
    <t>myelodysplastic syndromes</t>
  </si>
  <si>
    <t>Myelofibrosis</t>
  </si>
  <si>
    <t>myelofibrosis</t>
  </si>
  <si>
    <t>Myelodysplastic/Myeloproliferative neoplasms</t>
  </si>
  <si>
    <t>myeloproliferative neoplasm</t>
  </si>
  <si>
    <t>myelodysplastic/myeloproliferative neoplasms</t>
  </si>
  <si>
    <t>Myeloproliferative neoplasm</t>
  </si>
  <si>
    <t>Nilbert</t>
  </si>
  <si>
    <t>retroperitoneal sarcoma</t>
  </si>
  <si>
    <t>Brinkerhoff</t>
  </si>
  <si>
    <t>concurrent chemoradiotherapy</t>
  </si>
  <si>
    <t>Bustami</t>
  </si>
  <si>
    <t>Asian/Other</t>
  </si>
  <si>
    <t>surgery (lumpectomy or mastectomy)</t>
  </si>
  <si>
    <t>Lohlun</t>
  </si>
  <si>
    <t>BuvarpDyrop</t>
  </si>
  <si>
    <t>Dolly</t>
  </si>
  <si>
    <t>Zanaty</t>
  </si>
  <si>
    <t>low risk</t>
  </si>
  <si>
    <t>intermediate risk</t>
  </si>
  <si>
    <t>high risk</t>
  </si>
  <si>
    <t>Ran</t>
  </si>
  <si>
    <t>Lawrenz</t>
  </si>
  <si>
    <t>surgery, radiotherapy, systemic, or a combination of treatments that start on the same day</t>
  </si>
  <si>
    <t>Kan</t>
  </si>
  <si>
    <t>surgery (radical prostatectomy) or radiation</t>
  </si>
  <si>
    <t>61-109</t>
  </si>
  <si>
    <t>Lovejoy</t>
  </si>
  <si>
    <t>African American women (AAW)</t>
  </si>
  <si>
    <t>definitive breast operation (excisional biopsy, reexcision, or mastectomy)</t>
  </si>
  <si>
    <t>European American women (EAW)</t>
  </si>
  <si>
    <t>Humphrys</t>
  </si>
  <si>
    <t>Jin</t>
  </si>
  <si>
    <t>young (&lt;50)</t>
  </si>
  <si>
    <t>older (&gt;60)</t>
  </si>
  <si>
    <t>Mielczarek</t>
  </si>
  <si>
    <t>transurethral resection of bladder tumor (TURBT)</t>
  </si>
  <si>
    <t>Huang</t>
  </si>
  <si>
    <t>histologic</t>
  </si>
  <si>
    <t>Kompelli</t>
  </si>
  <si>
    <t>European American</t>
  </si>
  <si>
    <t>Rittitit</t>
  </si>
  <si>
    <t>Zikovic</t>
  </si>
  <si>
    <t>Montenegro</t>
  </si>
  <si>
    <t>nasopharyngeal</t>
  </si>
  <si>
    <t>Vidaver</t>
  </si>
  <si>
    <t>radiation therapy, chemotherapy, targeted therapy, or a surgical treatment</t>
  </si>
  <si>
    <t>Talavera-Belmonte</t>
  </si>
  <si>
    <t>subungual melanoma</t>
  </si>
  <si>
    <t>Yau</t>
  </si>
  <si>
    <t>Shieh</t>
  </si>
  <si>
    <t>Scott</t>
  </si>
  <si>
    <t>&lt;50</t>
  </si>
  <si>
    <t>&gt;50</t>
  </si>
  <si>
    <t>Otieno</t>
  </si>
  <si>
    <t>Kenya</t>
  </si>
  <si>
    <t>surgery, radiotherapy, chemotherapy and/ or hormonal therapy either singly or in combination</t>
  </si>
  <si>
    <t>O'Leary</t>
  </si>
  <si>
    <t>hysterectomy</t>
  </si>
  <si>
    <t>Odongo</t>
  </si>
  <si>
    <t>McLaughlin</t>
  </si>
  <si>
    <t xml:space="preserve">surgery, radiation, chemotherapy or hormonal/biologic treatment </t>
  </si>
  <si>
    <t>Marella</t>
  </si>
  <si>
    <t>Law</t>
  </si>
  <si>
    <t>Kumar</t>
  </si>
  <si>
    <t>Kolude</t>
  </si>
  <si>
    <t>Lijkendijk</t>
  </si>
  <si>
    <t>Levy</t>
  </si>
  <si>
    <t>CLL patients with neutrophilia and without monocytosis</t>
  </si>
  <si>
    <t>Israel</t>
  </si>
  <si>
    <t>CLL patients without neutrophilia and without monocytosis</t>
  </si>
  <si>
    <t>Leveque</t>
  </si>
  <si>
    <t>Faye</t>
  </si>
  <si>
    <t>Senegal</t>
  </si>
  <si>
    <t>Ermiah</t>
  </si>
  <si>
    <t>Libya</t>
  </si>
  <si>
    <t>Chappidi</t>
  </si>
  <si>
    <t>bladder and female</t>
  </si>
  <si>
    <t>bladder and male</t>
  </si>
  <si>
    <t>upper tract urothelial carcinoma and female</t>
  </si>
  <si>
    <t>upper urinary</t>
  </si>
  <si>
    <t>upper-tract urothelial carcinoma</t>
  </si>
  <si>
    <t>upper tract urothelial carcinoma and male</t>
  </si>
  <si>
    <t>sinonasal</t>
  </si>
  <si>
    <t>Baishya</t>
  </si>
  <si>
    <t>lower-middle</t>
  </si>
  <si>
    <t>lip</t>
  </si>
  <si>
    <t>tonsil</t>
  </si>
  <si>
    <t>Altman</t>
  </si>
  <si>
    <t>I or II</t>
  </si>
  <si>
    <t>III, IV or unknown</t>
  </si>
  <si>
    <t>Al-Rajhi</t>
  </si>
  <si>
    <t>Saudi Arabia</t>
  </si>
  <si>
    <t>Cohn</t>
  </si>
  <si>
    <t>Cicchiello</t>
  </si>
  <si>
    <t>nodular melanoma</t>
  </si>
  <si>
    <t>superficial spreading melanoma</t>
  </si>
  <si>
    <t>Ben Fatma</t>
  </si>
  <si>
    <t>Tunisia</t>
  </si>
  <si>
    <t>Baughan</t>
  </si>
  <si>
    <t>Scotland</t>
  </si>
  <si>
    <t>leukaemia</t>
  </si>
  <si>
    <t>other urological</t>
  </si>
  <si>
    <t>urological</t>
  </si>
  <si>
    <t>Shrabek</t>
  </si>
  <si>
    <t>chemotherapy or radiation</t>
  </si>
  <si>
    <t>Hess</t>
  </si>
  <si>
    <t>Worcester</t>
  </si>
  <si>
    <t>Theewaterskloof</t>
  </si>
  <si>
    <t>Jedy-Agba</t>
  </si>
  <si>
    <t>Goedhart</t>
  </si>
  <si>
    <t>osteosarcoma</t>
  </si>
  <si>
    <t>chondrosarcoma</t>
  </si>
  <si>
    <t>Nandra</t>
  </si>
  <si>
    <t>Esmaelbeigi</t>
  </si>
  <si>
    <t>Bertoli</t>
  </si>
  <si>
    <t>acute myeloid leukemia</t>
  </si>
  <si>
    <t>intensive induction chemotherapy</t>
  </si>
  <si>
    <t>Eastman</t>
  </si>
  <si>
    <t>Lyhne</t>
  </si>
  <si>
    <t>radiotherapy, surgery, or palliative or no treatment</t>
  </si>
  <si>
    <t>Valentín-López</t>
  </si>
  <si>
    <t>rapid referral pathway</t>
  </si>
  <si>
    <t>standard pathway</t>
  </si>
  <si>
    <t>Korets</t>
  </si>
  <si>
    <t>radical prostatectomy</t>
  </si>
  <si>
    <t>Kämmerer</t>
  </si>
  <si>
    <t>osteosarcoma of the jaws</t>
  </si>
  <si>
    <t>Gort</t>
  </si>
  <si>
    <t>radiotherapy, surgery</t>
  </si>
  <si>
    <t>Waldert</t>
  </si>
  <si>
    <t>International (Austria, France, USA, Italy)</t>
  </si>
  <si>
    <t>surgery (radical nephroureterectomy)</t>
  </si>
  <si>
    <t>Brazda</t>
  </si>
  <si>
    <t>surgical or systemic</t>
  </si>
  <si>
    <t>Tokuda</t>
  </si>
  <si>
    <t>bladder/ureter</t>
  </si>
  <si>
    <t>bladder and urethral</t>
  </si>
  <si>
    <t>uterine cervix</t>
  </si>
  <si>
    <t>uterine body</t>
  </si>
  <si>
    <t>acute leukemia</t>
  </si>
  <si>
    <t>ovary</t>
  </si>
  <si>
    <t>hepatobiliary</t>
  </si>
  <si>
    <t>Richards</t>
  </si>
  <si>
    <t>Alig</t>
  </si>
  <si>
    <t>USA, France, Italy, Germany</t>
  </si>
  <si>
    <t>lymphoma (diffuse large B-cell+T cell/histiocyte rich large B-cell)</t>
  </si>
  <si>
    <t>immunochemotherapy</t>
  </si>
  <si>
    <t>Almubarak</t>
  </si>
  <si>
    <t>Blunt</t>
  </si>
  <si>
    <t>immunochemotherapy (rituximab)</t>
  </si>
  <si>
    <t>Benider</t>
  </si>
  <si>
    <t>surgery, radiotherapy, chemotherapy</t>
  </si>
  <si>
    <t>Blackmore</t>
  </si>
  <si>
    <t>Andkhoie</t>
  </si>
  <si>
    <t>ratiation therapy</t>
  </si>
  <si>
    <t>Atkin</t>
  </si>
  <si>
    <t>Babatunde</t>
  </si>
  <si>
    <t>black</t>
  </si>
  <si>
    <t>white</t>
  </si>
  <si>
    <t>Badri</t>
  </si>
  <si>
    <t>Cañaveras-León</t>
  </si>
  <si>
    <t>Hayes</t>
  </si>
  <si>
    <t>upper-middle</t>
  </si>
  <si>
    <t>Cubiella</t>
  </si>
  <si>
    <t>pre-implantation cohort</t>
  </si>
  <si>
    <t>post-implantation cohort</t>
  </si>
  <si>
    <t>Filho</t>
  </si>
  <si>
    <t>dosSantosAndrade</t>
  </si>
  <si>
    <t>Han</t>
  </si>
  <si>
    <t>Elias</t>
  </si>
  <si>
    <t>surgery, radiation, systemic or other</t>
  </si>
  <si>
    <t>Goenka</t>
  </si>
  <si>
    <t>Hassen</t>
  </si>
  <si>
    <t>Emerson</t>
  </si>
  <si>
    <t>surgery, radioation, or chemotherapy</t>
  </si>
  <si>
    <t>HernándezVargas</t>
  </si>
  <si>
    <t>Ferro</t>
  </si>
  <si>
    <t>Pre-covid cohort</t>
  </si>
  <si>
    <t>Hewage</t>
  </si>
  <si>
    <t>Sri Lanka</t>
  </si>
  <si>
    <t>neoadjuvant therapy, surgery, palliative radiotherapy &amp; systemic therapy</t>
  </si>
  <si>
    <t>Ganesan</t>
  </si>
  <si>
    <t>Greer</t>
  </si>
  <si>
    <t>underwent fertility preservation</t>
  </si>
  <si>
    <t>surgery or neoadjuvant treatment</t>
  </si>
  <si>
    <t>did not undergo fertility preservation</t>
  </si>
  <si>
    <t>Karnchanachari</t>
  </si>
  <si>
    <t>esophagogastric</t>
  </si>
  <si>
    <t>Heiden</t>
  </si>
  <si>
    <t>Huerta-Gutierrez</t>
  </si>
  <si>
    <t>before FPGC</t>
  </si>
  <si>
    <t>after FPGC</t>
  </si>
  <si>
    <t>Hussain</t>
  </si>
  <si>
    <t>squamous cell carcinoma</t>
  </si>
  <si>
    <t>Kassirian</t>
  </si>
  <si>
    <t>Karp</t>
  </si>
  <si>
    <t>Kiss</t>
  </si>
  <si>
    <t>Group A</t>
  </si>
  <si>
    <t>surgery or chemotherapy</t>
  </si>
  <si>
    <t>Group B</t>
  </si>
  <si>
    <t>surgery, chemotherapy, radiotherapy, or hormonal therapy</t>
  </si>
  <si>
    <t>MartínezPérez</t>
  </si>
  <si>
    <t>Mazza</t>
  </si>
  <si>
    <t>Angloaustralian</t>
  </si>
  <si>
    <t>Culturally and linguistically diverse (CALD)</t>
  </si>
  <si>
    <t>Kouka</t>
  </si>
  <si>
    <t>surgery, chemotherapy, radiation, chemo-radiation, immnotherapy</t>
  </si>
  <si>
    <t>surgery, radiotherapy</t>
  </si>
  <si>
    <t>Ksienski</t>
  </si>
  <si>
    <t>Anti-PD-1 antibody monotherapy</t>
  </si>
  <si>
    <t>Linxweiller</t>
  </si>
  <si>
    <t>intervention</t>
  </si>
  <si>
    <t xml:space="preserve">surgery </t>
  </si>
  <si>
    <t>control</t>
  </si>
  <si>
    <t>Matarredona-Quiles</t>
  </si>
  <si>
    <t>oral cavity, pharynx, larynx, nasal cavity, paranasal sinuses, salivary glands</t>
  </si>
  <si>
    <t>Murchie</t>
  </si>
  <si>
    <t>Kotecha</t>
  </si>
  <si>
    <t xml:space="preserve">Marcickiewicz </t>
  </si>
  <si>
    <t>Mumba</t>
  </si>
  <si>
    <t>chemotherapy, radiotherapy, chemoradiotherapy, surgery, and palliation</t>
  </si>
  <si>
    <t>Naidoo</t>
  </si>
  <si>
    <t>Nassali</t>
  </si>
  <si>
    <t>all</t>
  </si>
  <si>
    <t>Botswana</t>
  </si>
  <si>
    <t>chemoradiotherapy</t>
  </si>
  <si>
    <t>NevesLima</t>
  </si>
  <si>
    <t>Norsa'adah</t>
  </si>
  <si>
    <t>surgery or systemic</t>
  </si>
  <si>
    <t>Olaogun</t>
  </si>
  <si>
    <t>Rollig</t>
  </si>
  <si>
    <t>Philip</t>
  </si>
  <si>
    <t>Tesfaw</t>
  </si>
  <si>
    <t>Sathoo</t>
  </si>
  <si>
    <t>upper gastrointestinal and colorectal</t>
  </si>
  <si>
    <t>Padilla-Ruiz</t>
  </si>
  <si>
    <t>Pumpalova</t>
  </si>
  <si>
    <t>neoadjuvant treatment</t>
  </si>
  <si>
    <t>Rai</t>
  </si>
  <si>
    <t>Schoonbeek</t>
  </si>
  <si>
    <t>surgery, radiotherapy, or chemoradiation</t>
  </si>
  <si>
    <t>Shahid</t>
  </si>
  <si>
    <t>pre-pandemic group</t>
  </si>
  <si>
    <t>Shamsi</t>
  </si>
  <si>
    <t xml:space="preserve">Sifontes-Dubon </t>
  </si>
  <si>
    <t>Soomers</t>
  </si>
  <si>
    <t>UK, Netherlands</t>
  </si>
  <si>
    <t>Tsutsumi</t>
  </si>
  <si>
    <t>esthesioneuroblastoma</t>
  </si>
  <si>
    <t>Urban</t>
  </si>
  <si>
    <t>positive</t>
  </si>
  <si>
    <t>negative</t>
  </si>
  <si>
    <t>Virgilsen</t>
  </si>
  <si>
    <t>at breast assessment site</t>
  </si>
  <si>
    <t>surgery, radiotherapy, or chemotherapy</t>
  </si>
  <si>
    <t>usual care</t>
  </si>
  <si>
    <t>Yoshida</t>
  </si>
  <si>
    <t>diffuse large B-cell lymphoma</t>
  </si>
  <si>
    <t>Zumer</t>
  </si>
  <si>
    <t>vanErp</t>
  </si>
  <si>
    <t>chapter 4, kidney</t>
  </si>
  <si>
    <t>chapter 4, bladder</t>
  </si>
  <si>
    <t>chapter 5, ovarian</t>
  </si>
  <si>
    <t>Beaudoin</t>
  </si>
  <si>
    <t>Kerdpon</t>
  </si>
  <si>
    <t>other</t>
  </si>
  <si>
    <t>"other gynecological"</t>
  </si>
  <si>
    <t>Neal</t>
  </si>
  <si>
    <t>Swann</t>
  </si>
  <si>
    <t>UK, Canada, Australia, Denmark</t>
  </si>
  <si>
    <t>patient-based from Denmark</t>
  </si>
  <si>
    <t>record-based from UK</t>
  </si>
  <si>
    <t>40 or younger</t>
  </si>
  <si>
    <t>older than 40</t>
  </si>
  <si>
    <t>Zarcos-Pedrinaci</t>
  </si>
  <si>
    <t>Mansour</t>
  </si>
  <si>
    <t>Algeria</t>
  </si>
  <si>
    <t>chemotherapy, radiotherapy, surgery</t>
  </si>
  <si>
    <t>011)</t>
  </si>
  <si>
    <t>ID</t>
  </si>
  <si>
    <t>first_author</t>
  </si>
  <si>
    <t>group</t>
  </si>
  <si>
    <t>data_start</t>
  </si>
  <si>
    <t>data_finish</t>
  </si>
  <si>
    <t>country_additional</t>
  </si>
  <si>
    <t>site_general</t>
  </si>
  <si>
    <t>site_specific</t>
  </si>
  <si>
    <t>diagnosis_details</t>
  </si>
  <si>
    <t>females</t>
  </si>
  <si>
    <t>diagnosis</t>
  </si>
  <si>
    <t>first_treatment</t>
  </si>
  <si>
    <t>GNI</t>
  </si>
  <si>
    <t>idi</t>
  </si>
  <si>
    <t>oropharynx or oral cavity</t>
  </si>
  <si>
    <t xml:space="preserve"> oropharynx or oral cavity</t>
  </si>
  <si>
    <t>papillary microcarcinoma</t>
  </si>
  <si>
    <t>chronic lymphocytic leukemia</t>
  </si>
  <si>
    <t>acute lymphoblastic leukemia</t>
  </si>
  <si>
    <t>chronic myeloid leukemia</t>
  </si>
  <si>
    <t>ICP_overall</t>
  </si>
  <si>
    <t>ICP_pp</t>
  </si>
  <si>
    <t>ICP_cancerplan</t>
  </si>
  <si>
    <t>ICP_care</t>
  </si>
  <si>
    <t>GNIG</t>
  </si>
  <si>
    <t>lowquality</t>
  </si>
  <si>
    <t>risk_of_bias</t>
  </si>
  <si>
    <t>Medium</t>
  </si>
  <si>
    <t>No</t>
  </si>
  <si>
    <t>High</t>
  </si>
  <si>
    <t>Yes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</si>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</sst>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3" x14ac:knownFonts="1">
    <font>
      <sz val="11"/>
      <color theme="1"/>
      <name val="Calibri"/>
      <scheme val="minor"/>
    </font>
    <font>
      <b/>
      <sz val="9"/>
      <name val="Calibri"/>
      <family val="2"/>
    </font>
    <font>
      <sz val="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E5B8B7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rgb="FFFBE4D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4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1" fontId="1" fillId="5" borderId="2" xfId="0" applyNumberFormat="1" applyFont="1" applyFill="1" applyBorder="1" applyAlignment="1">
      <alignment vertical="center" wrapText="1"/>
    </xf>
    <xf numFmtId="164" fontId="1" fillId="5" borderId="2" xfId="0" applyNumberFormat="1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2" fontId="1" fillId="7" borderId="2" xfId="0" applyNumberFormat="1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vertical="center" wrapText="1"/>
    </xf>
    <xf numFmtId="0" fontId="1" fillId="4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/>
    <xf numFmtId="1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2" borderId="0" xfId="0" applyFont="1" applyFill="1" applyBorder="1" applyAlignment="1">
      <alignment horizontal="left"/>
    </xf>
    <xf numFmtId="0" fontId="2" fillId="0" borderId="0" xfId="0" applyFont="1" applyBorder="1"/>
    <xf numFmtId="0" fontId="2" fillId="2" borderId="0" xfId="0" applyFont="1" applyFill="1" applyBorder="1"/>
    <xf numFmtId="2" fontId="2" fillId="0" borderId="1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2" fontId="2" fillId="2" borderId="0" xfId="0" applyNumberFormat="1" applyFont="1" applyFill="1" applyBorder="1" applyAlignment="1">
      <alignment horizontal="center"/>
    </xf>
    <xf numFmtId="0" fontId="2" fillId="2" borderId="1" xfId="0" applyFont="1" applyFill="1" applyBorder="1"/>
    <xf numFmtId="1" fontId="2" fillId="3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2" fontId="2" fillId="3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1" fillId="0" borderId="2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75"/>
  <sheetViews>
    <sheetView tabSelected="1" workbookViewId="0">
      <pane ySplit="1" topLeftCell="A2" activePane="bottomLeft" state="frozen"/>
      <selection pane="bottomLeft" activeCell="B1" sqref="A1:XFD1048576"/>
    </sheetView>
  </sheetViews>
  <sheetFormatPr baseColWidth="10" defaultColWidth="12.85546875" defaultRowHeight="15" customHeight="1" x14ac:dyDescent="0.2"/>
  <cols>
    <col min="1" max="1" width="12.85546875" style="11"/>
    <col min="2" max="7" width="12.85546875" style="18"/>
    <col min="8" max="8" width="15.85546875" style="18" customWidth="1"/>
    <col min="9" max="51" width="12.85546875" style="18"/>
    <col min="52" max="58" width="12.85546875" style="50"/>
    <col min="59" max="16384" width="12.85546875" style="18"/>
  </cols>
  <sheetData>
    <row r="1" spans="1:60" s="10" customFormat="1" ht="12" x14ac:dyDescent="0.25">
      <c r="A1" s="1" t="s">
        <v>1016</v>
      </c>
      <c r="B1" s="2" t="s">
        <v>1003</v>
      </c>
      <c r="C1" s="2" t="s">
        <v>1004</v>
      </c>
      <c r="D1" s="3" t="s">
        <v>1005</v>
      </c>
      <c r="E1" s="1" t="s">
        <v>1006</v>
      </c>
      <c r="F1" s="1" t="s">
        <v>1007</v>
      </c>
      <c r="G1" s="2" t="s">
        <v>240</v>
      </c>
      <c r="H1" s="2" t="s">
        <v>1008</v>
      </c>
      <c r="I1" s="1" t="s">
        <v>1009</v>
      </c>
      <c r="J1" s="1" t="s">
        <v>1010</v>
      </c>
      <c r="K1" s="1" t="s">
        <v>1011</v>
      </c>
      <c r="L1" s="4" t="s">
        <v>1012</v>
      </c>
      <c r="M1" s="5" t="s">
        <v>68</v>
      </c>
      <c r="N1" s="2" t="s">
        <v>1013</v>
      </c>
      <c r="O1" s="6" t="s">
        <v>1014</v>
      </c>
      <c r="P1" s="6" t="s">
        <v>0</v>
      </c>
      <c r="Q1" s="6" t="s">
        <v>1</v>
      </c>
      <c r="R1" s="7" t="s">
        <v>2</v>
      </c>
      <c r="S1" s="7" t="s">
        <v>3</v>
      </c>
      <c r="T1" s="7" t="s">
        <v>4</v>
      </c>
      <c r="U1" s="7" t="s">
        <v>5</v>
      </c>
      <c r="V1" s="7" t="s">
        <v>6</v>
      </c>
      <c r="W1" s="7" t="s">
        <v>7</v>
      </c>
      <c r="X1" s="7" t="s">
        <v>8</v>
      </c>
      <c r="Y1" s="7" t="s">
        <v>9</v>
      </c>
      <c r="Z1" s="7" t="s">
        <v>10</v>
      </c>
      <c r="AA1" s="7" t="s">
        <v>11</v>
      </c>
      <c r="AB1" s="8" t="s">
        <v>12</v>
      </c>
      <c r="AC1" s="8" t="s">
        <v>13</v>
      </c>
      <c r="AD1" s="8" t="s">
        <v>14</v>
      </c>
      <c r="AE1" s="8" t="s">
        <v>15</v>
      </c>
      <c r="AF1" s="8" t="s">
        <v>16</v>
      </c>
      <c r="AG1" s="8" t="s">
        <v>17</v>
      </c>
      <c r="AH1" s="8" t="s">
        <v>18</v>
      </c>
      <c r="AI1" s="8" t="s">
        <v>19</v>
      </c>
      <c r="AJ1" s="8" t="s">
        <v>20</v>
      </c>
      <c r="AK1" s="8" t="s">
        <v>21</v>
      </c>
      <c r="AL1" s="8" t="s">
        <v>22</v>
      </c>
      <c r="AM1" s="8" t="s">
        <v>23</v>
      </c>
      <c r="AN1" s="9" t="s">
        <v>24</v>
      </c>
      <c r="AO1" s="9" t="s">
        <v>25</v>
      </c>
      <c r="AP1" s="9" t="s">
        <v>26</v>
      </c>
      <c r="AQ1" s="9" t="s">
        <v>27</v>
      </c>
      <c r="AR1" s="9" t="s">
        <v>28</v>
      </c>
      <c r="AS1" s="9" t="s">
        <v>29</v>
      </c>
      <c r="AT1" s="9" t="s">
        <v>30</v>
      </c>
      <c r="AU1" s="9" t="s">
        <v>31</v>
      </c>
      <c r="AV1" s="9" t="s">
        <v>32</v>
      </c>
      <c r="AW1" s="9" t="s">
        <v>33</v>
      </c>
      <c r="AX1" s="9" t="s">
        <v>34</v>
      </c>
      <c r="AY1" s="9" t="s">
        <v>35</v>
      </c>
      <c r="AZ1" s="48" t="s">
        <v>1015</v>
      </c>
      <c r="BA1" s="48" t="s">
        <v>1027</v>
      </c>
      <c r="BB1" s="48" t="s">
        <v>36</v>
      </c>
      <c r="BC1" s="48" t="s">
        <v>1023</v>
      </c>
      <c r="BD1" s="48" t="s">
        <v>1024</v>
      </c>
      <c r="BE1" s="48" t="s">
        <v>1025</v>
      </c>
      <c r="BF1" s="48" t="s">
        <v>1026</v>
      </c>
      <c r="BG1" s="10" t="s">
        <v>1029</v>
      </c>
      <c r="BH1" s="10" t="s">
        <v>1028</v>
      </c>
    </row>
    <row r="2" spans="1:60" ht="12" x14ac:dyDescent="0.2">
      <c r="A2" s="11">
        <v>1</v>
      </c>
      <c r="B2" s="12">
        <v>1851</v>
      </c>
      <c r="C2" s="13" t="s">
        <v>37</v>
      </c>
      <c r="D2" s="13" t="s">
        <v>38</v>
      </c>
      <c r="E2" s="23">
        <v>2010</v>
      </c>
      <c r="F2" s="23">
        <v>2012</v>
      </c>
      <c r="G2" s="13" t="s">
        <v>39</v>
      </c>
      <c r="H2" s="13"/>
      <c r="I2" s="13" t="s">
        <v>40</v>
      </c>
      <c r="J2" s="13" t="s">
        <v>40</v>
      </c>
      <c r="K2" s="14"/>
      <c r="L2" s="15">
        <v>100</v>
      </c>
      <c r="M2" s="16" t="s">
        <v>41</v>
      </c>
      <c r="N2" s="13" t="s">
        <v>42</v>
      </c>
      <c r="O2" s="13"/>
      <c r="P2" s="12">
        <f>IF(Q2="", 0, 1)</f>
        <v>0</v>
      </c>
      <c r="Q2" s="19"/>
      <c r="R2" s="17"/>
      <c r="S2" s="17"/>
      <c r="T2" s="17"/>
      <c r="U2" s="17"/>
      <c r="V2" s="17"/>
      <c r="W2" s="17"/>
      <c r="X2" s="17"/>
      <c r="Y2" s="17"/>
      <c r="Z2" s="17"/>
      <c r="AA2" s="17"/>
      <c r="AB2" s="12">
        <f>IF(AC2="", 0, 1)</f>
        <v>0</v>
      </c>
      <c r="AC2" s="13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>
        <f>IF(AO2="", 0, 1)</f>
        <v>1</v>
      </c>
      <c r="AO2" s="12">
        <v>92</v>
      </c>
      <c r="AP2" s="12"/>
      <c r="AQ2" s="12"/>
      <c r="AR2" s="12">
        <v>30</v>
      </c>
      <c r="AS2" s="12"/>
      <c r="AT2" s="12"/>
      <c r="AU2" s="12"/>
      <c r="AV2" s="12">
        <v>0</v>
      </c>
      <c r="AW2" s="12">
        <v>700</v>
      </c>
      <c r="AX2" s="12" t="str">
        <f>IF(AR2="", "mean", "med")</f>
        <v>med</v>
      </c>
      <c r="AY2" s="12">
        <f>IF(AR2="", AP2, AR2)</f>
        <v>30</v>
      </c>
      <c r="AZ2" s="12" t="s">
        <v>43</v>
      </c>
      <c r="BA2" s="12" t="str">
        <f>IF(AZ2="high","high","lower")</f>
        <v>lower</v>
      </c>
      <c r="BB2" s="49">
        <v>0.754</v>
      </c>
      <c r="BC2" s="12">
        <v>63.1</v>
      </c>
      <c r="BD2" s="12">
        <v>73.2</v>
      </c>
      <c r="BE2" s="12">
        <v>62.5</v>
      </c>
      <c r="BF2" s="12">
        <v>61.9</v>
      </c>
      <c r="BG2" s="18" t="s">
        <v>1030</v>
      </c>
      <c r="BH2" s="18" t="s">
        <v>1031</v>
      </c>
    </row>
    <row r="3" spans="1:60" ht="12" x14ac:dyDescent="0.2">
      <c r="A3" s="11">
        <v>2</v>
      </c>
      <c r="B3" s="22">
        <v>1868</v>
      </c>
      <c r="C3" s="13" t="s">
        <v>44</v>
      </c>
      <c r="D3" s="14" t="s">
        <v>38</v>
      </c>
      <c r="E3" s="23">
        <v>2012</v>
      </c>
      <c r="F3" s="23">
        <v>2014</v>
      </c>
      <c r="G3" s="13" t="s">
        <v>45</v>
      </c>
      <c r="H3" s="13"/>
      <c r="I3" s="13" t="s">
        <v>40</v>
      </c>
      <c r="J3" s="13" t="s">
        <v>40</v>
      </c>
      <c r="K3" s="14"/>
      <c r="L3" s="19">
        <v>99.6</v>
      </c>
      <c r="M3" s="20" t="s">
        <v>41</v>
      </c>
      <c r="N3" s="13" t="s">
        <v>42</v>
      </c>
      <c r="O3" s="13" t="s">
        <v>41</v>
      </c>
      <c r="P3" s="12">
        <f>IF(Q3="", 0, 1)</f>
        <v>1</v>
      </c>
      <c r="Q3" s="15">
        <v>327</v>
      </c>
      <c r="R3" s="21">
        <v>23.4</v>
      </c>
      <c r="S3" s="17"/>
      <c r="T3" s="17">
        <v>14</v>
      </c>
      <c r="U3" s="17"/>
      <c r="V3" s="17"/>
      <c r="W3" s="17"/>
      <c r="X3" s="17"/>
      <c r="Y3" s="17"/>
      <c r="Z3" s="17" t="str">
        <f>IF(T3="", "mean", "med")</f>
        <v>med</v>
      </c>
      <c r="AA3" s="17">
        <f>IF(T3="", R3, T3)</f>
        <v>14</v>
      </c>
      <c r="AB3" s="12">
        <f>IF(AC3="", 0, 1)</f>
        <v>1</v>
      </c>
      <c r="AC3" s="13">
        <v>327</v>
      </c>
      <c r="AD3" s="12">
        <v>97.5</v>
      </c>
      <c r="AE3" s="12"/>
      <c r="AF3" s="12">
        <v>23.5</v>
      </c>
      <c r="AG3" s="12"/>
      <c r="AH3" s="12"/>
      <c r="AI3" s="12"/>
      <c r="AJ3" s="12"/>
      <c r="AK3" s="12"/>
      <c r="AL3" s="12" t="str">
        <f>IF(AF3="", "mean", "med")</f>
        <v>med</v>
      </c>
      <c r="AM3" s="12">
        <f>IF(AF3="", AD3, AF3)</f>
        <v>23.5</v>
      </c>
      <c r="AN3" s="12">
        <f>IF(AO3="", 0, 1)</f>
        <v>1</v>
      </c>
      <c r="AO3" s="22">
        <v>327</v>
      </c>
      <c r="AP3" s="12">
        <v>201.1</v>
      </c>
      <c r="AQ3" s="12"/>
      <c r="AR3" s="22">
        <v>30</v>
      </c>
      <c r="AS3" s="12"/>
      <c r="AT3" s="12"/>
      <c r="AU3" s="12"/>
      <c r="AV3" s="12"/>
      <c r="AW3" s="12"/>
      <c r="AX3" s="12" t="str">
        <f>IF(AR3="", "mean", "med")</f>
        <v>med</v>
      </c>
      <c r="AY3" s="12">
        <f>IF(AR3="", AP3, AR3)</f>
        <v>30</v>
      </c>
      <c r="AZ3" s="49" t="s">
        <v>46</v>
      </c>
      <c r="BA3" s="49" t="str">
        <f>IF(AZ3="high","high","lower")</f>
        <v>lower</v>
      </c>
      <c r="BB3" s="49">
        <v>0.73099999999999998</v>
      </c>
      <c r="BC3" s="49"/>
      <c r="BD3" s="49"/>
      <c r="BE3" s="49"/>
      <c r="BF3" s="49"/>
      <c r="BG3" s="18" t="s">
        <v>1032</v>
      </c>
      <c r="BH3" s="18" t="s">
        <v>1033</v>
      </c>
    </row>
    <row r="4" spans="1:60" ht="12" x14ac:dyDescent="0.2">
      <c r="A4" s="11">
        <v>3</v>
      </c>
      <c r="B4" s="12">
        <v>1872</v>
      </c>
      <c r="C4" s="13" t="s">
        <v>47</v>
      </c>
      <c r="D4" s="13" t="s">
        <v>48</v>
      </c>
      <c r="E4" s="23">
        <v>2001</v>
      </c>
      <c r="F4" s="23">
        <v>2007</v>
      </c>
      <c r="G4" s="13" t="s">
        <v>49</v>
      </c>
      <c r="H4" s="13"/>
      <c r="I4" s="13" t="s">
        <v>40</v>
      </c>
      <c r="J4" s="13" t="s">
        <v>40</v>
      </c>
      <c r="K4" s="13"/>
      <c r="L4" s="15">
        <v>100</v>
      </c>
      <c r="M4" s="16" t="s">
        <v>41</v>
      </c>
      <c r="N4" s="13" t="s">
        <v>50</v>
      </c>
      <c r="O4" s="14" t="s">
        <v>51</v>
      </c>
      <c r="P4" s="12">
        <f>IF(Q4="", 0, 1)</f>
        <v>1</v>
      </c>
      <c r="Q4" s="15">
        <v>186</v>
      </c>
      <c r="R4" s="17"/>
      <c r="S4" s="17"/>
      <c r="T4" s="17">
        <v>31</v>
      </c>
      <c r="U4" s="17"/>
      <c r="V4" s="17"/>
      <c r="W4" s="17"/>
      <c r="X4" s="17"/>
      <c r="Y4" s="17"/>
      <c r="Z4" s="17" t="str">
        <f>IF(T4="", "mean", "med")</f>
        <v>med</v>
      </c>
      <c r="AA4" s="17">
        <f>IF(T4="", R4, T4)</f>
        <v>31</v>
      </c>
      <c r="AB4" s="12">
        <f>IF(AC4="", 0, 1)</f>
        <v>0</v>
      </c>
      <c r="AC4" s="13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>
        <f>IF(AO4="", 0, 1)</f>
        <v>0</v>
      </c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 t="s">
        <v>52</v>
      </c>
      <c r="BA4" s="12" t="str">
        <f>IF(AZ4="high","high","lower")</f>
        <v>high</v>
      </c>
      <c r="BB4" s="49">
        <v>0.9</v>
      </c>
      <c r="BC4" s="12">
        <v>84</v>
      </c>
      <c r="BD4" s="12">
        <v>88</v>
      </c>
      <c r="BE4" s="12">
        <v>100</v>
      </c>
      <c r="BF4" s="12">
        <v>84.2</v>
      </c>
      <c r="BG4" s="18" t="s">
        <v>1034</v>
      </c>
      <c r="BH4" s="18" t="s">
        <v>1031</v>
      </c>
    </row>
    <row r="5" spans="1:60" ht="12" x14ac:dyDescent="0.2">
      <c r="A5" s="11">
        <v>4</v>
      </c>
      <c r="B5" s="12">
        <v>1872</v>
      </c>
      <c r="C5" s="13" t="s">
        <v>47</v>
      </c>
      <c r="D5" s="13" t="s">
        <v>53</v>
      </c>
      <c r="E5" s="23">
        <v>2001</v>
      </c>
      <c r="F5" s="23">
        <v>2007</v>
      </c>
      <c r="G5" s="13" t="s">
        <v>49</v>
      </c>
      <c r="H5" s="13"/>
      <c r="I5" s="13" t="s">
        <v>40</v>
      </c>
      <c r="J5" s="13" t="s">
        <v>40</v>
      </c>
      <c r="K5" s="13"/>
      <c r="L5" s="15">
        <v>100</v>
      </c>
      <c r="M5" s="16" t="s">
        <v>41</v>
      </c>
      <c r="N5" s="13" t="s">
        <v>50</v>
      </c>
      <c r="O5" s="13" t="s">
        <v>51</v>
      </c>
      <c r="P5" s="12">
        <f>IF(Q5="", 0, 1)</f>
        <v>1</v>
      </c>
      <c r="Q5" s="15">
        <v>59237</v>
      </c>
      <c r="R5" s="17"/>
      <c r="S5" s="17"/>
      <c r="T5" s="17">
        <v>31</v>
      </c>
      <c r="U5" s="17"/>
      <c r="V5" s="17"/>
      <c r="W5" s="17"/>
      <c r="X5" s="17"/>
      <c r="Y5" s="17"/>
      <c r="Z5" s="17" t="str">
        <f>IF(T5="", "mean", "med")</f>
        <v>med</v>
      </c>
      <c r="AA5" s="17">
        <f>IF(T5="", R5, T5)</f>
        <v>31</v>
      </c>
      <c r="AB5" s="12">
        <f>IF(AC5="", 0, 1)</f>
        <v>0</v>
      </c>
      <c r="AC5" s="13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>
        <f>IF(AO5="", 0, 1)</f>
        <v>0</v>
      </c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 t="s">
        <v>52</v>
      </c>
      <c r="BA5" s="12" t="str">
        <f>IF(AZ5="high","high","lower")</f>
        <v>high</v>
      </c>
      <c r="BB5" s="49">
        <v>0.9</v>
      </c>
      <c r="BC5" s="12">
        <v>84</v>
      </c>
      <c r="BD5" s="12">
        <v>88</v>
      </c>
      <c r="BE5" s="12">
        <v>100</v>
      </c>
      <c r="BF5" s="12">
        <v>84.2</v>
      </c>
      <c r="BG5" s="18" t="s">
        <v>1034</v>
      </c>
      <c r="BH5" s="18" t="s">
        <v>1031</v>
      </c>
    </row>
    <row r="6" spans="1:60" ht="12" x14ac:dyDescent="0.2">
      <c r="A6" s="11">
        <v>5</v>
      </c>
      <c r="B6" s="12">
        <v>1872</v>
      </c>
      <c r="C6" s="13" t="s">
        <v>47</v>
      </c>
      <c r="D6" s="14" t="s">
        <v>48</v>
      </c>
      <c r="E6" s="23">
        <v>2001</v>
      </c>
      <c r="F6" s="23">
        <v>2007</v>
      </c>
      <c r="G6" s="13" t="s">
        <v>49</v>
      </c>
      <c r="H6" s="13"/>
      <c r="I6" s="13" t="s">
        <v>54</v>
      </c>
      <c r="J6" s="13" t="s">
        <v>55</v>
      </c>
      <c r="K6" s="13"/>
      <c r="L6" s="15" t="s">
        <v>41</v>
      </c>
      <c r="M6" s="16" t="s">
        <v>41</v>
      </c>
      <c r="N6" s="13" t="s">
        <v>50</v>
      </c>
      <c r="O6" s="13" t="s">
        <v>56</v>
      </c>
      <c r="P6" s="12">
        <f>IF(Q6="", 0, 1)</f>
        <v>1</v>
      </c>
      <c r="Q6" s="15">
        <v>199</v>
      </c>
      <c r="R6" s="17"/>
      <c r="S6" s="17"/>
      <c r="T6" s="17">
        <v>20</v>
      </c>
      <c r="U6" s="17"/>
      <c r="V6" s="17"/>
      <c r="W6" s="17"/>
      <c r="X6" s="17"/>
      <c r="Y6" s="17"/>
      <c r="Z6" s="17" t="str">
        <f>IF(T6="", "mean", "med")</f>
        <v>med</v>
      </c>
      <c r="AA6" s="17">
        <f>IF(T6="", R6, T6)</f>
        <v>20</v>
      </c>
      <c r="AB6" s="12">
        <f>IF(AC6="", 0, 1)</f>
        <v>0</v>
      </c>
      <c r="AC6" s="13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>
        <f>IF(AO6="", 0, 1)</f>
        <v>0</v>
      </c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 t="s">
        <v>52</v>
      </c>
      <c r="BA6" s="12" t="str">
        <f>IF(AZ6="high","high","lower")</f>
        <v>high</v>
      </c>
      <c r="BB6" s="49">
        <v>0.9</v>
      </c>
      <c r="BC6" s="12">
        <v>84</v>
      </c>
      <c r="BD6" s="12">
        <v>88</v>
      </c>
      <c r="BE6" s="12">
        <v>100</v>
      </c>
      <c r="BF6" s="12">
        <v>84.2</v>
      </c>
      <c r="BG6" s="18" t="s">
        <v>1034</v>
      </c>
      <c r="BH6" s="18" t="s">
        <v>1031</v>
      </c>
    </row>
    <row r="7" spans="1:60" ht="12" x14ac:dyDescent="0.2">
      <c r="A7" s="11">
        <v>6</v>
      </c>
      <c r="B7" s="12">
        <v>1872</v>
      </c>
      <c r="C7" s="13" t="s">
        <v>47</v>
      </c>
      <c r="D7" s="13" t="s">
        <v>53</v>
      </c>
      <c r="E7" s="23">
        <v>2001</v>
      </c>
      <c r="F7" s="23">
        <v>2007</v>
      </c>
      <c r="G7" s="13" t="s">
        <v>49</v>
      </c>
      <c r="H7" s="13"/>
      <c r="I7" s="13" t="s">
        <v>54</v>
      </c>
      <c r="J7" s="13" t="s">
        <v>55</v>
      </c>
      <c r="K7" s="13"/>
      <c r="L7" s="15" t="s">
        <v>41</v>
      </c>
      <c r="M7" s="16" t="s">
        <v>41</v>
      </c>
      <c r="N7" s="13" t="s">
        <v>50</v>
      </c>
      <c r="O7" s="13" t="s">
        <v>56</v>
      </c>
      <c r="P7" s="12">
        <f>IF(Q7="", 0, 1)</f>
        <v>1</v>
      </c>
      <c r="Q7" s="15">
        <v>51371</v>
      </c>
      <c r="R7" s="17"/>
      <c r="S7" s="17"/>
      <c r="T7" s="17">
        <v>19</v>
      </c>
      <c r="U7" s="17"/>
      <c r="V7" s="17"/>
      <c r="W7" s="17"/>
      <c r="X7" s="17"/>
      <c r="Y7" s="17"/>
      <c r="Z7" s="17" t="str">
        <f>IF(T7="", "mean", "med")</f>
        <v>med</v>
      </c>
      <c r="AA7" s="17">
        <f>IF(T7="", R7, T7)</f>
        <v>19</v>
      </c>
      <c r="AB7" s="12">
        <f>IF(AC7="", 0, 1)</f>
        <v>0</v>
      </c>
      <c r="AC7" s="13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>
        <f>IF(AO7="", 0, 1)</f>
        <v>0</v>
      </c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 t="s">
        <v>52</v>
      </c>
      <c r="BA7" s="12" t="str">
        <f>IF(AZ7="high","high","lower")</f>
        <v>high</v>
      </c>
      <c r="BB7" s="49">
        <v>0.9</v>
      </c>
      <c r="BC7" s="12">
        <v>84</v>
      </c>
      <c r="BD7" s="12">
        <v>88</v>
      </c>
      <c r="BE7" s="12">
        <v>100</v>
      </c>
      <c r="BF7" s="12">
        <v>84.2</v>
      </c>
      <c r="BG7" s="18" t="s">
        <v>1034</v>
      </c>
      <c r="BH7" s="18" t="s">
        <v>1031</v>
      </c>
    </row>
    <row r="8" spans="1:60" ht="12" x14ac:dyDescent="0.2">
      <c r="A8" s="11">
        <v>7</v>
      </c>
      <c r="B8" s="12">
        <v>1872</v>
      </c>
      <c r="C8" s="13" t="s">
        <v>47</v>
      </c>
      <c r="D8" s="13" t="s">
        <v>48</v>
      </c>
      <c r="E8" s="23">
        <v>2001</v>
      </c>
      <c r="F8" s="23">
        <v>2007</v>
      </c>
      <c r="G8" s="13" t="s">
        <v>49</v>
      </c>
      <c r="H8" s="13"/>
      <c r="I8" s="13" t="s">
        <v>57</v>
      </c>
      <c r="J8" s="13" t="s">
        <v>58</v>
      </c>
      <c r="K8" s="13"/>
      <c r="L8" s="15" t="s">
        <v>41</v>
      </c>
      <c r="M8" s="16" t="s">
        <v>41</v>
      </c>
      <c r="N8" s="13" t="s">
        <v>50</v>
      </c>
      <c r="O8" s="13" t="s">
        <v>56</v>
      </c>
      <c r="P8" s="12">
        <f>IF(Q8="", 0, 1)</f>
        <v>1</v>
      </c>
      <c r="Q8" s="15">
        <v>137</v>
      </c>
      <c r="R8" s="17"/>
      <c r="S8" s="17"/>
      <c r="T8" s="17">
        <v>61</v>
      </c>
      <c r="U8" s="17"/>
      <c r="V8" s="17"/>
      <c r="W8" s="17"/>
      <c r="X8" s="17"/>
      <c r="Y8" s="17"/>
      <c r="Z8" s="17" t="str">
        <f>IF(T8="", "mean", "med")</f>
        <v>med</v>
      </c>
      <c r="AA8" s="17">
        <f>IF(T8="", R8, T8)</f>
        <v>61</v>
      </c>
      <c r="AB8" s="12">
        <f>IF(AC8="", 0, 1)</f>
        <v>0</v>
      </c>
      <c r="AC8" s="13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>
        <f>IF(AO8="", 0, 1)</f>
        <v>0</v>
      </c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 t="s">
        <v>52</v>
      </c>
      <c r="BA8" s="12" t="str">
        <f>IF(AZ8="high","high","lower")</f>
        <v>high</v>
      </c>
      <c r="BB8" s="49">
        <v>0.9</v>
      </c>
      <c r="BC8" s="12">
        <v>84</v>
      </c>
      <c r="BD8" s="12">
        <v>88</v>
      </c>
      <c r="BE8" s="12">
        <v>100</v>
      </c>
      <c r="BF8" s="12">
        <v>84.2</v>
      </c>
      <c r="BG8" s="18" t="s">
        <v>1034</v>
      </c>
      <c r="BH8" s="18" t="s">
        <v>1031</v>
      </c>
    </row>
    <row r="9" spans="1:60" ht="12" x14ac:dyDescent="0.2">
      <c r="A9" s="11">
        <v>8</v>
      </c>
      <c r="B9" s="12">
        <v>1872</v>
      </c>
      <c r="C9" s="13" t="s">
        <v>47</v>
      </c>
      <c r="D9" s="13" t="s">
        <v>53</v>
      </c>
      <c r="E9" s="23">
        <v>2001</v>
      </c>
      <c r="F9" s="23">
        <v>2007</v>
      </c>
      <c r="G9" s="13" t="s">
        <v>49</v>
      </c>
      <c r="H9" s="13"/>
      <c r="I9" s="13" t="s">
        <v>57</v>
      </c>
      <c r="J9" s="13" t="s">
        <v>58</v>
      </c>
      <c r="K9" s="13"/>
      <c r="L9" s="15" t="s">
        <v>41</v>
      </c>
      <c r="M9" s="16" t="s">
        <v>41</v>
      </c>
      <c r="N9" s="13" t="s">
        <v>50</v>
      </c>
      <c r="O9" s="13" t="s">
        <v>56</v>
      </c>
      <c r="P9" s="12">
        <f>IF(Q9="", 0, 1)</f>
        <v>1</v>
      </c>
      <c r="Q9" s="15">
        <v>35737</v>
      </c>
      <c r="R9" s="17"/>
      <c r="S9" s="17"/>
      <c r="T9" s="17">
        <v>49</v>
      </c>
      <c r="U9" s="17"/>
      <c r="V9" s="17"/>
      <c r="W9" s="17"/>
      <c r="X9" s="17"/>
      <c r="Y9" s="17"/>
      <c r="Z9" s="17" t="str">
        <f>IF(T9="", "mean", "med")</f>
        <v>med</v>
      </c>
      <c r="AA9" s="17">
        <f>IF(T9="", R9, T9)</f>
        <v>49</v>
      </c>
      <c r="AB9" s="12">
        <f>IF(AC9="", 0, 1)</f>
        <v>0</v>
      </c>
      <c r="AC9" s="13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>
        <f>IF(AO9="", 0, 1)</f>
        <v>0</v>
      </c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 t="s">
        <v>52</v>
      </c>
      <c r="BA9" s="12" t="str">
        <f>IF(AZ9="high","high","lower")</f>
        <v>high</v>
      </c>
      <c r="BB9" s="49">
        <v>0.9</v>
      </c>
      <c r="BC9" s="12">
        <v>84</v>
      </c>
      <c r="BD9" s="12">
        <v>88</v>
      </c>
      <c r="BE9" s="12">
        <v>100</v>
      </c>
      <c r="BF9" s="12">
        <v>84.2</v>
      </c>
      <c r="BG9" s="18" t="s">
        <v>1034</v>
      </c>
      <c r="BH9" s="18" t="s">
        <v>1031</v>
      </c>
    </row>
    <row r="10" spans="1:60" ht="12" x14ac:dyDescent="0.2">
      <c r="A10" s="11">
        <v>9</v>
      </c>
      <c r="B10" s="12">
        <v>1872</v>
      </c>
      <c r="C10" s="13" t="s">
        <v>47</v>
      </c>
      <c r="D10" s="13" t="s">
        <v>48</v>
      </c>
      <c r="E10" s="23">
        <v>2001</v>
      </c>
      <c r="F10" s="23">
        <v>2007</v>
      </c>
      <c r="G10" s="13" t="s">
        <v>49</v>
      </c>
      <c r="H10" s="13"/>
      <c r="I10" s="13" t="s">
        <v>59</v>
      </c>
      <c r="J10" s="13" t="s">
        <v>60</v>
      </c>
      <c r="K10" s="13"/>
      <c r="L10" s="15">
        <v>0</v>
      </c>
      <c r="M10" s="16" t="s">
        <v>41</v>
      </c>
      <c r="N10" s="13" t="s">
        <v>50</v>
      </c>
      <c r="O10" s="13" t="s">
        <v>51</v>
      </c>
      <c r="P10" s="12">
        <f>IF(Q10="", 0, 1)</f>
        <v>1</v>
      </c>
      <c r="Q10" s="15">
        <v>347</v>
      </c>
      <c r="R10" s="17"/>
      <c r="S10" s="17"/>
      <c r="T10" s="17">
        <v>73</v>
      </c>
      <c r="U10" s="17"/>
      <c r="V10" s="17"/>
      <c r="W10" s="17"/>
      <c r="X10" s="17"/>
      <c r="Y10" s="17"/>
      <c r="Z10" s="17" t="str">
        <f>IF(T10="", "mean", "med")</f>
        <v>med</v>
      </c>
      <c r="AA10" s="17">
        <f>IF(T10="", R10, T10)</f>
        <v>73</v>
      </c>
      <c r="AB10" s="12">
        <f>IF(AC10="", 0, 1)</f>
        <v>0</v>
      </c>
      <c r="AC10" s="13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>
        <f>IF(AO10="", 0, 1)</f>
        <v>0</v>
      </c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 t="s">
        <v>52</v>
      </c>
      <c r="BA10" s="12" t="str">
        <f>IF(AZ10="high","high","lower")</f>
        <v>high</v>
      </c>
      <c r="BB10" s="49">
        <v>0.9</v>
      </c>
      <c r="BC10" s="12">
        <v>84</v>
      </c>
      <c r="BD10" s="12">
        <v>88</v>
      </c>
      <c r="BE10" s="12">
        <v>100</v>
      </c>
      <c r="BF10" s="12">
        <v>84.2</v>
      </c>
      <c r="BG10" s="18" t="s">
        <v>1034</v>
      </c>
      <c r="BH10" s="18" t="s">
        <v>1031</v>
      </c>
    </row>
    <row r="11" spans="1:60" ht="12" x14ac:dyDescent="0.2">
      <c r="A11" s="11">
        <v>10</v>
      </c>
      <c r="B11" s="12">
        <v>1872</v>
      </c>
      <c r="C11" s="13" t="s">
        <v>47</v>
      </c>
      <c r="D11" s="13" t="s">
        <v>53</v>
      </c>
      <c r="E11" s="23">
        <v>2001</v>
      </c>
      <c r="F11" s="23">
        <v>2007</v>
      </c>
      <c r="G11" s="13" t="s">
        <v>49</v>
      </c>
      <c r="H11" s="13"/>
      <c r="I11" s="13" t="s">
        <v>59</v>
      </c>
      <c r="J11" s="13" t="s">
        <v>60</v>
      </c>
      <c r="K11" s="13"/>
      <c r="L11" s="15">
        <v>0</v>
      </c>
      <c r="M11" s="16" t="s">
        <v>41</v>
      </c>
      <c r="N11" s="13" t="s">
        <v>50</v>
      </c>
      <c r="O11" s="13" t="s">
        <v>51</v>
      </c>
      <c r="P11" s="12">
        <f>IF(Q11="", 0, 1)</f>
        <v>1</v>
      </c>
      <c r="Q11" s="15">
        <v>94458</v>
      </c>
      <c r="R11" s="17"/>
      <c r="S11" s="17"/>
      <c r="T11" s="17">
        <v>61</v>
      </c>
      <c r="U11" s="17"/>
      <c r="V11" s="17"/>
      <c r="W11" s="17"/>
      <c r="X11" s="17"/>
      <c r="Y11" s="17"/>
      <c r="Z11" s="17" t="str">
        <f>IF(T11="", "mean", "med")</f>
        <v>med</v>
      </c>
      <c r="AA11" s="17">
        <f>IF(T11="", R11, T11)</f>
        <v>61</v>
      </c>
      <c r="AB11" s="12">
        <f>IF(AC11="", 0, 1)</f>
        <v>0</v>
      </c>
      <c r="AC11" s="13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>
        <f>IF(AO11="", 0, 1)</f>
        <v>0</v>
      </c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 t="s">
        <v>52</v>
      </c>
      <c r="BA11" s="12" t="str">
        <f>IF(AZ11="high","high","lower")</f>
        <v>high</v>
      </c>
      <c r="BB11" s="49">
        <v>0.9</v>
      </c>
      <c r="BC11" s="12">
        <v>84</v>
      </c>
      <c r="BD11" s="12">
        <v>88</v>
      </c>
      <c r="BE11" s="12">
        <v>100</v>
      </c>
      <c r="BF11" s="12">
        <v>84.2</v>
      </c>
      <c r="BG11" s="18" t="s">
        <v>1034</v>
      </c>
      <c r="BH11" s="18" t="s">
        <v>1031</v>
      </c>
    </row>
    <row r="12" spans="1:60" ht="12" x14ac:dyDescent="0.2">
      <c r="A12" s="11">
        <v>11</v>
      </c>
      <c r="B12" s="12">
        <v>1882</v>
      </c>
      <c r="C12" s="13" t="s">
        <v>61</v>
      </c>
      <c r="D12" s="13" t="s">
        <v>38</v>
      </c>
      <c r="E12" s="23">
        <v>2017</v>
      </c>
      <c r="F12" s="23">
        <v>2018</v>
      </c>
      <c r="G12" s="13" t="s">
        <v>62</v>
      </c>
      <c r="H12" s="13"/>
      <c r="I12" s="13" t="s">
        <v>40</v>
      </c>
      <c r="J12" s="13" t="s">
        <v>40</v>
      </c>
      <c r="K12" s="13"/>
      <c r="L12" s="15">
        <v>100</v>
      </c>
      <c r="M12" s="16">
        <v>48</v>
      </c>
      <c r="N12" s="13" t="s">
        <v>50</v>
      </c>
      <c r="O12" s="13"/>
      <c r="P12" s="12">
        <f>IF(Q12="", 0, 1)</f>
        <v>0</v>
      </c>
      <c r="Q12" s="15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2">
        <f>IF(AC12="", 0, 1)</f>
        <v>0</v>
      </c>
      <c r="AC12" s="13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>
        <f>IF(AO12="", 0, 1)</f>
        <v>1</v>
      </c>
      <c r="AO12" s="12">
        <v>237</v>
      </c>
      <c r="AP12" s="12">
        <v>68</v>
      </c>
      <c r="AQ12" s="12">
        <v>172</v>
      </c>
      <c r="AR12" s="12">
        <v>21</v>
      </c>
      <c r="AS12" s="12">
        <v>7</v>
      </c>
      <c r="AT12" s="12">
        <v>90</v>
      </c>
      <c r="AU12" s="12"/>
      <c r="AV12" s="12">
        <v>1</v>
      </c>
      <c r="AW12" s="12">
        <v>2190</v>
      </c>
      <c r="AX12" s="12" t="str">
        <f>IF(AR12="", "mean", "med")</f>
        <v>med</v>
      </c>
      <c r="AY12" s="12">
        <f>IF(AR12="", AP12, AR12)</f>
        <v>21</v>
      </c>
      <c r="AZ12" s="49" t="s">
        <v>46</v>
      </c>
      <c r="BA12" s="49" t="str">
        <f>IF(AZ12="high","high","lower")</f>
        <v>lower</v>
      </c>
      <c r="BB12" s="49">
        <v>0.53300000000000003</v>
      </c>
      <c r="BC12" s="49"/>
      <c r="BD12" s="49"/>
      <c r="BE12" s="49"/>
      <c r="BF12" s="49"/>
      <c r="BG12" s="18" t="s">
        <v>1034</v>
      </c>
      <c r="BH12" s="18" t="s">
        <v>1031</v>
      </c>
    </row>
    <row r="13" spans="1:60" ht="12" x14ac:dyDescent="0.2">
      <c r="A13" s="11">
        <v>12</v>
      </c>
      <c r="B13" s="22">
        <v>1887</v>
      </c>
      <c r="C13" s="13" t="s">
        <v>63</v>
      </c>
      <c r="D13" s="13" t="s">
        <v>38</v>
      </c>
      <c r="E13" s="23">
        <v>2005</v>
      </c>
      <c r="F13" s="23">
        <v>2018</v>
      </c>
      <c r="G13" s="13" t="s">
        <v>49</v>
      </c>
      <c r="H13" s="13"/>
      <c r="I13" s="13" t="s">
        <v>54</v>
      </c>
      <c r="J13" s="13" t="s">
        <v>227</v>
      </c>
      <c r="K13" s="13"/>
      <c r="L13" s="15">
        <f>((8+9+18)/(41+12+16+8+9+18))*100</f>
        <v>33.653846153846153</v>
      </c>
      <c r="M13" s="16" t="s">
        <v>41</v>
      </c>
      <c r="N13" s="13" t="s">
        <v>42</v>
      </c>
      <c r="O13" s="13" t="s">
        <v>64</v>
      </c>
      <c r="P13" s="12">
        <f>IF(Q13="", 0, 1)</f>
        <v>1</v>
      </c>
      <c r="Q13" s="53">
        <v>111</v>
      </c>
      <c r="R13" s="17"/>
      <c r="S13" s="17"/>
      <c r="T13" s="17">
        <f>7.9*7</f>
        <v>55.300000000000004</v>
      </c>
      <c r="U13" s="17">
        <f>5.9*7</f>
        <v>41.300000000000004</v>
      </c>
      <c r="V13" s="17">
        <f>10*7</f>
        <v>70</v>
      </c>
      <c r="W13" s="17"/>
      <c r="X13" s="17"/>
      <c r="Y13" s="17"/>
      <c r="Z13" s="17" t="str">
        <f>IF(T13="", "mean", "med")</f>
        <v>med</v>
      </c>
      <c r="AA13" s="17">
        <f>IF(T13="", R13, T13)</f>
        <v>55.300000000000004</v>
      </c>
      <c r="AB13" s="12">
        <f>IF(AC13="", 0, 1)</f>
        <v>0</v>
      </c>
      <c r="AC13" s="13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>
        <f>IF(AO13="", 0, 1)</f>
        <v>0</v>
      </c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 t="s">
        <v>52</v>
      </c>
      <c r="BA13" s="12" t="str">
        <f>IF(AZ13="high","high","lower")</f>
        <v>high</v>
      </c>
      <c r="BB13" s="49">
        <v>0.91600000000000004</v>
      </c>
      <c r="BC13" s="12">
        <v>84</v>
      </c>
      <c r="BD13" s="12">
        <v>88</v>
      </c>
      <c r="BE13" s="12">
        <v>100</v>
      </c>
      <c r="BF13" s="12">
        <v>84.2</v>
      </c>
      <c r="BG13" s="18" t="s">
        <v>1034</v>
      </c>
      <c r="BH13" s="18" t="s">
        <v>1031</v>
      </c>
    </row>
    <row r="14" spans="1:60" ht="12" x14ac:dyDescent="0.2">
      <c r="A14" s="11">
        <v>13</v>
      </c>
      <c r="B14" s="12">
        <v>1893</v>
      </c>
      <c r="C14" s="13" t="s">
        <v>65</v>
      </c>
      <c r="D14" s="13" t="s">
        <v>38</v>
      </c>
      <c r="E14" s="23">
        <v>2015</v>
      </c>
      <c r="F14" s="23">
        <v>2016</v>
      </c>
      <c r="G14" s="13" t="s">
        <v>66</v>
      </c>
      <c r="H14" s="13"/>
      <c r="I14" s="13" t="s">
        <v>40</v>
      </c>
      <c r="J14" s="13" t="s">
        <v>40</v>
      </c>
      <c r="K14" s="14"/>
      <c r="L14" s="19">
        <v>100</v>
      </c>
      <c r="M14" s="16">
        <v>42</v>
      </c>
      <c r="N14" s="13" t="s">
        <v>50</v>
      </c>
      <c r="O14" s="13"/>
      <c r="P14" s="12">
        <f>IF(Q14="", 0, 1)</f>
        <v>0</v>
      </c>
      <c r="Q14" s="19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2">
        <f>IF(AC14="", 0, 1)</f>
        <v>0</v>
      </c>
      <c r="AC14" s="13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>
        <f>IF(AO14="", 0, 1)</f>
        <v>1</v>
      </c>
      <c r="AO14" s="12">
        <v>200</v>
      </c>
      <c r="AP14" s="12">
        <f>4*30</f>
        <v>120</v>
      </c>
      <c r="AQ14" s="12"/>
      <c r="AR14" s="12"/>
      <c r="AS14" s="12"/>
      <c r="AT14" s="12"/>
      <c r="AU14" s="12"/>
      <c r="AV14" s="12"/>
      <c r="AW14" s="12"/>
      <c r="AX14" s="12" t="str">
        <f>IF(AR14="", "mean", "med")</f>
        <v>mean</v>
      </c>
      <c r="AY14" s="12">
        <f>IF(AR14="", AP14, AR14)</f>
        <v>120</v>
      </c>
      <c r="AZ14" s="49" t="s">
        <v>46</v>
      </c>
      <c r="BA14" s="49" t="str">
        <f>IF(AZ14="high","high","lower")</f>
        <v>lower</v>
      </c>
      <c r="BB14" s="49">
        <v>0.60099999999999998</v>
      </c>
      <c r="BC14" s="49"/>
      <c r="BD14" s="49"/>
      <c r="BE14" s="49"/>
      <c r="BF14" s="49"/>
      <c r="BG14" s="18" t="s">
        <v>1030</v>
      </c>
      <c r="BH14" s="18" t="s">
        <v>1031</v>
      </c>
    </row>
    <row r="15" spans="1:60" ht="12" x14ac:dyDescent="0.2">
      <c r="A15" s="11">
        <v>14</v>
      </c>
      <c r="B15" s="12">
        <v>1902</v>
      </c>
      <c r="C15" s="13" t="s">
        <v>67</v>
      </c>
      <c r="D15" s="14" t="s">
        <v>69</v>
      </c>
      <c r="E15" s="23">
        <v>2005</v>
      </c>
      <c r="F15" s="23">
        <v>2005</v>
      </c>
      <c r="G15" s="13" t="s">
        <v>49</v>
      </c>
      <c r="H15" s="13"/>
      <c r="I15" s="13" t="s">
        <v>70</v>
      </c>
      <c r="J15" s="13" t="s">
        <v>71</v>
      </c>
      <c r="K15" s="14"/>
      <c r="L15" s="19">
        <f>100-57.8</f>
        <v>42.2</v>
      </c>
      <c r="M15" s="20" t="s">
        <v>41</v>
      </c>
      <c r="N15" s="13" t="s">
        <v>42</v>
      </c>
      <c r="O15" s="13"/>
      <c r="P15" s="12">
        <f>IF(Q15="", 0, 1)</f>
        <v>0</v>
      </c>
      <c r="Q15" s="15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2">
        <f>IF(AC15="", 0, 1)</f>
        <v>0</v>
      </c>
      <c r="AC15" s="13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>
        <f>IF(AO15="", 0, 1)</f>
        <v>1</v>
      </c>
      <c r="AO15" s="22">
        <v>402</v>
      </c>
      <c r="AP15" s="12"/>
      <c r="AQ15" s="12"/>
      <c r="AR15" s="22">
        <f>2*30</f>
        <v>60</v>
      </c>
      <c r="AS15" s="12">
        <f>30</f>
        <v>30</v>
      </c>
      <c r="AT15" s="12">
        <f>6*30</f>
        <v>180</v>
      </c>
      <c r="AU15" s="12"/>
      <c r="AV15" s="12">
        <v>0</v>
      </c>
      <c r="AW15" s="12">
        <f>180*30</f>
        <v>5400</v>
      </c>
      <c r="AX15" s="12" t="str">
        <f>IF(AR15="", "mean", "med")</f>
        <v>med</v>
      </c>
      <c r="AY15" s="12">
        <f>IF(AR15="", AP15, AR15)</f>
        <v>60</v>
      </c>
      <c r="AZ15" s="12" t="s">
        <v>52</v>
      </c>
      <c r="BA15" s="12" t="str">
        <f>IF(AZ15="high","high","lower")</f>
        <v>high</v>
      </c>
      <c r="BB15" s="49">
        <v>0.9</v>
      </c>
      <c r="BC15" s="12">
        <v>84</v>
      </c>
      <c r="BD15" s="12">
        <v>88</v>
      </c>
      <c r="BE15" s="12">
        <v>100</v>
      </c>
      <c r="BF15" s="12">
        <v>84.2</v>
      </c>
      <c r="BG15" s="18" t="s">
        <v>1030</v>
      </c>
      <c r="BH15" s="18" t="s">
        <v>1031</v>
      </c>
    </row>
    <row r="16" spans="1:60" ht="12" x14ac:dyDescent="0.2">
      <c r="A16" s="11">
        <v>15</v>
      </c>
      <c r="B16" s="12">
        <v>1902</v>
      </c>
      <c r="C16" s="13" t="s">
        <v>67</v>
      </c>
      <c r="D16" s="14" t="s">
        <v>72</v>
      </c>
      <c r="E16" s="23">
        <v>2005</v>
      </c>
      <c r="F16" s="23">
        <v>2005</v>
      </c>
      <c r="G16" s="13" t="s">
        <v>49</v>
      </c>
      <c r="H16" s="13"/>
      <c r="I16" s="13" t="s">
        <v>70</v>
      </c>
      <c r="J16" s="13" t="s">
        <v>71</v>
      </c>
      <c r="K16" s="14"/>
      <c r="L16" s="19">
        <f>100-57.8</f>
        <v>42.2</v>
      </c>
      <c r="M16" s="20" t="s">
        <v>41</v>
      </c>
      <c r="N16" s="13" t="s">
        <v>42</v>
      </c>
      <c r="O16" s="14"/>
      <c r="P16" s="12">
        <f>IF(Q16="", 0, 1)</f>
        <v>0</v>
      </c>
      <c r="Q16" s="15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2">
        <f>IF(AC16="", 0, 1)</f>
        <v>0</v>
      </c>
      <c r="AC16" s="13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>
        <f>IF(AO16="", 0, 1)</f>
        <v>1</v>
      </c>
      <c r="AO16" s="22">
        <v>458</v>
      </c>
      <c r="AP16" s="12"/>
      <c r="AQ16" s="12"/>
      <c r="AR16" s="22">
        <f>4*30</f>
        <v>120</v>
      </c>
      <c r="AS16" s="12">
        <f>30</f>
        <v>30</v>
      </c>
      <c r="AT16" s="12">
        <f>10*30</f>
        <v>300</v>
      </c>
      <c r="AU16" s="12"/>
      <c r="AV16" s="12">
        <v>0</v>
      </c>
      <c r="AW16" s="12">
        <f>240*30</f>
        <v>7200</v>
      </c>
      <c r="AX16" s="12" t="str">
        <f>IF(AR16="", "mean", "med")</f>
        <v>med</v>
      </c>
      <c r="AY16" s="12">
        <f>IF(AR16="", AP16, AR16)</f>
        <v>120</v>
      </c>
      <c r="AZ16" s="12" t="s">
        <v>52</v>
      </c>
      <c r="BA16" s="12" t="str">
        <f>IF(AZ16="high","high","lower")</f>
        <v>high</v>
      </c>
      <c r="BB16" s="49">
        <v>0.9</v>
      </c>
      <c r="BC16" s="12">
        <v>84</v>
      </c>
      <c r="BD16" s="12">
        <v>88</v>
      </c>
      <c r="BE16" s="12">
        <v>100</v>
      </c>
      <c r="BF16" s="12">
        <v>84.2</v>
      </c>
      <c r="BG16" s="18" t="s">
        <v>1030</v>
      </c>
      <c r="BH16" s="18" t="s">
        <v>1031</v>
      </c>
    </row>
    <row r="17" spans="1:60" ht="12" x14ac:dyDescent="0.2">
      <c r="A17" s="11">
        <v>16</v>
      </c>
      <c r="B17" s="12">
        <v>1904</v>
      </c>
      <c r="C17" s="13" t="s">
        <v>73</v>
      </c>
      <c r="D17" s="13" t="s">
        <v>38</v>
      </c>
      <c r="E17" s="23">
        <v>2015</v>
      </c>
      <c r="F17" s="23">
        <v>2016</v>
      </c>
      <c r="G17" s="13" t="s">
        <v>74</v>
      </c>
      <c r="H17" s="13"/>
      <c r="I17" s="13" t="s">
        <v>57</v>
      </c>
      <c r="J17" s="14" t="s">
        <v>58</v>
      </c>
      <c r="K17" s="14"/>
      <c r="L17" s="15">
        <v>34.4</v>
      </c>
      <c r="M17" s="16">
        <v>69</v>
      </c>
      <c r="N17" s="13" t="s">
        <v>42</v>
      </c>
      <c r="O17" s="13" t="s">
        <v>75</v>
      </c>
      <c r="P17" s="12">
        <f>IF(Q17="", 0, 1)</f>
        <v>1</v>
      </c>
      <c r="Q17" s="15">
        <v>221</v>
      </c>
      <c r="R17" s="17"/>
      <c r="S17" s="17"/>
      <c r="T17" s="17">
        <v>27</v>
      </c>
      <c r="U17" s="17"/>
      <c r="V17" s="17"/>
      <c r="W17" s="17"/>
      <c r="X17" s="17"/>
      <c r="Y17" s="17">
        <v>148</v>
      </c>
      <c r="Z17" s="17" t="str">
        <f>IF(T17="", "mean", "med")</f>
        <v>med</v>
      </c>
      <c r="AA17" s="17">
        <f>IF(T17="", R17, T17)</f>
        <v>27</v>
      </c>
      <c r="AB17" s="12">
        <f>IF(AC17="", 0, 1)</f>
        <v>0</v>
      </c>
      <c r="AC17" s="13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>
        <f>IF(AO17="", 0, 1)</f>
        <v>0</v>
      </c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49" t="s">
        <v>52</v>
      </c>
      <c r="BA17" s="49" t="str">
        <f>IF(AZ17="high","high","lower")</f>
        <v>high</v>
      </c>
      <c r="BB17" s="49">
        <v>0.93100000000000005</v>
      </c>
      <c r="BC17" s="49"/>
      <c r="BD17" s="49"/>
      <c r="BE17" s="49"/>
      <c r="BF17" s="49"/>
      <c r="BG17" s="18" t="s">
        <v>1034</v>
      </c>
      <c r="BH17" s="18" t="s">
        <v>1031</v>
      </c>
    </row>
    <row r="18" spans="1:60" ht="12" x14ac:dyDescent="0.2">
      <c r="A18" s="11">
        <v>17</v>
      </c>
      <c r="B18" s="12">
        <v>1913</v>
      </c>
      <c r="C18" s="13" t="s">
        <v>76</v>
      </c>
      <c r="D18" s="13" t="s">
        <v>38</v>
      </c>
      <c r="E18" s="23">
        <v>2013</v>
      </c>
      <c r="F18" s="23">
        <v>2015</v>
      </c>
      <c r="G18" s="13" t="s">
        <v>77</v>
      </c>
      <c r="H18" s="13" t="s">
        <v>78</v>
      </c>
      <c r="I18" s="13" t="s">
        <v>79</v>
      </c>
      <c r="J18" s="13" t="s">
        <v>79</v>
      </c>
      <c r="K18" s="14"/>
      <c r="L18" s="15">
        <v>34</v>
      </c>
      <c r="M18" s="16">
        <v>62.9</v>
      </c>
      <c r="N18" s="13" t="s">
        <v>42</v>
      </c>
      <c r="O18" s="14"/>
      <c r="P18" s="12">
        <f>IF(Q18="", 0, 1)</f>
        <v>0</v>
      </c>
      <c r="Q18" s="15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2">
        <f>IF(AC18="", 0, 1)</f>
        <v>1</v>
      </c>
      <c r="AC18" s="13">
        <v>80</v>
      </c>
      <c r="AD18" s="12"/>
      <c r="AE18" s="12"/>
      <c r="AF18" s="12">
        <v>92</v>
      </c>
      <c r="AG18" s="12">
        <v>34</v>
      </c>
      <c r="AH18" s="12">
        <v>172</v>
      </c>
      <c r="AI18" s="12"/>
      <c r="AJ18" s="12"/>
      <c r="AK18" s="12"/>
      <c r="AL18" s="12" t="str">
        <f>IF(AF18="", "mean", "med")</f>
        <v>med</v>
      </c>
      <c r="AM18" s="12">
        <f>IF(AF18="", AD18, AF18)</f>
        <v>92</v>
      </c>
      <c r="AN18" s="12">
        <f>IF(AO18="", 0, 1)</f>
        <v>1</v>
      </c>
      <c r="AO18" s="12">
        <v>76</v>
      </c>
      <c r="AP18" s="12"/>
      <c r="AQ18" s="12"/>
      <c r="AR18" s="12">
        <v>24</v>
      </c>
      <c r="AS18" s="12">
        <v>0</v>
      </c>
      <c r="AT18" s="12">
        <v>52</v>
      </c>
      <c r="AU18" s="12"/>
      <c r="AV18" s="12"/>
      <c r="AW18" s="12"/>
      <c r="AX18" s="12" t="str">
        <f>IF(AR18="", "mean", "med")</f>
        <v>med</v>
      </c>
      <c r="AY18" s="12">
        <f>IF(AR18="", AP18, AR18)</f>
        <v>24</v>
      </c>
      <c r="AZ18" s="12" t="s">
        <v>52</v>
      </c>
      <c r="BA18" s="12" t="str">
        <f>IF(AZ18="high","high","lower")</f>
        <v>high</v>
      </c>
      <c r="BB18" s="49">
        <v>0.92300000000000004</v>
      </c>
      <c r="BC18" s="12">
        <v>85.3</v>
      </c>
      <c r="BD18" s="12">
        <v>96.3</v>
      </c>
      <c r="BE18" s="12">
        <v>91.7</v>
      </c>
      <c r="BF18" s="12">
        <v>80</v>
      </c>
      <c r="BG18" s="18" t="s">
        <v>1034</v>
      </c>
      <c r="BH18" s="18" t="s">
        <v>1031</v>
      </c>
    </row>
    <row r="19" spans="1:60" ht="12" x14ac:dyDescent="0.2">
      <c r="A19" s="11">
        <v>18</v>
      </c>
      <c r="B19" s="12">
        <v>1914</v>
      </c>
      <c r="C19" s="13" t="s">
        <v>80</v>
      </c>
      <c r="D19" s="13" t="s">
        <v>81</v>
      </c>
      <c r="E19" s="23">
        <v>2013</v>
      </c>
      <c r="F19" s="23">
        <v>2014</v>
      </c>
      <c r="G19" s="13" t="s">
        <v>49</v>
      </c>
      <c r="H19" s="13"/>
      <c r="I19" s="13" t="s">
        <v>59</v>
      </c>
      <c r="J19" s="14" t="s">
        <v>82</v>
      </c>
      <c r="K19" s="14"/>
      <c r="L19" s="15">
        <f>100-77.3</f>
        <v>22.700000000000003</v>
      </c>
      <c r="M19" s="16">
        <v>65.8</v>
      </c>
      <c r="N19" s="13" t="s">
        <v>42</v>
      </c>
      <c r="O19" s="13" t="s">
        <v>83</v>
      </c>
      <c r="P19" s="12">
        <f>IF(Q19="", 0, 1)</f>
        <v>1</v>
      </c>
      <c r="Q19" s="15">
        <v>58</v>
      </c>
      <c r="R19" s="21"/>
      <c r="S19" s="17"/>
      <c r="T19" s="17">
        <v>66</v>
      </c>
      <c r="U19" s="17">
        <v>46</v>
      </c>
      <c r="V19" s="17">
        <v>115</v>
      </c>
      <c r="W19" s="17"/>
      <c r="X19" s="17"/>
      <c r="Y19" s="17"/>
      <c r="Z19" s="17" t="str">
        <f>IF(T19="", "mean", "med")</f>
        <v>med</v>
      </c>
      <c r="AA19" s="17">
        <f>IF(T19="", R19, T19)</f>
        <v>66</v>
      </c>
      <c r="AB19" s="12">
        <f>IF(AC19="", 0, 1)</f>
        <v>0</v>
      </c>
      <c r="AC19" s="13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>
        <f>IF(AO19="", 0, 1)</f>
        <v>0</v>
      </c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 t="s">
        <v>52</v>
      </c>
      <c r="BA19" s="12" t="str">
        <f>IF(AZ19="high","high","lower")</f>
        <v>high</v>
      </c>
      <c r="BB19" s="49">
        <v>0.91900000000000004</v>
      </c>
      <c r="BC19" s="12">
        <v>84</v>
      </c>
      <c r="BD19" s="12">
        <v>88</v>
      </c>
      <c r="BE19" s="12">
        <v>100</v>
      </c>
      <c r="BF19" s="12">
        <v>84.2</v>
      </c>
      <c r="BG19" s="18" t="s">
        <v>1034</v>
      </c>
      <c r="BH19" s="18" t="s">
        <v>1031</v>
      </c>
    </row>
    <row r="20" spans="1:60" ht="12" x14ac:dyDescent="0.2">
      <c r="A20" s="11">
        <v>19</v>
      </c>
      <c r="B20" s="12">
        <v>1914</v>
      </c>
      <c r="C20" s="13" t="s">
        <v>80</v>
      </c>
      <c r="D20" s="13" t="s">
        <v>84</v>
      </c>
      <c r="E20" s="23">
        <v>2013</v>
      </c>
      <c r="F20" s="23">
        <v>2014</v>
      </c>
      <c r="G20" s="13" t="s">
        <v>49</v>
      </c>
      <c r="H20" s="13"/>
      <c r="I20" s="13" t="s">
        <v>59</v>
      </c>
      <c r="J20" s="13" t="s">
        <v>82</v>
      </c>
      <c r="K20" s="14"/>
      <c r="L20" s="19">
        <f>100-77.3</f>
        <v>22.700000000000003</v>
      </c>
      <c r="M20" s="20">
        <v>65.8</v>
      </c>
      <c r="N20" s="13" t="s">
        <v>42</v>
      </c>
      <c r="O20" s="13" t="s">
        <v>83</v>
      </c>
      <c r="P20" s="12">
        <f>IF(Q20="", 0, 1)</f>
        <v>1</v>
      </c>
      <c r="Q20" s="15">
        <v>64</v>
      </c>
      <c r="R20" s="17"/>
      <c r="S20" s="17"/>
      <c r="T20" s="17">
        <v>85</v>
      </c>
      <c r="U20" s="17">
        <v>73</v>
      </c>
      <c r="V20" s="17">
        <v>99</v>
      </c>
      <c r="W20" s="17"/>
      <c r="X20" s="17"/>
      <c r="Y20" s="17"/>
      <c r="Z20" s="17" t="str">
        <f>IF(T20="", "mean", "med")</f>
        <v>med</v>
      </c>
      <c r="AA20" s="17">
        <f>IF(T20="", R20, T20)</f>
        <v>85</v>
      </c>
      <c r="AB20" s="12">
        <f>IF(AC20="", 0, 1)</f>
        <v>0</v>
      </c>
      <c r="AC20" s="13"/>
      <c r="AD20" s="12"/>
      <c r="AE20" s="12"/>
      <c r="AF20" s="12"/>
      <c r="AG20" s="12"/>
      <c r="AH20" s="22"/>
      <c r="AI20" s="12"/>
      <c r="AJ20" s="12"/>
      <c r="AK20" s="12"/>
      <c r="AL20" s="12"/>
      <c r="AM20" s="12"/>
      <c r="AN20" s="12">
        <f>IF(AO20="", 0, 1)</f>
        <v>0</v>
      </c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 t="s">
        <v>52</v>
      </c>
      <c r="BA20" s="12" t="str">
        <f>IF(AZ20="high","high","lower")</f>
        <v>high</v>
      </c>
      <c r="BB20" s="49">
        <v>0.91900000000000004</v>
      </c>
      <c r="BC20" s="12">
        <v>84</v>
      </c>
      <c r="BD20" s="12">
        <v>88</v>
      </c>
      <c r="BE20" s="12">
        <v>100</v>
      </c>
      <c r="BF20" s="12">
        <v>84.2</v>
      </c>
      <c r="BG20" s="18" t="s">
        <v>1034</v>
      </c>
      <c r="BH20" s="18" t="s">
        <v>1031</v>
      </c>
    </row>
    <row r="21" spans="1:60" ht="15.75" customHeight="1" x14ac:dyDescent="0.2">
      <c r="A21" s="11">
        <v>20</v>
      </c>
      <c r="B21" s="12">
        <v>1916</v>
      </c>
      <c r="C21" s="13" t="s">
        <v>85</v>
      </c>
      <c r="D21" s="13" t="s">
        <v>38</v>
      </c>
      <c r="E21" s="23">
        <v>2015</v>
      </c>
      <c r="F21" s="23">
        <v>2017</v>
      </c>
      <c r="G21" s="13" t="s">
        <v>86</v>
      </c>
      <c r="H21" s="13"/>
      <c r="I21" s="13" t="s">
        <v>40</v>
      </c>
      <c r="J21" s="13" t="s">
        <v>40</v>
      </c>
      <c r="K21" s="13"/>
      <c r="L21" s="15">
        <v>100</v>
      </c>
      <c r="M21" s="16" t="s">
        <v>41</v>
      </c>
      <c r="N21" s="13" t="s">
        <v>42</v>
      </c>
      <c r="O21" s="13" t="s">
        <v>87</v>
      </c>
      <c r="P21" s="12">
        <f>IF(Q21="", 0, 1)</f>
        <v>1</v>
      </c>
      <c r="Q21" s="15">
        <v>226</v>
      </c>
      <c r="R21" s="17">
        <v>44</v>
      </c>
      <c r="S21" s="17"/>
      <c r="T21" s="17">
        <v>17</v>
      </c>
      <c r="U21" s="17"/>
      <c r="V21" s="17"/>
      <c r="W21" s="17"/>
      <c r="X21" s="17"/>
      <c r="Y21" s="17"/>
      <c r="Z21" s="17" t="str">
        <f>IF(T21="", "mean", "med")</f>
        <v>med</v>
      </c>
      <c r="AA21" s="17">
        <f>IF(T21="", R21, T21)</f>
        <v>17</v>
      </c>
      <c r="AB21" s="12">
        <f>IF(AC21="", 0, 1)</f>
        <v>0</v>
      </c>
      <c r="AC21" s="13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>
        <f>IF(AO21="", 0, 1)</f>
        <v>0</v>
      </c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49" t="s">
        <v>43</v>
      </c>
      <c r="BA21" s="49" t="str">
        <f>IF(AZ21="high","high","lower")</f>
        <v>lower</v>
      </c>
      <c r="BB21" s="49">
        <v>0.65700000000000003</v>
      </c>
      <c r="BC21" s="49"/>
      <c r="BD21" s="49"/>
      <c r="BE21" s="49"/>
      <c r="BF21" s="49"/>
      <c r="BG21" s="18" t="s">
        <v>1030</v>
      </c>
      <c r="BH21" s="18" t="s">
        <v>1031</v>
      </c>
    </row>
    <row r="22" spans="1:60" ht="15.75" customHeight="1" x14ac:dyDescent="0.2">
      <c r="A22" s="11">
        <v>21</v>
      </c>
      <c r="B22" s="22">
        <v>1923</v>
      </c>
      <c r="C22" s="13" t="s">
        <v>88</v>
      </c>
      <c r="D22" s="13" t="s">
        <v>38</v>
      </c>
      <c r="E22" s="23">
        <v>2004</v>
      </c>
      <c r="F22" s="23">
        <v>2011</v>
      </c>
      <c r="G22" s="13" t="s">
        <v>49</v>
      </c>
      <c r="H22" s="13"/>
      <c r="I22" s="13" t="s">
        <v>54</v>
      </c>
      <c r="J22" s="13" t="s">
        <v>89</v>
      </c>
      <c r="K22" s="14"/>
      <c r="L22" s="53">
        <f>100-51.4</f>
        <v>48.6</v>
      </c>
      <c r="M22" s="16">
        <v>67</v>
      </c>
      <c r="N22" s="13" t="s">
        <v>42</v>
      </c>
      <c r="O22" s="13" t="s">
        <v>90</v>
      </c>
      <c r="P22" s="12">
        <f>IF(Q22="", 0, 1)</f>
        <v>1</v>
      </c>
      <c r="Q22" s="15">
        <v>741</v>
      </c>
      <c r="R22" s="17"/>
      <c r="S22" s="17"/>
      <c r="T22" s="17">
        <v>23</v>
      </c>
      <c r="U22" s="17"/>
      <c r="V22" s="17"/>
      <c r="W22" s="17"/>
      <c r="X22" s="17">
        <v>0</v>
      </c>
      <c r="Y22" s="17">
        <v>798</v>
      </c>
      <c r="Z22" s="17" t="str">
        <f>IF(T22="", "mean", "med")</f>
        <v>med</v>
      </c>
      <c r="AA22" s="17">
        <f>IF(T22="", R22, T22)</f>
        <v>23</v>
      </c>
      <c r="AB22" s="12">
        <f>IF(AC22="", 0, 1)</f>
        <v>0</v>
      </c>
      <c r="AC22" s="13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>
        <f>IF(AO22="", 0, 1)</f>
        <v>0</v>
      </c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 t="s">
        <v>52</v>
      </c>
      <c r="BA22" s="12" t="str">
        <f>IF(AZ22="high","high","lower")</f>
        <v>high</v>
      </c>
      <c r="BB22" s="49">
        <v>0.90800000000000003</v>
      </c>
      <c r="BC22" s="12">
        <v>84</v>
      </c>
      <c r="BD22" s="12">
        <v>88</v>
      </c>
      <c r="BE22" s="12">
        <v>100</v>
      </c>
      <c r="BF22" s="12">
        <v>84.2</v>
      </c>
      <c r="BG22" s="18" t="s">
        <v>1030</v>
      </c>
      <c r="BH22" s="18" t="s">
        <v>1031</v>
      </c>
    </row>
    <row r="23" spans="1:60" ht="15.75" customHeight="1" x14ac:dyDescent="0.2">
      <c r="A23" s="11">
        <v>22</v>
      </c>
      <c r="B23" s="12">
        <v>1937</v>
      </c>
      <c r="C23" s="13" t="s">
        <v>91</v>
      </c>
      <c r="D23" s="44" t="s">
        <v>92</v>
      </c>
      <c r="E23" s="23">
        <v>2012</v>
      </c>
      <c r="F23" s="23">
        <v>2014</v>
      </c>
      <c r="G23" s="13" t="s">
        <v>93</v>
      </c>
      <c r="H23" s="13"/>
      <c r="I23" s="13" t="s">
        <v>94</v>
      </c>
      <c r="J23" s="13" t="s">
        <v>95</v>
      </c>
      <c r="K23" s="13" t="s">
        <v>96</v>
      </c>
      <c r="L23" s="15">
        <v>41</v>
      </c>
      <c r="M23" s="16">
        <v>35</v>
      </c>
      <c r="N23" s="13" t="s">
        <v>42</v>
      </c>
      <c r="O23" s="14"/>
      <c r="P23" s="12">
        <f>IF(Q23="", 0, 1)</f>
        <v>0</v>
      </c>
      <c r="Q23" s="15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2">
        <f>IF(AC23="", 0, 1)</f>
        <v>1</v>
      </c>
      <c r="AC23" s="13">
        <v>34</v>
      </c>
      <c r="AD23" s="12"/>
      <c r="AE23" s="12"/>
      <c r="AF23" s="12">
        <f>12*7</f>
        <v>84</v>
      </c>
      <c r="AG23" s="12"/>
      <c r="AH23" s="12"/>
      <c r="AI23" s="12"/>
      <c r="AJ23" s="12"/>
      <c r="AK23" s="12"/>
      <c r="AL23" s="12" t="str">
        <f>IF(AF23="", "mean", "med")</f>
        <v>med</v>
      </c>
      <c r="AM23" s="12">
        <f>IF(AF23="", AD23, AF23)</f>
        <v>84</v>
      </c>
      <c r="AN23" s="12">
        <f>IF(AO23="", 0, 1)</f>
        <v>1</v>
      </c>
      <c r="AO23" s="12">
        <v>32</v>
      </c>
      <c r="AP23" s="12"/>
      <c r="AQ23" s="12"/>
      <c r="AR23" s="12">
        <f>4*7</f>
        <v>28</v>
      </c>
      <c r="AS23" s="12"/>
      <c r="AT23" s="12"/>
      <c r="AU23" s="12"/>
      <c r="AV23" s="12"/>
      <c r="AW23" s="12"/>
      <c r="AX23" s="12" t="str">
        <f>IF(AR23="", "mean", "med")</f>
        <v>med</v>
      </c>
      <c r="AY23" s="12">
        <f>IF(AR23="", AP23, AR23)</f>
        <v>28</v>
      </c>
      <c r="AZ23" s="12" t="s">
        <v>43</v>
      </c>
      <c r="BA23" s="12" t="str">
        <f>IF(AZ23="high","high","lower")</f>
        <v>lower</v>
      </c>
      <c r="BB23" s="49">
        <v>0.68400000000000005</v>
      </c>
      <c r="BC23" s="12">
        <v>61.2</v>
      </c>
      <c r="BD23" s="12">
        <v>72.2</v>
      </c>
      <c r="BE23" s="12">
        <v>66.7</v>
      </c>
      <c r="BF23" s="12">
        <v>56.7</v>
      </c>
      <c r="BG23" s="18" t="s">
        <v>1032</v>
      </c>
      <c r="BH23" s="18" t="s">
        <v>1033</v>
      </c>
    </row>
    <row r="24" spans="1:60" ht="15.75" customHeight="1" x14ac:dyDescent="0.2">
      <c r="A24" s="11">
        <v>23</v>
      </c>
      <c r="B24" s="12">
        <v>1937</v>
      </c>
      <c r="C24" s="13" t="s">
        <v>91</v>
      </c>
      <c r="D24" s="44" t="s">
        <v>92</v>
      </c>
      <c r="E24" s="23">
        <v>2012</v>
      </c>
      <c r="F24" s="23">
        <v>2014</v>
      </c>
      <c r="G24" s="13" t="s">
        <v>93</v>
      </c>
      <c r="H24" s="13"/>
      <c r="I24" s="13" t="s">
        <v>94</v>
      </c>
      <c r="J24" s="13" t="s">
        <v>95</v>
      </c>
      <c r="K24" s="13" t="s">
        <v>97</v>
      </c>
      <c r="L24" s="15">
        <v>43</v>
      </c>
      <c r="M24" s="16">
        <v>51</v>
      </c>
      <c r="N24" s="13" t="s">
        <v>42</v>
      </c>
      <c r="O24" s="14"/>
      <c r="P24" s="12">
        <f>IF(Q24="", 0, 1)</f>
        <v>0</v>
      </c>
      <c r="Q24" s="15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2">
        <f>IF(AC24="", 0, 1)</f>
        <v>1</v>
      </c>
      <c r="AC24" s="13">
        <v>99</v>
      </c>
      <c r="AD24" s="12"/>
      <c r="AE24" s="12"/>
      <c r="AF24" s="12">
        <f>6*7</f>
        <v>42</v>
      </c>
      <c r="AG24" s="12"/>
      <c r="AH24" s="12"/>
      <c r="AI24" s="12"/>
      <c r="AJ24" s="12"/>
      <c r="AK24" s="12"/>
      <c r="AL24" s="12" t="str">
        <f>IF(AF24="", "mean", "med")</f>
        <v>med</v>
      </c>
      <c r="AM24" s="12">
        <f>IF(AF24="", AD24, AF24)</f>
        <v>42</v>
      </c>
      <c r="AN24" s="12">
        <f>IF(AO24="", 0, 1)</f>
        <v>1</v>
      </c>
      <c r="AO24" s="12">
        <v>96</v>
      </c>
      <c r="AP24" s="12"/>
      <c r="AQ24" s="12"/>
      <c r="AR24" s="12">
        <f>3*7</f>
        <v>21</v>
      </c>
      <c r="AS24" s="12"/>
      <c r="AT24" s="12"/>
      <c r="AU24" s="12"/>
      <c r="AV24" s="12"/>
      <c r="AW24" s="12"/>
      <c r="AX24" s="12" t="str">
        <f>IF(AR24="", "mean", "med")</f>
        <v>med</v>
      </c>
      <c r="AY24" s="12">
        <f>IF(AR24="", AP24, AR24)</f>
        <v>21</v>
      </c>
      <c r="AZ24" s="12" t="s">
        <v>43</v>
      </c>
      <c r="BA24" s="12" t="str">
        <f>IF(AZ24="high","high","lower")</f>
        <v>lower</v>
      </c>
      <c r="BB24" s="49">
        <v>0.68400000000000005</v>
      </c>
      <c r="BC24" s="12">
        <v>61.2</v>
      </c>
      <c r="BD24" s="12">
        <v>72.2</v>
      </c>
      <c r="BE24" s="12">
        <v>66.7</v>
      </c>
      <c r="BF24" s="12">
        <v>56.7</v>
      </c>
      <c r="BG24" s="18" t="s">
        <v>1032</v>
      </c>
      <c r="BH24" s="18" t="s">
        <v>1033</v>
      </c>
    </row>
    <row r="25" spans="1:60" ht="15.75" customHeight="1" x14ac:dyDescent="0.2">
      <c r="A25" s="11">
        <v>24</v>
      </c>
      <c r="B25" s="51">
        <v>1946</v>
      </c>
      <c r="C25" s="13" t="s">
        <v>98</v>
      </c>
      <c r="D25" s="14" t="s">
        <v>38</v>
      </c>
      <c r="E25" s="23">
        <v>2006</v>
      </c>
      <c r="F25" s="23">
        <v>2013</v>
      </c>
      <c r="G25" s="13" t="s">
        <v>77</v>
      </c>
      <c r="H25" s="13" t="s">
        <v>78</v>
      </c>
      <c r="I25" s="13" t="s">
        <v>54</v>
      </c>
      <c r="J25" s="13" t="s">
        <v>55</v>
      </c>
      <c r="K25" s="14"/>
      <c r="L25" s="19">
        <v>42.1</v>
      </c>
      <c r="M25" s="16" t="s">
        <v>41</v>
      </c>
      <c r="N25" s="13" t="s">
        <v>99</v>
      </c>
      <c r="O25" s="13"/>
      <c r="P25" s="12">
        <f>IF(Q25="", 0, 1)</f>
        <v>0</v>
      </c>
      <c r="Q25" s="15"/>
      <c r="R25" s="21"/>
      <c r="S25" s="17"/>
      <c r="T25" s="17"/>
      <c r="U25" s="17"/>
      <c r="V25" s="17"/>
      <c r="W25" s="17"/>
      <c r="X25" s="17"/>
      <c r="Y25" s="17"/>
      <c r="Z25" s="17"/>
      <c r="AA25" s="17"/>
      <c r="AB25" s="12">
        <f>IF(AC25="", 0, 1)</f>
        <v>1</v>
      </c>
      <c r="AC25" s="13">
        <v>7315</v>
      </c>
      <c r="AD25" s="12"/>
      <c r="AE25" s="12"/>
      <c r="AF25" s="12">
        <v>97</v>
      </c>
      <c r="AG25" s="12">
        <v>55</v>
      </c>
      <c r="AH25" s="12">
        <v>206</v>
      </c>
      <c r="AI25" s="12"/>
      <c r="AJ25" s="12"/>
      <c r="AK25" s="12"/>
      <c r="AL25" s="12" t="str">
        <f>IF(AF25="", "mean", "med")</f>
        <v>med</v>
      </c>
      <c r="AM25" s="12">
        <f>IF(AF25="", AD25, AF25)</f>
        <v>97</v>
      </c>
      <c r="AN25" s="12">
        <f>IF(AO25="", 0, 1)</f>
        <v>0</v>
      </c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 t="s">
        <v>52</v>
      </c>
      <c r="BA25" s="12" t="str">
        <f>IF(AZ25="high","high","lower")</f>
        <v>high</v>
      </c>
      <c r="BB25" s="49">
        <v>0.90600000000000003</v>
      </c>
      <c r="BC25" s="12">
        <v>85.3</v>
      </c>
      <c r="BD25" s="12">
        <v>96.3</v>
      </c>
      <c r="BE25" s="12">
        <v>91.7</v>
      </c>
      <c r="BF25" s="12">
        <v>80</v>
      </c>
      <c r="BG25" s="18" t="s">
        <v>1034</v>
      </c>
      <c r="BH25" s="18" t="s">
        <v>1031</v>
      </c>
    </row>
    <row r="26" spans="1:60" ht="15.75" customHeight="1" x14ac:dyDescent="0.2">
      <c r="A26" s="11">
        <v>25</v>
      </c>
      <c r="B26" s="12">
        <v>1955</v>
      </c>
      <c r="C26" s="13" t="s">
        <v>100</v>
      </c>
      <c r="D26" s="14" t="s">
        <v>101</v>
      </c>
      <c r="E26" s="23">
        <v>2000</v>
      </c>
      <c r="F26" s="23">
        <v>2004</v>
      </c>
      <c r="G26" s="13" t="s">
        <v>49</v>
      </c>
      <c r="H26" s="13"/>
      <c r="I26" s="13" t="s">
        <v>40</v>
      </c>
      <c r="J26" s="13" t="s">
        <v>40</v>
      </c>
      <c r="K26" s="13"/>
      <c r="L26" s="19">
        <v>100</v>
      </c>
      <c r="M26" s="16">
        <v>55.1</v>
      </c>
      <c r="N26" s="13" t="s">
        <v>102</v>
      </c>
      <c r="O26" s="13" t="s">
        <v>41</v>
      </c>
      <c r="P26" s="12">
        <f>IF(Q26="", 0, 1)</f>
        <v>1</v>
      </c>
      <c r="Q26" s="15">
        <v>620</v>
      </c>
      <c r="R26" s="17">
        <v>26</v>
      </c>
      <c r="S26" s="17">
        <v>33.299999999999997</v>
      </c>
      <c r="T26" s="17"/>
      <c r="U26" s="17"/>
      <c r="V26" s="17"/>
      <c r="W26" s="17"/>
      <c r="X26" s="17"/>
      <c r="Y26" s="17"/>
      <c r="Z26" s="17" t="str">
        <f>IF(T26="", "mean", "med")</f>
        <v>mean</v>
      </c>
      <c r="AA26" s="17">
        <f>IF(T26="", R26, T26)</f>
        <v>26</v>
      </c>
      <c r="AB26" s="12">
        <f>IF(AC26="", 0, 1)</f>
        <v>0</v>
      </c>
      <c r="AC26" s="13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>
        <f>IF(AO26="", 0, 1)</f>
        <v>0</v>
      </c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 t="s">
        <v>52</v>
      </c>
      <c r="BA26" s="12" t="str">
        <f>IF(AZ26="high","high","lower")</f>
        <v>high</v>
      </c>
      <c r="BB26" s="49">
        <v>0.89100000000000001</v>
      </c>
      <c r="BC26" s="12">
        <v>84</v>
      </c>
      <c r="BD26" s="12">
        <v>88</v>
      </c>
      <c r="BE26" s="12">
        <v>100</v>
      </c>
      <c r="BF26" s="12">
        <v>84.2</v>
      </c>
      <c r="BG26" s="18" t="s">
        <v>1030</v>
      </c>
      <c r="BH26" s="18" t="s">
        <v>1031</v>
      </c>
    </row>
    <row r="27" spans="1:60" ht="15.75" customHeight="1" x14ac:dyDescent="0.2">
      <c r="A27" s="11">
        <v>26</v>
      </c>
      <c r="B27" s="12">
        <v>1955</v>
      </c>
      <c r="C27" s="13" t="s">
        <v>100</v>
      </c>
      <c r="D27" s="14" t="s">
        <v>103</v>
      </c>
      <c r="E27" s="23">
        <v>2000</v>
      </c>
      <c r="F27" s="23">
        <v>2004</v>
      </c>
      <c r="G27" s="13" t="s">
        <v>49</v>
      </c>
      <c r="H27" s="13"/>
      <c r="I27" s="31" t="s">
        <v>104</v>
      </c>
      <c r="J27" s="13" t="s">
        <v>105</v>
      </c>
      <c r="K27" s="13"/>
      <c r="L27" s="15">
        <v>100</v>
      </c>
      <c r="M27" s="16">
        <v>50.4</v>
      </c>
      <c r="N27" s="13" t="s">
        <v>102</v>
      </c>
      <c r="O27" s="13" t="s">
        <v>41</v>
      </c>
      <c r="P27" s="12">
        <f>IF(Q27="", 0, 1)</f>
        <v>1</v>
      </c>
      <c r="Q27" s="19">
        <v>629</v>
      </c>
      <c r="R27" s="21">
        <v>38.299999999999997</v>
      </c>
      <c r="S27" s="17">
        <v>48.6</v>
      </c>
      <c r="T27" s="17"/>
      <c r="U27" s="17"/>
      <c r="V27" s="17"/>
      <c r="W27" s="17"/>
      <c r="X27" s="17"/>
      <c r="Y27" s="17"/>
      <c r="Z27" s="17" t="str">
        <f>IF(T27="", "mean", "med")</f>
        <v>mean</v>
      </c>
      <c r="AA27" s="17">
        <f>IF(T27="", R27, T27)</f>
        <v>38.299999999999997</v>
      </c>
      <c r="AB27" s="12">
        <f>IF(AC27="", 0, 1)</f>
        <v>0</v>
      </c>
      <c r="AC27" s="14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>
        <f>IF(AO27="", 0, 1)</f>
        <v>0</v>
      </c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 t="s">
        <v>52</v>
      </c>
      <c r="BA27" s="12" t="str">
        <f>IF(AZ27="high","high","lower")</f>
        <v>high</v>
      </c>
      <c r="BB27" s="49">
        <v>0.89100000000000001</v>
      </c>
      <c r="BC27" s="12">
        <v>84</v>
      </c>
      <c r="BD27" s="12">
        <v>88</v>
      </c>
      <c r="BE27" s="12">
        <v>100</v>
      </c>
      <c r="BF27" s="12">
        <v>84.2</v>
      </c>
      <c r="BG27" s="18" t="s">
        <v>1030</v>
      </c>
      <c r="BH27" s="18" t="s">
        <v>1031</v>
      </c>
    </row>
    <row r="28" spans="1:60" ht="15.75" customHeight="1" x14ac:dyDescent="0.2">
      <c r="A28" s="11">
        <v>27</v>
      </c>
      <c r="B28" s="12">
        <v>1957</v>
      </c>
      <c r="C28" s="13" t="s">
        <v>106</v>
      </c>
      <c r="D28" s="14" t="s">
        <v>107</v>
      </c>
      <c r="E28" s="23">
        <v>2005</v>
      </c>
      <c r="F28" s="23">
        <v>2012</v>
      </c>
      <c r="G28" s="13" t="s">
        <v>77</v>
      </c>
      <c r="H28" s="13"/>
      <c r="I28" s="13" t="s">
        <v>54</v>
      </c>
      <c r="J28" s="13" t="s">
        <v>55</v>
      </c>
      <c r="K28" s="14"/>
      <c r="L28" s="15" t="s">
        <v>41</v>
      </c>
      <c r="M28" s="16" t="s">
        <v>41</v>
      </c>
      <c r="N28" s="13" t="s">
        <v>50</v>
      </c>
      <c r="O28" s="13" t="s">
        <v>41</v>
      </c>
      <c r="P28" s="12">
        <f>IF(Q28="", 0, 1)</f>
        <v>1</v>
      </c>
      <c r="Q28" s="19">
        <v>541</v>
      </c>
      <c r="R28" s="17"/>
      <c r="S28" s="17"/>
      <c r="T28" s="17">
        <v>47</v>
      </c>
      <c r="U28" s="17"/>
      <c r="V28" s="17"/>
      <c r="W28" s="17"/>
      <c r="X28" s="17"/>
      <c r="Y28" s="17"/>
      <c r="Z28" s="17" t="str">
        <f>IF(T28="", "mean", "med")</f>
        <v>med</v>
      </c>
      <c r="AA28" s="17">
        <f>IF(T28="", R28, T28)</f>
        <v>47</v>
      </c>
      <c r="AB28" s="12">
        <f>IF(AC28="", 0, 1)</f>
        <v>0</v>
      </c>
      <c r="AC28" s="13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>
        <f>IF(AO28="", 0, 1)</f>
        <v>0</v>
      </c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 t="s">
        <v>52</v>
      </c>
      <c r="BA28" s="12" t="str">
        <f>IF(AZ28="high","high","lower")</f>
        <v>high</v>
      </c>
      <c r="BB28" s="49">
        <v>0.90300000000000002</v>
      </c>
      <c r="BC28" s="12">
        <v>85.3</v>
      </c>
      <c r="BD28" s="12">
        <v>96.3</v>
      </c>
      <c r="BE28" s="12">
        <v>91.7</v>
      </c>
      <c r="BF28" s="12">
        <v>80</v>
      </c>
      <c r="BG28" s="18" t="s">
        <v>1032</v>
      </c>
      <c r="BH28" s="18" t="s">
        <v>1033</v>
      </c>
    </row>
    <row r="29" spans="1:60" ht="15.75" customHeight="1" x14ac:dyDescent="0.2">
      <c r="A29" s="11">
        <v>28</v>
      </c>
      <c r="B29" s="12">
        <v>1957</v>
      </c>
      <c r="C29" s="13" t="s">
        <v>106</v>
      </c>
      <c r="D29" s="13" t="s">
        <v>109</v>
      </c>
      <c r="E29" s="23">
        <v>2005</v>
      </c>
      <c r="F29" s="23">
        <v>2012</v>
      </c>
      <c r="G29" s="13" t="s">
        <v>77</v>
      </c>
      <c r="H29" s="13"/>
      <c r="I29" s="13" t="s">
        <v>54</v>
      </c>
      <c r="J29" s="13" t="s">
        <v>55</v>
      </c>
      <c r="K29" s="13"/>
      <c r="L29" s="15" t="s">
        <v>41</v>
      </c>
      <c r="M29" s="16" t="s">
        <v>41</v>
      </c>
      <c r="N29" s="13" t="s">
        <v>50</v>
      </c>
      <c r="O29" s="13" t="s">
        <v>41</v>
      </c>
      <c r="P29" s="12">
        <f>IF(Q29="", 0, 1)</f>
        <v>1</v>
      </c>
      <c r="Q29" s="15">
        <v>649</v>
      </c>
      <c r="R29" s="17"/>
      <c r="S29" s="17"/>
      <c r="T29" s="17">
        <v>52</v>
      </c>
      <c r="U29" s="17"/>
      <c r="V29" s="17"/>
      <c r="W29" s="17"/>
      <c r="X29" s="17"/>
      <c r="Y29" s="17"/>
      <c r="Z29" s="17" t="str">
        <f>IF(T29="", "mean", "med")</f>
        <v>med</v>
      </c>
      <c r="AA29" s="17">
        <f>IF(T29="", R29, T29)</f>
        <v>52</v>
      </c>
      <c r="AB29" s="12">
        <f>IF(AC29="", 0, 1)</f>
        <v>0</v>
      </c>
      <c r="AC29" s="13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>
        <f>IF(AO29="", 0, 1)</f>
        <v>0</v>
      </c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 t="s">
        <v>52</v>
      </c>
      <c r="BA29" s="12" t="str">
        <f>IF(AZ29="high","high","lower")</f>
        <v>high</v>
      </c>
      <c r="BB29" s="49">
        <v>0.90300000000000002</v>
      </c>
      <c r="BC29" s="12">
        <v>85.3</v>
      </c>
      <c r="BD29" s="12">
        <v>96.3</v>
      </c>
      <c r="BE29" s="12">
        <v>91.7</v>
      </c>
      <c r="BF29" s="12">
        <v>80</v>
      </c>
      <c r="BG29" s="18" t="s">
        <v>1032</v>
      </c>
      <c r="BH29" s="18" t="s">
        <v>1033</v>
      </c>
    </row>
    <row r="30" spans="1:60" ht="15.75" customHeight="1" x14ac:dyDescent="0.2">
      <c r="A30" s="11">
        <v>29</v>
      </c>
      <c r="B30" s="22">
        <v>1957</v>
      </c>
      <c r="C30" s="13" t="s">
        <v>106</v>
      </c>
      <c r="D30" s="13" t="s">
        <v>110</v>
      </c>
      <c r="E30" s="23">
        <v>2005</v>
      </c>
      <c r="F30" s="23">
        <v>2012</v>
      </c>
      <c r="G30" s="13" t="s">
        <v>77</v>
      </c>
      <c r="H30" s="13"/>
      <c r="I30" s="13" t="s">
        <v>54</v>
      </c>
      <c r="J30" s="13" t="s">
        <v>55</v>
      </c>
      <c r="K30" s="13"/>
      <c r="L30" s="15" t="s">
        <v>41</v>
      </c>
      <c r="M30" s="16" t="s">
        <v>41</v>
      </c>
      <c r="N30" s="13" t="s">
        <v>50</v>
      </c>
      <c r="O30" s="13" t="s">
        <v>41</v>
      </c>
      <c r="P30" s="12">
        <f>IF(Q30="", 0, 1)</f>
        <v>1</v>
      </c>
      <c r="Q30" s="15">
        <v>967</v>
      </c>
      <c r="R30" s="17"/>
      <c r="S30" s="17"/>
      <c r="T30" s="17">
        <v>5</v>
      </c>
      <c r="U30" s="17"/>
      <c r="V30" s="17"/>
      <c r="W30" s="17"/>
      <c r="X30" s="17"/>
      <c r="Y30" s="17"/>
      <c r="Z30" s="17" t="str">
        <f>IF(T30="", "mean", "med")</f>
        <v>med</v>
      </c>
      <c r="AA30" s="17">
        <f>IF(T30="", R30, T30)</f>
        <v>5</v>
      </c>
      <c r="AB30" s="12">
        <f>IF(AC30="", 0, 1)</f>
        <v>0</v>
      </c>
      <c r="AC30" s="13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>
        <f>IF(AO30="", 0, 1)</f>
        <v>0</v>
      </c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 t="s">
        <v>52</v>
      </c>
      <c r="BA30" s="12" t="str">
        <f>IF(AZ30="high","high","lower")</f>
        <v>high</v>
      </c>
      <c r="BB30" s="49">
        <v>0.90300000000000002</v>
      </c>
      <c r="BC30" s="12">
        <v>85.3</v>
      </c>
      <c r="BD30" s="12">
        <v>96.3</v>
      </c>
      <c r="BE30" s="12">
        <v>91.7</v>
      </c>
      <c r="BF30" s="12">
        <v>80</v>
      </c>
      <c r="BG30" s="18" t="s">
        <v>1032</v>
      </c>
      <c r="BH30" s="18" t="s">
        <v>1033</v>
      </c>
    </row>
    <row r="31" spans="1:60" ht="15.75" customHeight="1" x14ac:dyDescent="0.2">
      <c r="A31" s="11">
        <v>30</v>
      </c>
      <c r="B31" s="22">
        <v>1957</v>
      </c>
      <c r="C31" s="13" t="s">
        <v>106</v>
      </c>
      <c r="D31" s="13" t="s">
        <v>111</v>
      </c>
      <c r="E31" s="23">
        <v>2005</v>
      </c>
      <c r="F31" s="23">
        <v>2012</v>
      </c>
      <c r="G31" s="13" t="s">
        <v>77</v>
      </c>
      <c r="H31" s="13"/>
      <c r="I31" s="13" t="s">
        <v>54</v>
      </c>
      <c r="J31" s="13" t="s">
        <v>55</v>
      </c>
      <c r="K31" s="13"/>
      <c r="L31" s="15" t="s">
        <v>41</v>
      </c>
      <c r="M31" s="16" t="s">
        <v>41</v>
      </c>
      <c r="N31" s="13" t="s">
        <v>50</v>
      </c>
      <c r="O31" s="13" t="s">
        <v>41</v>
      </c>
      <c r="P31" s="12">
        <f>IF(Q31="", 0, 1)</f>
        <v>1</v>
      </c>
      <c r="Q31" s="15">
        <v>1139</v>
      </c>
      <c r="R31" s="17"/>
      <c r="S31" s="17"/>
      <c r="T31" s="17">
        <v>48</v>
      </c>
      <c r="U31" s="17"/>
      <c r="V31" s="17"/>
      <c r="W31" s="17"/>
      <c r="X31" s="17"/>
      <c r="Y31" s="17"/>
      <c r="Z31" s="17" t="str">
        <f>IF(T31="", "mean", "med")</f>
        <v>med</v>
      </c>
      <c r="AA31" s="17">
        <f>IF(T31="", R31, T31)</f>
        <v>48</v>
      </c>
      <c r="AB31" s="12">
        <f>IF(AC31="", 0, 1)</f>
        <v>0</v>
      </c>
      <c r="AC31" s="13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>
        <f>IF(AO31="", 0, 1)</f>
        <v>0</v>
      </c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 t="s">
        <v>52</v>
      </c>
      <c r="BA31" s="12" t="str">
        <f>IF(AZ31="high","high","lower")</f>
        <v>high</v>
      </c>
      <c r="BB31" s="49">
        <v>0.90300000000000002</v>
      </c>
      <c r="BC31" s="12">
        <v>85.3</v>
      </c>
      <c r="BD31" s="12">
        <v>96.3</v>
      </c>
      <c r="BE31" s="12">
        <v>91.7</v>
      </c>
      <c r="BF31" s="12">
        <v>80</v>
      </c>
      <c r="BG31" s="18" t="s">
        <v>1032</v>
      </c>
      <c r="BH31" s="18" t="s">
        <v>1033</v>
      </c>
    </row>
    <row r="32" spans="1:60" ht="15.75" customHeight="1" x14ac:dyDescent="0.2">
      <c r="A32" s="11">
        <v>31</v>
      </c>
      <c r="B32" s="22">
        <v>1960</v>
      </c>
      <c r="C32" s="13" t="s">
        <v>112</v>
      </c>
      <c r="D32" s="13" t="s">
        <v>38</v>
      </c>
      <c r="E32" s="23">
        <v>1998</v>
      </c>
      <c r="F32" s="23">
        <v>2012</v>
      </c>
      <c r="G32" s="13" t="s">
        <v>49</v>
      </c>
      <c r="H32" s="13"/>
      <c r="I32" s="13" t="s">
        <v>59</v>
      </c>
      <c r="J32" s="13" t="s">
        <v>113</v>
      </c>
      <c r="K32" s="13"/>
      <c r="L32" s="15">
        <v>0</v>
      </c>
      <c r="M32" s="16">
        <v>66</v>
      </c>
      <c r="N32" s="13" t="s">
        <v>42</v>
      </c>
      <c r="O32" s="14" t="s">
        <v>41</v>
      </c>
      <c r="P32" s="12">
        <f>IF(Q32="", 0, 1)</f>
        <v>1</v>
      </c>
      <c r="Q32" s="15">
        <v>13283</v>
      </c>
      <c r="R32" s="17"/>
      <c r="S32" s="17"/>
      <c r="T32" s="17">
        <v>27</v>
      </c>
      <c r="U32" s="17">
        <v>13</v>
      </c>
      <c r="V32" s="17">
        <v>47</v>
      </c>
      <c r="W32" s="17"/>
      <c r="X32" s="17"/>
      <c r="Y32" s="17"/>
      <c r="Z32" s="17" t="str">
        <f>IF(T32="", "mean", "med")</f>
        <v>med</v>
      </c>
      <c r="AA32" s="17">
        <f>IF(T32="", R32, T32)</f>
        <v>27</v>
      </c>
      <c r="AB32" s="12">
        <f>IF(AC32="", 0, 1)</f>
        <v>0</v>
      </c>
      <c r="AC32" s="13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>
        <f>IF(AO32="", 0, 1)</f>
        <v>0</v>
      </c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 t="s">
        <v>52</v>
      </c>
      <c r="BA32" s="12" t="str">
        <f>IF(AZ32="high","high","lower")</f>
        <v>high</v>
      </c>
      <c r="BB32" s="49">
        <v>0.90200000000000002</v>
      </c>
      <c r="BC32" s="12">
        <v>84</v>
      </c>
      <c r="BD32" s="12">
        <v>88</v>
      </c>
      <c r="BE32" s="12">
        <v>100</v>
      </c>
      <c r="BF32" s="12">
        <v>84.2</v>
      </c>
      <c r="BG32" s="18" t="s">
        <v>1030</v>
      </c>
      <c r="BH32" s="18" t="s">
        <v>1031</v>
      </c>
    </row>
    <row r="33" spans="1:60" ht="15.75" customHeight="1" x14ac:dyDescent="0.2">
      <c r="A33" s="11">
        <v>32</v>
      </c>
      <c r="B33" s="12">
        <v>1967</v>
      </c>
      <c r="C33" s="13" t="s">
        <v>114</v>
      </c>
      <c r="D33" s="13" t="s">
        <v>38</v>
      </c>
      <c r="E33" s="23">
        <v>2007</v>
      </c>
      <c r="F33" s="23">
        <v>2007</v>
      </c>
      <c r="G33" s="13" t="s">
        <v>115</v>
      </c>
      <c r="H33" s="13"/>
      <c r="I33" s="13" t="s">
        <v>40</v>
      </c>
      <c r="J33" s="13" t="s">
        <v>40</v>
      </c>
      <c r="K33" s="13"/>
      <c r="L33" s="15">
        <v>100</v>
      </c>
      <c r="M33" s="16">
        <v>59</v>
      </c>
      <c r="N33" s="13" t="s">
        <v>42</v>
      </c>
      <c r="O33" s="54" t="s">
        <v>41</v>
      </c>
      <c r="P33" s="12">
        <f>IF(Q33="", 0, 1)</f>
        <v>1</v>
      </c>
      <c r="Q33" s="15">
        <v>1152</v>
      </c>
      <c r="R33" s="17"/>
      <c r="S33" s="17"/>
      <c r="T33" s="17">
        <v>31</v>
      </c>
      <c r="U33" s="17">
        <v>23</v>
      </c>
      <c r="V33" s="17">
        <v>42</v>
      </c>
      <c r="W33" s="17"/>
      <c r="X33" s="17"/>
      <c r="Y33" s="17"/>
      <c r="Z33" s="17" t="str">
        <f>IF(T33="", "mean", "med")</f>
        <v>med</v>
      </c>
      <c r="AA33" s="17">
        <f>IF(T33="", R33, T33)</f>
        <v>31</v>
      </c>
      <c r="AB33" s="12">
        <f>IF(AC33="", 0, 1)</f>
        <v>0</v>
      </c>
      <c r="AC33" s="13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>
        <f>IF(AO33="", 0, 1)</f>
        <v>0</v>
      </c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 t="s">
        <v>52</v>
      </c>
      <c r="BA33" s="12" t="str">
        <f>IF(AZ33="high","high","lower")</f>
        <v>high</v>
      </c>
      <c r="BB33" s="49">
        <v>0.87</v>
      </c>
      <c r="BC33" s="12">
        <v>87.5</v>
      </c>
      <c r="BD33" s="12">
        <v>93.8</v>
      </c>
      <c r="BE33" s="12">
        <v>100</v>
      </c>
      <c r="BF33" s="12">
        <v>86.9</v>
      </c>
      <c r="BG33" s="18" t="s">
        <v>1030</v>
      </c>
      <c r="BH33" s="18" t="s">
        <v>1031</v>
      </c>
    </row>
    <row r="34" spans="1:60" ht="15.75" customHeight="1" x14ac:dyDescent="0.2">
      <c r="A34" s="11">
        <v>33</v>
      </c>
      <c r="B34" s="22">
        <v>1971</v>
      </c>
      <c r="C34" s="13" t="s">
        <v>116</v>
      </c>
      <c r="D34" s="13" t="s">
        <v>38</v>
      </c>
      <c r="E34" s="23">
        <v>2005</v>
      </c>
      <c r="F34" s="23">
        <v>2007</v>
      </c>
      <c r="G34" s="13" t="s">
        <v>117</v>
      </c>
      <c r="H34" s="13"/>
      <c r="I34" s="13" t="s">
        <v>59</v>
      </c>
      <c r="J34" s="13" t="s">
        <v>60</v>
      </c>
      <c r="K34" s="13"/>
      <c r="L34" s="19">
        <v>0</v>
      </c>
      <c r="M34" s="16" t="s">
        <v>41</v>
      </c>
      <c r="N34" s="13" t="s">
        <v>102</v>
      </c>
      <c r="O34" s="13" t="s">
        <v>41</v>
      </c>
      <c r="P34" s="12">
        <f>IF(Q34="", 0, 1)</f>
        <v>1</v>
      </c>
      <c r="Q34" s="15">
        <v>1064</v>
      </c>
      <c r="R34" s="17"/>
      <c r="S34" s="17"/>
      <c r="T34" s="17">
        <v>65</v>
      </c>
      <c r="U34" s="17">
        <v>36</v>
      </c>
      <c r="V34" s="17">
        <v>107</v>
      </c>
      <c r="W34" s="17"/>
      <c r="X34" s="17"/>
      <c r="Y34" s="17"/>
      <c r="Z34" s="17" t="str">
        <f>IF(T34="", "mean", "med")</f>
        <v>med</v>
      </c>
      <c r="AA34" s="17">
        <f>IF(T34="", R34, T34)</f>
        <v>65</v>
      </c>
      <c r="AB34" s="12">
        <f>IF(AC34="", 0, 1)</f>
        <v>1</v>
      </c>
      <c r="AC34" s="13">
        <v>188</v>
      </c>
      <c r="AD34" s="12"/>
      <c r="AE34" s="12"/>
      <c r="AF34" s="12">
        <v>113</v>
      </c>
      <c r="AG34" s="12"/>
      <c r="AH34" s="12"/>
      <c r="AI34" s="12"/>
      <c r="AJ34" s="12"/>
      <c r="AK34" s="12"/>
      <c r="AL34" s="12" t="str">
        <f>IF(AF34="", "mean", "med")</f>
        <v>med</v>
      </c>
      <c r="AM34" s="12">
        <f>IF(AF34="", AD34, AF34)</f>
        <v>113</v>
      </c>
      <c r="AN34" s="12">
        <f>IF(AO34="", 0, 1)</f>
        <v>0</v>
      </c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 t="s">
        <v>52</v>
      </c>
      <c r="BA34" s="12" t="str">
        <f>IF(AZ34="high","high","lower")</f>
        <v>high</v>
      </c>
      <c r="BB34" s="49">
        <v>0.90900000000000003</v>
      </c>
      <c r="BC34" s="12">
        <v>90.6</v>
      </c>
      <c r="BD34" s="12">
        <v>98</v>
      </c>
      <c r="BE34" s="12">
        <v>100</v>
      </c>
      <c r="BF34" s="12">
        <v>90</v>
      </c>
      <c r="BG34" s="18" t="s">
        <v>1030</v>
      </c>
      <c r="BH34" s="18" t="s">
        <v>1031</v>
      </c>
    </row>
    <row r="35" spans="1:60" ht="15.75" customHeight="1" x14ac:dyDescent="0.2">
      <c r="A35" s="11">
        <v>34</v>
      </c>
      <c r="B35" s="12">
        <v>1974</v>
      </c>
      <c r="C35" s="13" t="s">
        <v>118</v>
      </c>
      <c r="D35" s="13" t="s">
        <v>38</v>
      </c>
      <c r="E35" s="23">
        <v>2000</v>
      </c>
      <c r="F35" s="23">
        <v>2011</v>
      </c>
      <c r="G35" s="13" t="s">
        <v>49</v>
      </c>
      <c r="H35" s="13"/>
      <c r="I35" s="13" t="s">
        <v>70</v>
      </c>
      <c r="J35" s="13" t="s">
        <v>119</v>
      </c>
      <c r="K35" s="13"/>
      <c r="L35" s="15">
        <v>3.25</v>
      </c>
      <c r="M35" s="16" t="s">
        <v>41</v>
      </c>
      <c r="N35" s="13" t="s">
        <v>99</v>
      </c>
      <c r="O35" s="14" t="s">
        <v>41</v>
      </c>
      <c r="P35" s="12">
        <f>IF(Q35="", 0, 1)</f>
        <v>1</v>
      </c>
      <c r="Q35" s="19">
        <v>523</v>
      </c>
      <c r="R35" s="17"/>
      <c r="S35" s="17"/>
      <c r="T35" s="17">
        <v>31</v>
      </c>
      <c r="U35" s="17">
        <v>18</v>
      </c>
      <c r="V35" s="17">
        <v>48</v>
      </c>
      <c r="W35" s="17"/>
      <c r="X35" s="17"/>
      <c r="Y35" s="17"/>
      <c r="Z35" s="17" t="str">
        <f>IF(T35="", "mean", "med")</f>
        <v>med</v>
      </c>
      <c r="AA35" s="17">
        <f>IF(T35="", R35, T35)</f>
        <v>31</v>
      </c>
      <c r="AB35" s="12">
        <f>IF(AC35="", 0, 1)</f>
        <v>0</v>
      </c>
      <c r="AC35" s="13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>
        <f>IF(AO35="", 0, 1)</f>
        <v>0</v>
      </c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 t="s">
        <v>52</v>
      </c>
      <c r="BA35" s="12" t="str">
        <f>IF(AZ35="high","high","lower")</f>
        <v>high</v>
      </c>
      <c r="BB35" s="49">
        <v>0.90200000000000002</v>
      </c>
      <c r="BC35" s="12">
        <v>84</v>
      </c>
      <c r="BD35" s="12">
        <v>88</v>
      </c>
      <c r="BE35" s="12">
        <v>100</v>
      </c>
      <c r="BF35" s="12">
        <v>84.2</v>
      </c>
      <c r="BG35" s="18" t="s">
        <v>1032</v>
      </c>
      <c r="BH35" s="18" t="s">
        <v>1033</v>
      </c>
    </row>
    <row r="36" spans="1:60" ht="15.75" customHeight="1" x14ac:dyDescent="0.2">
      <c r="A36" s="11">
        <v>35</v>
      </c>
      <c r="B36" s="12">
        <v>1984</v>
      </c>
      <c r="C36" s="13" t="s">
        <v>120</v>
      </c>
      <c r="D36" s="13" t="s">
        <v>38</v>
      </c>
      <c r="E36" s="23">
        <v>1997</v>
      </c>
      <c r="F36" s="23">
        <v>2001</v>
      </c>
      <c r="G36" s="13" t="s">
        <v>49</v>
      </c>
      <c r="H36" s="13"/>
      <c r="I36" s="13" t="s">
        <v>40</v>
      </c>
      <c r="J36" s="13" t="s">
        <v>40</v>
      </c>
      <c r="K36" s="13"/>
      <c r="L36" s="15">
        <v>100</v>
      </c>
      <c r="M36" s="16" t="s">
        <v>41</v>
      </c>
      <c r="N36" s="13" t="s">
        <v>42</v>
      </c>
      <c r="O36" s="14" t="s">
        <v>90</v>
      </c>
      <c r="P36" s="12">
        <f>IF(Q36="", 0, 1)</f>
        <v>1</v>
      </c>
      <c r="Q36" s="15">
        <v>722</v>
      </c>
      <c r="R36" s="17"/>
      <c r="S36" s="17"/>
      <c r="T36" s="17">
        <v>7</v>
      </c>
      <c r="U36" s="17"/>
      <c r="V36" s="17"/>
      <c r="W36" s="17"/>
      <c r="X36" s="17"/>
      <c r="Y36" s="17"/>
      <c r="Z36" s="17" t="str">
        <f>IF(T36="", "mean", "med")</f>
        <v>med</v>
      </c>
      <c r="AA36" s="17">
        <f>IF(T36="", R36, T36)</f>
        <v>7</v>
      </c>
      <c r="AB36" s="12">
        <f>IF(AC36="", 0, 1)</f>
        <v>0</v>
      </c>
      <c r="AC36" s="13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>
        <f>IF(AO36="", 0, 1)</f>
        <v>0</v>
      </c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 t="s">
        <v>52</v>
      </c>
      <c r="BA36" s="12" t="str">
        <f>IF(AZ36="high","high","lower")</f>
        <v>high</v>
      </c>
      <c r="BB36" s="49">
        <v>0.88800000000000001</v>
      </c>
      <c r="BC36" s="12">
        <v>84</v>
      </c>
      <c r="BD36" s="12">
        <v>88</v>
      </c>
      <c r="BE36" s="12">
        <v>100</v>
      </c>
      <c r="BF36" s="12">
        <v>84.2</v>
      </c>
      <c r="BG36" s="18" t="s">
        <v>1030</v>
      </c>
      <c r="BH36" s="18" t="s">
        <v>1031</v>
      </c>
    </row>
    <row r="37" spans="1:60" ht="15.75" customHeight="1" x14ac:dyDescent="0.2">
      <c r="A37" s="11">
        <v>36</v>
      </c>
      <c r="B37" s="12">
        <v>1994</v>
      </c>
      <c r="C37" s="13" t="s">
        <v>121</v>
      </c>
      <c r="D37" s="14" t="s">
        <v>122</v>
      </c>
      <c r="E37" s="23">
        <v>2004</v>
      </c>
      <c r="F37" s="23">
        <v>2006</v>
      </c>
      <c r="G37" s="13" t="s">
        <v>49</v>
      </c>
      <c r="H37" s="13"/>
      <c r="I37" s="13" t="s">
        <v>40</v>
      </c>
      <c r="J37" s="13" t="s">
        <v>40</v>
      </c>
      <c r="K37" s="14"/>
      <c r="L37" s="19">
        <v>100</v>
      </c>
      <c r="M37" s="20">
        <v>50</v>
      </c>
      <c r="N37" s="13" t="s">
        <v>50</v>
      </c>
      <c r="O37" s="14" t="s">
        <v>90</v>
      </c>
      <c r="P37" s="12">
        <f>IF(Q37="", 0, 1)</f>
        <v>1</v>
      </c>
      <c r="Q37" s="19">
        <v>64</v>
      </c>
      <c r="R37" s="17">
        <v>56.9</v>
      </c>
      <c r="S37" s="17"/>
      <c r="T37" s="17"/>
      <c r="U37" s="17"/>
      <c r="V37" s="17"/>
      <c r="W37" s="17"/>
      <c r="X37" s="17"/>
      <c r="Y37" s="17"/>
      <c r="Z37" s="17" t="str">
        <f>IF(T37="", "mean", "med")</f>
        <v>mean</v>
      </c>
      <c r="AA37" s="17">
        <f>IF(T37="", R37, T37)</f>
        <v>56.9</v>
      </c>
      <c r="AB37" s="12">
        <f>IF(AC37="", 0, 1)</f>
        <v>0</v>
      </c>
      <c r="AC37" s="13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>
        <f>IF(AO37="", 0, 1)</f>
        <v>0</v>
      </c>
      <c r="AO37" s="22"/>
      <c r="AP37" s="12"/>
      <c r="AQ37" s="12"/>
      <c r="AR37" s="22"/>
      <c r="AS37" s="12"/>
      <c r="AT37" s="12"/>
      <c r="AU37" s="12"/>
      <c r="AV37" s="12"/>
      <c r="AW37" s="12"/>
      <c r="AX37" s="12"/>
      <c r="AY37" s="12"/>
      <c r="AZ37" s="12" t="s">
        <v>52</v>
      </c>
      <c r="BA37" s="12" t="str">
        <f>IF(AZ37="high","high","lower")</f>
        <v>high</v>
      </c>
      <c r="BB37" s="49">
        <v>0.9</v>
      </c>
      <c r="BC37" s="12">
        <v>84</v>
      </c>
      <c r="BD37" s="12">
        <v>88</v>
      </c>
      <c r="BE37" s="12">
        <v>100</v>
      </c>
      <c r="BF37" s="12">
        <v>84.2</v>
      </c>
      <c r="BG37" s="18" t="s">
        <v>1030</v>
      </c>
      <c r="BH37" s="18" t="s">
        <v>1031</v>
      </c>
    </row>
    <row r="38" spans="1:60" ht="15.75" customHeight="1" x14ac:dyDescent="0.2">
      <c r="A38" s="11">
        <v>37</v>
      </c>
      <c r="B38" s="12">
        <v>1994</v>
      </c>
      <c r="C38" s="13" t="s">
        <v>121</v>
      </c>
      <c r="D38" s="14" t="s">
        <v>123</v>
      </c>
      <c r="E38" s="23">
        <v>2004</v>
      </c>
      <c r="F38" s="23">
        <v>2006</v>
      </c>
      <c r="G38" s="13" t="s">
        <v>49</v>
      </c>
      <c r="H38" s="13"/>
      <c r="I38" s="13" t="s">
        <v>40</v>
      </c>
      <c r="J38" s="13" t="s">
        <v>40</v>
      </c>
      <c r="K38" s="14"/>
      <c r="L38" s="19">
        <v>100</v>
      </c>
      <c r="M38" s="45">
        <v>58</v>
      </c>
      <c r="N38" s="13" t="s">
        <v>50</v>
      </c>
      <c r="O38" s="13" t="s">
        <v>90</v>
      </c>
      <c r="P38" s="12">
        <f>IF(Q38="", 0, 1)</f>
        <v>1</v>
      </c>
      <c r="Q38" s="15">
        <v>358</v>
      </c>
      <c r="R38" s="17">
        <v>38.1</v>
      </c>
      <c r="S38" s="17"/>
      <c r="T38" s="17"/>
      <c r="U38" s="17"/>
      <c r="V38" s="17"/>
      <c r="W38" s="17"/>
      <c r="X38" s="17"/>
      <c r="Y38" s="17"/>
      <c r="Z38" s="17" t="str">
        <f>IF(T38="", "mean", "med")</f>
        <v>mean</v>
      </c>
      <c r="AA38" s="17">
        <f>IF(T38="", R38, T38)</f>
        <v>38.1</v>
      </c>
      <c r="AB38" s="12">
        <f>IF(AC38="", 0, 1)</f>
        <v>0</v>
      </c>
      <c r="AC38" s="13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>
        <f>IF(AO38="", 0, 1)</f>
        <v>0</v>
      </c>
      <c r="AO38" s="22"/>
      <c r="AP38" s="12"/>
      <c r="AQ38" s="12"/>
      <c r="AR38" s="22"/>
      <c r="AS38" s="12"/>
      <c r="AT38" s="12"/>
      <c r="AU38" s="12"/>
      <c r="AV38" s="12"/>
      <c r="AW38" s="12"/>
      <c r="AX38" s="12"/>
      <c r="AY38" s="12"/>
      <c r="AZ38" s="12" t="s">
        <v>52</v>
      </c>
      <c r="BA38" s="12" t="str">
        <f>IF(AZ38="high","high","lower")</f>
        <v>high</v>
      </c>
      <c r="BB38" s="49">
        <v>0.9</v>
      </c>
      <c r="BC38" s="12">
        <v>84</v>
      </c>
      <c r="BD38" s="12">
        <v>88</v>
      </c>
      <c r="BE38" s="12">
        <v>100</v>
      </c>
      <c r="BF38" s="12">
        <v>84.2</v>
      </c>
      <c r="BG38" s="18" t="s">
        <v>1030</v>
      </c>
      <c r="BH38" s="18" t="s">
        <v>1031</v>
      </c>
    </row>
    <row r="39" spans="1:60" ht="15.75" customHeight="1" x14ac:dyDescent="0.2">
      <c r="A39" s="11">
        <v>38</v>
      </c>
      <c r="B39" s="12">
        <v>2010</v>
      </c>
      <c r="C39" s="13" t="s">
        <v>124</v>
      </c>
      <c r="D39" s="13" t="s">
        <v>38</v>
      </c>
      <c r="E39" s="23">
        <v>2010</v>
      </c>
      <c r="F39" s="23">
        <v>2011</v>
      </c>
      <c r="G39" s="13" t="s">
        <v>125</v>
      </c>
      <c r="H39" s="13"/>
      <c r="I39" s="13" t="s">
        <v>59</v>
      </c>
      <c r="J39" s="13" t="s">
        <v>60</v>
      </c>
      <c r="K39" s="13"/>
      <c r="L39" s="15">
        <v>0</v>
      </c>
      <c r="M39" s="16">
        <v>67.8</v>
      </c>
      <c r="N39" s="13" t="s">
        <v>42</v>
      </c>
      <c r="O39" s="14" t="s">
        <v>41</v>
      </c>
      <c r="P39" s="12">
        <f>IF(Q39="", 0, 1)</f>
        <v>1</v>
      </c>
      <c r="Q39" s="19">
        <v>470</v>
      </c>
      <c r="R39" s="17"/>
      <c r="S39" s="17"/>
      <c r="T39" s="17">
        <v>75</v>
      </c>
      <c r="U39" s="17"/>
      <c r="V39" s="17"/>
      <c r="W39" s="17">
        <v>78</v>
      </c>
      <c r="X39" s="17"/>
      <c r="Y39" s="17"/>
      <c r="Z39" s="17" t="str">
        <f>IF(T39="", "mean", "med")</f>
        <v>med</v>
      </c>
      <c r="AA39" s="17">
        <f>IF(T39="", R39, T39)</f>
        <v>75</v>
      </c>
      <c r="AB39" s="12">
        <f>IF(AC39="", 0, 1)</f>
        <v>1</v>
      </c>
      <c r="AC39" s="13">
        <v>470</v>
      </c>
      <c r="AD39" s="12"/>
      <c r="AE39" s="12"/>
      <c r="AF39" s="12">
        <v>89</v>
      </c>
      <c r="AG39" s="12"/>
      <c r="AH39" s="12"/>
      <c r="AI39" s="12">
        <v>123.5</v>
      </c>
      <c r="AJ39" s="12"/>
      <c r="AK39" s="12"/>
      <c r="AL39" s="12" t="str">
        <f>IF(AF39="", "mean", "med")</f>
        <v>med</v>
      </c>
      <c r="AM39" s="12">
        <f>IF(AF39="", AD39, AF39)</f>
        <v>89</v>
      </c>
      <c r="AN39" s="12">
        <f>IF(AO39="", 0, 1)</f>
        <v>1</v>
      </c>
      <c r="AO39" s="12">
        <f>55+242+56</f>
        <v>353</v>
      </c>
      <c r="AP39" s="12"/>
      <c r="AQ39" s="12"/>
      <c r="AR39" s="12">
        <v>110</v>
      </c>
      <c r="AS39" s="12"/>
      <c r="AT39" s="12"/>
      <c r="AU39" s="12">
        <v>174</v>
      </c>
      <c r="AV39" s="12"/>
      <c r="AW39" s="12"/>
      <c r="AX39" s="12" t="str">
        <f>IF(AR39="", "mean", "med")</f>
        <v>med</v>
      </c>
      <c r="AY39" s="12">
        <f>IF(AR39="", AP39, AR39)</f>
        <v>110</v>
      </c>
      <c r="AZ39" s="12" t="s">
        <v>52</v>
      </c>
      <c r="BA39" s="12" t="str">
        <f>IF(AZ39="high","high","lower")</f>
        <v>high</v>
      </c>
      <c r="BB39" s="49">
        <v>0.875</v>
      </c>
      <c r="BC39" s="12">
        <v>84</v>
      </c>
      <c r="BD39" s="12">
        <v>89.7</v>
      </c>
      <c r="BE39" s="12">
        <v>70.8</v>
      </c>
      <c r="BF39" s="12">
        <v>89.2</v>
      </c>
      <c r="BG39" s="18" t="s">
        <v>1032</v>
      </c>
      <c r="BH39" s="18" t="s">
        <v>1033</v>
      </c>
    </row>
    <row r="40" spans="1:60" ht="15.75" customHeight="1" x14ac:dyDescent="0.2">
      <c r="A40" s="11">
        <v>39</v>
      </c>
      <c r="B40" s="12">
        <v>2012</v>
      </c>
      <c r="C40" s="13" t="s">
        <v>126</v>
      </c>
      <c r="D40" s="13" t="s">
        <v>38</v>
      </c>
      <c r="E40" s="23">
        <v>1996</v>
      </c>
      <c r="F40" s="23">
        <v>2006</v>
      </c>
      <c r="G40" s="13" t="s">
        <v>77</v>
      </c>
      <c r="H40" s="13"/>
      <c r="I40" s="13" t="s">
        <v>70</v>
      </c>
      <c r="J40" s="13" t="s">
        <v>119</v>
      </c>
      <c r="K40" s="13" t="s">
        <v>127</v>
      </c>
      <c r="L40" s="15">
        <v>63</v>
      </c>
      <c r="M40" s="16">
        <v>67</v>
      </c>
      <c r="N40" s="13" t="s">
        <v>42</v>
      </c>
      <c r="O40" s="13" t="s">
        <v>128</v>
      </c>
      <c r="P40" s="12">
        <f>IF(Q40="", 0, 1)</f>
        <v>1</v>
      </c>
      <c r="Q40" s="15">
        <v>87</v>
      </c>
      <c r="R40" s="17">
        <v>30</v>
      </c>
      <c r="S40" s="17"/>
      <c r="T40" s="17"/>
      <c r="U40" s="17"/>
      <c r="V40" s="17"/>
      <c r="W40" s="17"/>
      <c r="X40" s="17"/>
      <c r="Y40" s="17"/>
      <c r="Z40" s="17" t="str">
        <f>IF(T40="", "mean", "med")</f>
        <v>mean</v>
      </c>
      <c r="AA40" s="17">
        <f>IF(T40="", R40, T40)</f>
        <v>30</v>
      </c>
      <c r="AB40" s="12">
        <f>IF(AC40="", 0, 1)</f>
        <v>0</v>
      </c>
      <c r="AC40" s="13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>
        <f>IF(AO40="", 0, 1)</f>
        <v>1</v>
      </c>
      <c r="AO40" s="12">
        <v>87</v>
      </c>
      <c r="AP40" s="12">
        <v>1860</v>
      </c>
      <c r="AQ40" s="12"/>
      <c r="AR40" s="12"/>
      <c r="AS40" s="12"/>
      <c r="AT40" s="12"/>
      <c r="AU40" s="12"/>
      <c r="AV40" s="12">
        <v>30</v>
      </c>
      <c r="AW40" s="56">
        <f>30*12*30</f>
        <v>10800</v>
      </c>
      <c r="AX40" s="12" t="str">
        <f>IF(AR40="", "mean", "med")</f>
        <v>mean</v>
      </c>
      <c r="AY40" s="12">
        <f>IF(AR40="", AP40, AR40)</f>
        <v>1860</v>
      </c>
      <c r="AZ40" s="12" t="s">
        <v>52</v>
      </c>
      <c r="BA40" s="12" t="str">
        <f>IF(AZ40="high","high","lower")</f>
        <v>high</v>
      </c>
      <c r="BB40" s="49">
        <v>0.89600000000000002</v>
      </c>
      <c r="BC40" s="12">
        <v>85.3</v>
      </c>
      <c r="BD40" s="12">
        <v>96.3</v>
      </c>
      <c r="BE40" s="12">
        <v>91.7</v>
      </c>
      <c r="BF40" s="12">
        <v>80</v>
      </c>
      <c r="BG40" s="18" t="s">
        <v>1032</v>
      </c>
      <c r="BH40" s="18" t="s">
        <v>1033</v>
      </c>
    </row>
    <row r="41" spans="1:60" ht="15.75" customHeight="1" x14ac:dyDescent="0.2">
      <c r="A41" s="11">
        <v>40</v>
      </c>
      <c r="B41" s="22">
        <v>2040</v>
      </c>
      <c r="C41" s="13" t="s">
        <v>129</v>
      </c>
      <c r="D41" s="13" t="s">
        <v>130</v>
      </c>
      <c r="E41" s="23">
        <v>2005</v>
      </c>
      <c r="F41" s="23">
        <v>2014</v>
      </c>
      <c r="G41" s="13" t="s">
        <v>131</v>
      </c>
      <c r="H41" s="13"/>
      <c r="I41" s="13" t="s">
        <v>54</v>
      </c>
      <c r="J41" s="13" t="s">
        <v>226</v>
      </c>
      <c r="K41" s="14"/>
      <c r="L41" s="15">
        <v>37</v>
      </c>
      <c r="M41" s="16">
        <v>62.6</v>
      </c>
      <c r="N41" s="13" t="s">
        <v>42</v>
      </c>
      <c r="O41" s="14" t="s">
        <v>130</v>
      </c>
      <c r="P41" s="12">
        <f>IF(Q41="", 0, 1)</f>
        <v>1</v>
      </c>
      <c r="Q41" s="15">
        <f>1701-215</f>
        <v>1486</v>
      </c>
      <c r="R41" s="17"/>
      <c r="S41" s="17"/>
      <c r="T41" s="17">
        <f>4.6*7</f>
        <v>32.199999999999996</v>
      </c>
      <c r="U41" s="17">
        <f>3.4*7</f>
        <v>23.8</v>
      </c>
      <c r="V41" s="17">
        <f>6*7</f>
        <v>42</v>
      </c>
      <c r="W41" s="17"/>
      <c r="X41" s="17"/>
      <c r="Y41" s="17"/>
      <c r="Z41" s="17" t="str">
        <f>IF(T41="", "mean", "med")</f>
        <v>med</v>
      </c>
      <c r="AA41" s="17">
        <f>IF(T41="", R41, T41)</f>
        <v>32.199999999999996</v>
      </c>
      <c r="AB41" s="12">
        <f>IF(AC41="", 0, 1)</f>
        <v>0</v>
      </c>
      <c r="AC41" s="13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>
        <f>IF(AO41="", 0, 1)</f>
        <v>0</v>
      </c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 t="s">
        <v>52</v>
      </c>
      <c r="BA41" s="12" t="str">
        <f>IF(AZ41="high","high","lower")</f>
        <v>high</v>
      </c>
      <c r="BB41" s="49">
        <v>0.91700000000000004</v>
      </c>
      <c r="BC41" s="12">
        <v>89.9</v>
      </c>
      <c r="BD41" s="12">
        <v>94</v>
      </c>
      <c r="BE41" s="12">
        <v>100</v>
      </c>
      <c r="BF41" s="12">
        <v>92.1</v>
      </c>
      <c r="BG41" s="18" t="s">
        <v>1034</v>
      </c>
      <c r="BH41" s="18" t="s">
        <v>1031</v>
      </c>
    </row>
    <row r="42" spans="1:60" ht="15.75" customHeight="1" x14ac:dyDescent="0.2">
      <c r="A42" s="11">
        <v>41</v>
      </c>
      <c r="B42" s="22">
        <v>2040</v>
      </c>
      <c r="C42" s="13" t="s">
        <v>129</v>
      </c>
      <c r="D42" s="13" t="s">
        <v>90</v>
      </c>
      <c r="E42" s="23">
        <v>2005</v>
      </c>
      <c r="F42" s="23">
        <v>2014</v>
      </c>
      <c r="G42" s="13" t="s">
        <v>131</v>
      </c>
      <c r="H42" s="13"/>
      <c r="I42" s="13" t="s">
        <v>54</v>
      </c>
      <c r="J42" s="13" t="s">
        <v>226</v>
      </c>
      <c r="K42" s="13"/>
      <c r="L42" s="15">
        <v>40</v>
      </c>
      <c r="M42" s="16">
        <v>73.5</v>
      </c>
      <c r="N42" s="13" t="s">
        <v>42</v>
      </c>
      <c r="O42" s="13" t="s">
        <v>90</v>
      </c>
      <c r="P42" s="12">
        <f>IF(Q42="", 0, 1)</f>
        <v>1</v>
      </c>
      <c r="Q42" s="19">
        <v>2077</v>
      </c>
      <c r="R42" s="21"/>
      <c r="S42" s="21"/>
      <c r="T42" s="17">
        <f>6*7</f>
        <v>42</v>
      </c>
      <c r="U42" s="17">
        <f>4.3*7</f>
        <v>30.099999999999998</v>
      </c>
      <c r="V42" s="17">
        <f>8.4*7</f>
        <v>58.800000000000004</v>
      </c>
      <c r="W42" s="17"/>
      <c r="X42" s="17"/>
      <c r="Y42" s="17"/>
      <c r="Z42" s="17" t="str">
        <f>IF(T42="", "mean", "med")</f>
        <v>med</v>
      </c>
      <c r="AA42" s="17">
        <f>IF(T42="", R42, T42)</f>
        <v>42</v>
      </c>
      <c r="AB42" s="12">
        <f>IF(AC42="", 0, 1)</f>
        <v>0</v>
      </c>
      <c r="AC42" s="13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>
        <f>IF(AO42="", 0, 1)</f>
        <v>0</v>
      </c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 t="s">
        <v>52</v>
      </c>
      <c r="BA42" s="12" t="str">
        <f>IF(AZ42="high","high","lower")</f>
        <v>high</v>
      </c>
      <c r="BB42" s="49">
        <v>0.91700000000000004</v>
      </c>
      <c r="BC42" s="12">
        <v>89.9</v>
      </c>
      <c r="BD42" s="12">
        <v>94</v>
      </c>
      <c r="BE42" s="12">
        <v>100</v>
      </c>
      <c r="BF42" s="12">
        <v>92.1</v>
      </c>
      <c r="BG42" s="18" t="s">
        <v>1034</v>
      </c>
      <c r="BH42" s="18" t="s">
        <v>1031</v>
      </c>
    </row>
    <row r="43" spans="1:60" ht="15.75" customHeight="1" x14ac:dyDescent="0.2">
      <c r="A43" s="11">
        <v>42</v>
      </c>
      <c r="B43" s="12">
        <v>2047</v>
      </c>
      <c r="C43" s="13" t="s">
        <v>132</v>
      </c>
      <c r="D43" s="13" t="s">
        <v>38</v>
      </c>
      <c r="E43" s="23">
        <v>1999</v>
      </c>
      <c r="F43" s="23">
        <v>2009</v>
      </c>
      <c r="G43" s="13" t="s">
        <v>131</v>
      </c>
      <c r="H43" s="13"/>
      <c r="I43" s="13" t="s">
        <v>57</v>
      </c>
      <c r="J43" s="13" t="s">
        <v>58</v>
      </c>
      <c r="K43" s="13"/>
      <c r="L43" s="15" t="s">
        <v>41</v>
      </c>
      <c r="M43" s="16" t="s">
        <v>41</v>
      </c>
      <c r="N43" s="13" t="s">
        <v>42</v>
      </c>
      <c r="O43" s="14" t="s">
        <v>41</v>
      </c>
      <c r="P43" s="12">
        <f>IF(Q43="", 0, 1)</f>
        <v>1</v>
      </c>
      <c r="Q43" s="19">
        <v>215</v>
      </c>
      <c r="R43" s="21"/>
      <c r="S43" s="17"/>
      <c r="T43" s="17">
        <v>19</v>
      </c>
      <c r="U43" s="17">
        <v>6.5</v>
      </c>
      <c r="V43" s="17">
        <v>27</v>
      </c>
      <c r="W43" s="17"/>
      <c r="X43" s="17"/>
      <c r="Y43" s="17"/>
      <c r="Z43" s="17" t="str">
        <f>IF(T43="", "mean", "med")</f>
        <v>med</v>
      </c>
      <c r="AA43" s="17">
        <f>IF(T43="", R43, T43)</f>
        <v>19</v>
      </c>
      <c r="AB43" s="12">
        <f>IF(AC43="", 0, 1)</f>
        <v>0</v>
      </c>
      <c r="AC43" s="13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>
        <f>IF(AO43="", 0, 1)</f>
        <v>1</v>
      </c>
      <c r="AO43" s="12">
        <v>63</v>
      </c>
      <c r="AP43" s="12"/>
      <c r="AQ43" s="12"/>
      <c r="AR43" s="12">
        <v>22</v>
      </c>
      <c r="AS43" s="12">
        <v>7</v>
      </c>
      <c r="AT43" s="12">
        <v>78</v>
      </c>
      <c r="AU43" s="12"/>
      <c r="AV43" s="12"/>
      <c r="AW43" s="12"/>
      <c r="AX43" s="12" t="str">
        <f>IF(AR43="", "mean", "med")</f>
        <v>med</v>
      </c>
      <c r="AY43" s="12">
        <f>IF(AR43="", AP43, AR43)</f>
        <v>22</v>
      </c>
      <c r="AZ43" s="12" t="s">
        <v>52</v>
      </c>
      <c r="BA43" s="12" t="str">
        <f>IF(AZ43="high","high","lower")</f>
        <v>high</v>
      </c>
      <c r="BB43" s="49">
        <v>0.89500000000000002</v>
      </c>
      <c r="BC43" s="12">
        <v>89.9</v>
      </c>
      <c r="BD43" s="12">
        <v>94</v>
      </c>
      <c r="BE43" s="12">
        <v>100</v>
      </c>
      <c r="BF43" s="12">
        <v>92.1</v>
      </c>
      <c r="BG43" s="18" t="s">
        <v>1030</v>
      </c>
      <c r="BH43" s="18" t="s">
        <v>1031</v>
      </c>
    </row>
    <row r="44" spans="1:60" ht="15.75" customHeight="1" x14ac:dyDescent="0.2">
      <c r="A44" s="11">
        <v>43</v>
      </c>
      <c r="B44" s="12">
        <v>2053</v>
      </c>
      <c r="C44" s="13" t="s">
        <v>133</v>
      </c>
      <c r="D44" s="14" t="s">
        <v>38</v>
      </c>
      <c r="E44" s="23">
        <v>1999</v>
      </c>
      <c r="F44" s="23">
        <v>2010</v>
      </c>
      <c r="G44" s="13" t="s">
        <v>134</v>
      </c>
      <c r="H44" s="13"/>
      <c r="I44" s="13" t="s">
        <v>94</v>
      </c>
      <c r="J44" s="13" t="s">
        <v>95</v>
      </c>
      <c r="K44" s="13" t="s">
        <v>135</v>
      </c>
      <c r="L44" s="15">
        <v>46</v>
      </c>
      <c r="M44" s="16">
        <v>36</v>
      </c>
      <c r="N44" s="13" t="s">
        <v>42</v>
      </c>
      <c r="O44" s="13" t="s">
        <v>136</v>
      </c>
      <c r="P44" s="12">
        <f>IF(Q44="", 0, 1)</f>
        <v>1</v>
      </c>
      <c r="Q44" s="15">
        <v>810</v>
      </c>
      <c r="R44" s="21"/>
      <c r="S44" s="17"/>
      <c r="T44" s="17">
        <v>29</v>
      </c>
      <c r="U44" s="17"/>
      <c r="V44" s="17"/>
      <c r="W44" s="17"/>
      <c r="X44" s="17">
        <v>0</v>
      </c>
      <c r="Y44" s="17">
        <v>333</v>
      </c>
      <c r="Z44" s="17" t="str">
        <f>IF(T44="", "mean", "med")</f>
        <v>med</v>
      </c>
      <c r="AA44" s="17">
        <f>IF(T44="", R44, T44)</f>
        <v>29</v>
      </c>
      <c r="AB44" s="12">
        <f>IF(AC44="", 0, 1)</f>
        <v>0</v>
      </c>
      <c r="AC44" s="13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>
        <f>IF(AO44="", 0, 1)</f>
        <v>0</v>
      </c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 t="s">
        <v>52</v>
      </c>
      <c r="BA44" s="12" t="str">
        <f>IF(AZ44="high","high","lower")</f>
        <v>high</v>
      </c>
      <c r="BB44" s="49">
        <v>0.88600000000000001</v>
      </c>
      <c r="BC44" s="12">
        <v>84.8</v>
      </c>
      <c r="BD44" s="12">
        <v>94</v>
      </c>
      <c r="BE44" s="12">
        <v>100</v>
      </c>
      <c r="BF44" s="12">
        <v>82.2</v>
      </c>
      <c r="BG44" s="18" t="s">
        <v>1030</v>
      </c>
      <c r="BH44" s="18" t="s">
        <v>1031</v>
      </c>
    </row>
    <row r="45" spans="1:60" ht="15.75" customHeight="1" x14ac:dyDescent="0.2">
      <c r="A45" s="11">
        <v>44</v>
      </c>
      <c r="B45" s="12">
        <v>2058</v>
      </c>
      <c r="C45" s="13" t="s">
        <v>137</v>
      </c>
      <c r="D45" s="14" t="s">
        <v>38</v>
      </c>
      <c r="E45" s="23">
        <v>2006</v>
      </c>
      <c r="F45" s="23">
        <v>2010</v>
      </c>
      <c r="G45" s="13" t="s">
        <v>131</v>
      </c>
      <c r="H45" s="13"/>
      <c r="I45" s="13" t="s">
        <v>59</v>
      </c>
      <c r="J45" s="13" t="s">
        <v>82</v>
      </c>
      <c r="K45" s="13"/>
      <c r="L45" s="15">
        <v>25.6</v>
      </c>
      <c r="M45" s="16" t="s">
        <v>41</v>
      </c>
      <c r="N45" s="13" t="s">
        <v>42</v>
      </c>
      <c r="O45" s="14" t="s">
        <v>138</v>
      </c>
      <c r="P45" s="12">
        <f>IF(Q45="", 0, 1)</f>
        <v>1</v>
      </c>
      <c r="Q45" s="19">
        <v>1782</v>
      </c>
      <c r="R45" s="17"/>
      <c r="S45" s="17"/>
      <c r="T45" s="17">
        <v>50</v>
      </c>
      <c r="U45" s="17"/>
      <c r="V45" s="17"/>
      <c r="W45" s="17">
        <v>27</v>
      </c>
      <c r="X45" s="17">
        <v>1</v>
      </c>
      <c r="Y45" s="17">
        <v>295</v>
      </c>
      <c r="Z45" s="17" t="str">
        <f>IF(T45="", "mean", "med")</f>
        <v>med</v>
      </c>
      <c r="AA45" s="17">
        <f>IF(T45="", R45, T45)</f>
        <v>50</v>
      </c>
      <c r="AB45" s="12">
        <f>IF(AC45="", 0, 1)</f>
        <v>0</v>
      </c>
      <c r="AC45" s="13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>
        <f>IF(AO45="", 0, 1)</f>
        <v>0</v>
      </c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 t="s">
        <v>52</v>
      </c>
      <c r="BA45" s="12" t="str">
        <f>IF(AZ45="high","high","lower")</f>
        <v>high</v>
      </c>
      <c r="BB45" s="49">
        <v>0.91100000000000003</v>
      </c>
      <c r="BC45" s="12">
        <v>89.9</v>
      </c>
      <c r="BD45" s="12">
        <v>94</v>
      </c>
      <c r="BE45" s="12">
        <v>100</v>
      </c>
      <c r="BF45" s="12">
        <v>92.1</v>
      </c>
      <c r="BG45" s="18" t="s">
        <v>1030</v>
      </c>
      <c r="BH45" s="18" t="s">
        <v>1031</v>
      </c>
    </row>
    <row r="46" spans="1:60" ht="15.75" customHeight="1" x14ac:dyDescent="0.2">
      <c r="A46" s="11">
        <v>45</v>
      </c>
      <c r="B46" s="12">
        <v>2060</v>
      </c>
      <c r="C46" s="13" t="s">
        <v>139</v>
      </c>
      <c r="D46" s="13" t="s">
        <v>38</v>
      </c>
      <c r="E46" s="23">
        <v>2008</v>
      </c>
      <c r="F46" s="23">
        <v>2011</v>
      </c>
      <c r="G46" s="13" t="s">
        <v>140</v>
      </c>
      <c r="H46" s="13"/>
      <c r="I46" s="14" t="s">
        <v>40</v>
      </c>
      <c r="J46" s="13" t="s">
        <v>40</v>
      </c>
      <c r="K46" s="13"/>
      <c r="L46" s="19">
        <v>100</v>
      </c>
      <c r="M46" s="20" t="s">
        <v>41</v>
      </c>
      <c r="N46" s="13" t="s">
        <v>50</v>
      </c>
      <c r="O46" s="14"/>
      <c r="P46" s="12">
        <f>IF(Q46="", 0, 1)</f>
        <v>0</v>
      </c>
      <c r="Q46" s="12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2">
        <f>IF(AC46="", 0, 1)</f>
        <v>0</v>
      </c>
      <c r="AC46" s="13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>
        <f>IF(AO46="", 0, 1)</f>
        <v>1</v>
      </c>
      <c r="AO46" s="12">
        <v>260</v>
      </c>
      <c r="AP46" s="12">
        <f>12.5*7</f>
        <v>87.5</v>
      </c>
      <c r="AQ46" s="12">
        <f>25.6*7</f>
        <v>179.20000000000002</v>
      </c>
      <c r="AR46" s="12"/>
      <c r="AS46" s="12"/>
      <c r="AT46" s="12"/>
      <c r="AU46" s="12"/>
      <c r="AV46" s="12">
        <f>1*7</f>
        <v>7</v>
      </c>
      <c r="AW46" s="12">
        <f>218*7</f>
        <v>1526</v>
      </c>
      <c r="AX46" s="12" t="str">
        <f>IF(AR46="", "mean", "med")</f>
        <v>mean</v>
      </c>
      <c r="AY46" s="12">
        <f>IF(AR46="", AP46, AR46)</f>
        <v>87.5</v>
      </c>
      <c r="AZ46" s="49" t="s">
        <v>52</v>
      </c>
      <c r="BA46" s="49" t="str">
        <f>IF(AZ46="high","high","lower")</f>
        <v>high</v>
      </c>
      <c r="BB46" s="49">
        <v>0.83699999999999997</v>
      </c>
      <c r="BC46" s="49"/>
      <c r="BD46" s="49"/>
      <c r="BE46" s="49"/>
      <c r="BF46" s="49"/>
      <c r="BG46" s="18" t="s">
        <v>1030</v>
      </c>
      <c r="BH46" s="18" t="s">
        <v>1031</v>
      </c>
    </row>
    <row r="47" spans="1:60" ht="15.75" customHeight="1" x14ac:dyDescent="0.2">
      <c r="A47" s="11">
        <v>46</v>
      </c>
      <c r="B47" s="12">
        <v>2093</v>
      </c>
      <c r="C47" s="13" t="s">
        <v>141</v>
      </c>
      <c r="D47" s="14" t="s">
        <v>38</v>
      </c>
      <c r="E47" s="23">
        <v>1995</v>
      </c>
      <c r="F47" s="23">
        <v>2007</v>
      </c>
      <c r="G47" s="13" t="s">
        <v>49</v>
      </c>
      <c r="H47" s="13"/>
      <c r="I47" s="13" t="s">
        <v>79</v>
      </c>
      <c r="J47" s="13" t="s">
        <v>79</v>
      </c>
      <c r="K47" s="13"/>
      <c r="L47" s="19">
        <v>18.5</v>
      </c>
      <c r="M47" s="16" t="s">
        <v>41</v>
      </c>
      <c r="N47" s="13" t="s">
        <v>42</v>
      </c>
      <c r="O47" s="14" t="s">
        <v>142</v>
      </c>
      <c r="P47" s="12">
        <f>IF(Q47="", 0, 1)</f>
        <v>1</v>
      </c>
      <c r="Q47" s="15">
        <v>427</v>
      </c>
      <c r="R47" s="17">
        <v>43.09</v>
      </c>
      <c r="S47" s="17"/>
      <c r="T47" s="17">
        <v>34</v>
      </c>
      <c r="U47" s="17"/>
      <c r="V47" s="17"/>
      <c r="W47" s="17">
        <v>7</v>
      </c>
      <c r="X47" s="17">
        <v>441</v>
      </c>
      <c r="Y47" s="17"/>
      <c r="Z47" s="17" t="str">
        <f>IF(T47="", "mean", "med")</f>
        <v>med</v>
      </c>
      <c r="AA47" s="17">
        <f>IF(T47="", R47, T47)</f>
        <v>34</v>
      </c>
      <c r="AB47" s="12">
        <f>IF(AC47="", 0, 1)</f>
        <v>0</v>
      </c>
      <c r="AC47" s="13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>
        <f>IF(AO47="", 0, 1)</f>
        <v>0</v>
      </c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 t="s">
        <v>52</v>
      </c>
      <c r="BA47" s="12" t="str">
        <f>IF(AZ47="high","high","lower")</f>
        <v>high</v>
      </c>
      <c r="BB47" s="49">
        <v>0.89200000000000002</v>
      </c>
      <c r="BC47" s="12">
        <v>84</v>
      </c>
      <c r="BD47" s="12">
        <v>88</v>
      </c>
      <c r="BE47" s="12">
        <v>100</v>
      </c>
      <c r="BF47" s="12">
        <v>84.2</v>
      </c>
      <c r="BG47" s="18" t="s">
        <v>1030</v>
      </c>
      <c r="BH47" s="18" t="s">
        <v>1031</v>
      </c>
    </row>
    <row r="48" spans="1:60" ht="15.75" customHeight="1" x14ac:dyDescent="0.2">
      <c r="A48" s="11">
        <v>47</v>
      </c>
      <c r="B48" s="12">
        <v>2096</v>
      </c>
      <c r="C48" s="13" t="s">
        <v>143</v>
      </c>
      <c r="D48" s="13" t="s">
        <v>38</v>
      </c>
      <c r="E48" s="23">
        <v>2007</v>
      </c>
      <c r="F48" s="23">
        <v>2009</v>
      </c>
      <c r="G48" s="13" t="s">
        <v>125</v>
      </c>
      <c r="H48" s="13"/>
      <c r="I48" s="13" t="s">
        <v>54</v>
      </c>
      <c r="J48" s="13" t="s">
        <v>55</v>
      </c>
      <c r="K48" s="14"/>
      <c r="L48" s="15">
        <v>46.1</v>
      </c>
      <c r="M48" s="16">
        <v>71</v>
      </c>
      <c r="N48" s="13" t="s">
        <v>50</v>
      </c>
      <c r="O48" s="13"/>
      <c r="P48" s="12">
        <f>IF(Q48="", 0, 1)</f>
        <v>0</v>
      </c>
      <c r="Q48" s="15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2">
        <f>IF(AC48="", 0, 1)</f>
        <v>0</v>
      </c>
      <c r="AC48" s="13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>
        <f>IF(AO48="", 0, 1)</f>
        <v>1</v>
      </c>
      <c r="AO48" s="12">
        <v>152</v>
      </c>
      <c r="AP48" s="12">
        <f>2.75*30</f>
        <v>82.5</v>
      </c>
      <c r="AQ48" s="12"/>
      <c r="AR48" s="12"/>
      <c r="AS48" s="12"/>
      <c r="AT48" s="12"/>
      <c r="AU48" s="12"/>
      <c r="AV48" s="12"/>
      <c r="AW48" s="12"/>
      <c r="AX48" s="12" t="str">
        <f>IF(AR48="", "mean", "med")</f>
        <v>mean</v>
      </c>
      <c r="AY48" s="12">
        <f>IF(AR48="", AP48, AR48)</f>
        <v>82.5</v>
      </c>
      <c r="AZ48" s="12" t="s">
        <v>52</v>
      </c>
      <c r="BA48" s="12" t="str">
        <f>IF(AZ48="high","high","lower")</f>
        <v>high</v>
      </c>
      <c r="BB48" s="49">
        <v>0.86299999999999999</v>
      </c>
      <c r="BC48" s="12">
        <v>84</v>
      </c>
      <c r="BD48" s="12">
        <v>89.7</v>
      </c>
      <c r="BE48" s="12">
        <v>70.8</v>
      </c>
      <c r="BF48" s="12">
        <v>89.2</v>
      </c>
      <c r="BG48" s="18" t="s">
        <v>1032</v>
      </c>
      <c r="BH48" s="18" t="s">
        <v>1033</v>
      </c>
    </row>
    <row r="49" spans="1:60" ht="15.75" customHeight="1" x14ac:dyDescent="0.2">
      <c r="A49" s="11">
        <v>48</v>
      </c>
      <c r="B49" s="12">
        <v>2103</v>
      </c>
      <c r="C49" s="13" t="s">
        <v>144</v>
      </c>
      <c r="D49" s="13" t="s">
        <v>38</v>
      </c>
      <c r="E49" s="23">
        <v>2002</v>
      </c>
      <c r="F49" s="23">
        <v>2008</v>
      </c>
      <c r="G49" s="13" t="s">
        <v>145</v>
      </c>
      <c r="H49" s="13"/>
      <c r="I49" s="13" t="s">
        <v>57</v>
      </c>
      <c r="J49" s="13" t="s">
        <v>58</v>
      </c>
      <c r="K49" s="13"/>
      <c r="L49" s="15">
        <f>26/165*100</f>
        <v>15.757575757575756</v>
      </c>
      <c r="M49" s="20">
        <f>(139*57.6+26*53.5)/165</f>
        <v>56.9539393939394</v>
      </c>
      <c r="N49" s="13" t="s">
        <v>42</v>
      </c>
      <c r="O49" s="13" t="s">
        <v>136</v>
      </c>
      <c r="P49" s="12">
        <f>IF(Q49="", 0, 1)</f>
        <v>1</v>
      </c>
      <c r="Q49" s="15">
        <v>165</v>
      </c>
      <c r="R49" s="17"/>
      <c r="S49" s="17"/>
      <c r="T49" s="17">
        <v>20</v>
      </c>
      <c r="U49" s="17"/>
      <c r="V49" s="17"/>
      <c r="W49" s="17"/>
      <c r="X49" s="17">
        <v>1</v>
      </c>
      <c r="Y49" s="17">
        <v>380</v>
      </c>
      <c r="Z49" s="17" t="str">
        <f>IF(T49="", "mean", "med")</f>
        <v>med</v>
      </c>
      <c r="AA49" s="17">
        <f>IF(T49="", R49, T49)</f>
        <v>20</v>
      </c>
      <c r="AB49" s="12">
        <f>IF(AC49="", 0, 1)</f>
        <v>0</v>
      </c>
      <c r="AC49" s="13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>
        <f>IF(AO49="", 0, 1)</f>
        <v>0</v>
      </c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 t="s">
        <v>146</v>
      </c>
      <c r="BA49" s="12" t="str">
        <f>IF(AZ49="high","high","lower")</f>
        <v>lower</v>
      </c>
      <c r="BB49" s="49">
        <v>0.53600000000000003</v>
      </c>
      <c r="BC49" s="12">
        <v>64.900000000000006</v>
      </c>
      <c r="BD49" s="12">
        <v>80.8</v>
      </c>
      <c r="BE49" s="12">
        <v>58.3</v>
      </c>
      <c r="BF49" s="12">
        <v>61.3</v>
      </c>
      <c r="BG49" s="18" t="s">
        <v>1030</v>
      </c>
      <c r="BH49" s="18" t="s">
        <v>1031</v>
      </c>
    </row>
    <row r="50" spans="1:60" ht="15.75" customHeight="1" x14ac:dyDescent="0.2">
      <c r="A50" s="11">
        <v>49</v>
      </c>
      <c r="B50" s="12">
        <v>2130</v>
      </c>
      <c r="C50" s="13" t="s">
        <v>147</v>
      </c>
      <c r="D50" s="13" t="s">
        <v>38</v>
      </c>
      <c r="E50" s="23">
        <v>1996</v>
      </c>
      <c r="F50" s="23">
        <v>2000</v>
      </c>
      <c r="G50" s="13" t="s">
        <v>134</v>
      </c>
      <c r="H50" s="13"/>
      <c r="I50" s="13" t="s">
        <v>57</v>
      </c>
      <c r="J50" s="13" t="s">
        <v>58</v>
      </c>
      <c r="K50" s="13"/>
      <c r="L50" s="15">
        <v>41.4</v>
      </c>
      <c r="M50" s="16">
        <v>69.2</v>
      </c>
      <c r="N50" s="13" t="s">
        <v>42</v>
      </c>
      <c r="O50" s="13"/>
      <c r="P50" s="12">
        <f>IF(Q50="", 0, 1)</f>
        <v>0</v>
      </c>
      <c r="Q50" s="15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2">
        <f>IF(AC50="", 0, 1)</f>
        <v>1</v>
      </c>
      <c r="AC50" s="13">
        <v>2852</v>
      </c>
      <c r="AD50" s="12"/>
      <c r="AE50" s="12"/>
      <c r="AF50" s="12">
        <v>145</v>
      </c>
      <c r="AG50" s="12">
        <v>90</v>
      </c>
      <c r="AH50" s="12">
        <v>170</v>
      </c>
      <c r="AI50" s="12"/>
      <c r="AJ50" s="12"/>
      <c r="AK50" s="12"/>
      <c r="AL50" s="12" t="str">
        <f>IF(AF50="", "mean", "med")</f>
        <v>med</v>
      </c>
      <c r="AM50" s="12">
        <f>IF(AF50="", AD50, AF50)</f>
        <v>145</v>
      </c>
      <c r="AN50" s="12">
        <f>IF(AO50="", 0, 1)</f>
        <v>0</v>
      </c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 t="s">
        <v>52</v>
      </c>
      <c r="BA50" s="12" t="str">
        <f>IF(AZ50="high","high","lower")</f>
        <v>high</v>
      </c>
      <c r="BB50" s="49">
        <v>0.86399999999999999</v>
      </c>
      <c r="BC50" s="12">
        <v>84.8</v>
      </c>
      <c r="BD50" s="12">
        <v>94</v>
      </c>
      <c r="BE50" s="12">
        <v>100</v>
      </c>
      <c r="BF50" s="12">
        <v>82.2</v>
      </c>
      <c r="BG50" s="18" t="s">
        <v>1034</v>
      </c>
      <c r="BH50" s="18" t="s">
        <v>1031</v>
      </c>
    </row>
    <row r="51" spans="1:60" ht="15.75" customHeight="1" x14ac:dyDescent="0.2">
      <c r="A51" s="11">
        <v>50</v>
      </c>
      <c r="B51" s="12">
        <v>2133</v>
      </c>
      <c r="C51" s="13" t="s">
        <v>148</v>
      </c>
      <c r="D51" s="13" t="s">
        <v>38</v>
      </c>
      <c r="E51" s="23">
        <v>2010</v>
      </c>
      <c r="F51" s="23">
        <v>2017</v>
      </c>
      <c r="G51" s="13" t="s">
        <v>49</v>
      </c>
      <c r="H51" s="13"/>
      <c r="I51" s="13" t="s">
        <v>40</v>
      </c>
      <c r="J51" s="13" t="s">
        <v>40</v>
      </c>
      <c r="K51" s="13"/>
      <c r="L51" s="15">
        <v>100</v>
      </c>
      <c r="M51" s="16">
        <v>37</v>
      </c>
      <c r="N51" s="13" t="s">
        <v>42</v>
      </c>
      <c r="O51" s="13" t="s">
        <v>149</v>
      </c>
      <c r="P51" s="12">
        <f>IF(Q51="", 0, 1)</f>
        <v>1</v>
      </c>
      <c r="Q51" s="15">
        <v>82</v>
      </c>
      <c r="R51" s="17">
        <v>40</v>
      </c>
      <c r="S51" s="17"/>
      <c r="T51" s="17">
        <v>36</v>
      </c>
      <c r="U51" s="17"/>
      <c r="V51" s="17"/>
      <c r="W51" s="17"/>
      <c r="X51" s="17">
        <v>14</v>
      </c>
      <c r="Y51" s="17">
        <v>109</v>
      </c>
      <c r="Z51" s="17" t="str">
        <f>IF(T51="", "mean", "med")</f>
        <v>med</v>
      </c>
      <c r="AA51" s="17">
        <f>IF(T51="", R51, T51)</f>
        <v>36</v>
      </c>
      <c r="AB51" s="12">
        <f>IF(AC51="", 0, 1)</f>
        <v>0</v>
      </c>
      <c r="AC51" s="13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>
        <f>IF(AO51="", 0, 1)</f>
        <v>0</v>
      </c>
      <c r="AO51" s="12"/>
      <c r="AP51" s="12"/>
      <c r="AQ51" s="12"/>
      <c r="AR51" s="12"/>
      <c r="AS51" s="12"/>
      <c r="AT51" s="12"/>
      <c r="AU51" s="12"/>
      <c r="AV51" s="12"/>
      <c r="AW51" s="22"/>
      <c r="AX51" s="12"/>
      <c r="AY51" s="12"/>
      <c r="AZ51" s="12" t="s">
        <v>52</v>
      </c>
      <c r="BA51" s="12" t="str">
        <f>IF(AZ51="high","high","lower")</f>
        <v>high</v>
      </c>
      <c r="BB51" s="49">
        <v>0.92</v>
      </c>
      <c r="BC51" s="12">
        <v>84</v>
      </c>
      <c r="BD51" s="12">
        <v>88</v>
      </c>
      <c r="BE51" s="12">
        <v>100</v>
      </c>
      <c r="BF51" s="12">
        <v>84.2</v>
      </c>
      <c r="BG51" s="18" t="s">
        <v>1030</v>
      </c>
      <c r="BH51" s="18" t="s">
        <v>1031</v>
      </c>
    </row>
    <row r="52" spans="1:60" ht="15.75" customHeight="1" x14ac:dyDescent="0.2">
      <c r="A52" s="11">
        <v>51</v>
      </c>
      <c r="B52" s="12">
        <v>2136</v>
      </c>
      <c r="C52" s="13" t="s">
        <v>150</v>
      </c>
      <c r="D52" s="13" t="s">
        <v>38</v>
      </c>
      <c r="E52" s="23">
        <v>2007</v>
      </c>
      <c r="F52" s="23">
        <v>2007</v>
      </c>
      <c r="G52" s="13" t="s">
        <v>151</v>
      </c>
      <c r="H52" s="13"/>
      <c r="I52" s="13" t="s">
        <v>79</v>
      </c>
      <c r="J52" s="31" t="s">
        <v>236</v>
      </c>
      <c r="K52" s="13"/>
      <c r="L52" s="15">
        <v>8.1</v>
      </c>
      <c r="M52" s="16" t="s">
        <v>41</v>
      </c>
      <c r="N52" s="13" t="s">
        <v>99</v>
      </c>
      <c r="O52" s="13" t="s">
        <v>41</v>
      </c>
      <c r="P52" s="12">
        <f>IF(Q52="", 0, 1)</f>
        <v>1</v>
      </c>
      <c r="Q52" s="15">
        <v>2703</v>
      </c>
      <c r="R52" s="17">
        <v>22.45</v>
      </c>
      <c r="S52" s="17">
        <v>18.91</v>
      </c>
      <c r="T52" s="17">
        <v>18</v>
      </c>
      <c r="U52" s="17"/>
      <c r="V52" s="17"/>
      <c r="W52" s="17"/>
      <c r="X52" s="17">
        <v>1</v>
      </c>
      <c r="Y52" s="17">
        <v>271</v>
      </c>
      <c r="Z52" s="17" t="str">
        <f>IF(T52="", "mean", "med")</f>
        <v>med</v>
      </c>
      <c r="AA52" s="17">
        <f>IF(T52="", R52, T52)</f>
        <v>18</v>
      </c>
      <c r="AB52" s="12">
        <f>IF(AC52="", 0, 1)</f>
        <v>0</v>
      </c>
      <c r="AC52" s="13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>
        <f>IF(AO52="", 0, 1)</f>
        <v>0</v>
      </c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9" t="s">
        <v>52</v>
      </c>
      <c r="BA52" s="49" t="str">
        <f>IF(AZ52="high","high","lower")</f>
        <v>high</v>
      </c>
      <c r="BB52" s="47"/>
      <c r="BC52" s="49"/>
      <c r="BD52" s="49"/>
      <c r="BE52" s="49"/>
      <c r="BF52" s="49"/>
      <c r="BG52" s="18" t="s">
        <v>1034</v>
      </c>
      <c r="BH52" s="18" t="s">
        <v>1031</v>
      </c>
    </row>
    <row r="53" spans="1:60" ht="15.75" customHeight="1" x14ac:dyDescent="0.2">
      <c r="A53" s="11">
        <v>52</v>
      </c>
      <c r="B53" s="12">
        <v>2164</v>
      </c>
      <c r="C53" s="13" t="s">
        <v>152</v>
      </c>
      <c r="D53" s="13" t="s">
        <v>38</v>
      </c>
      <c r="E53" s="23">
        <v>2004</v>
      </c>
      <c r="F53" s="23">
        <v>2007</v>
      </c>
      <c r="G53" s="13" t="s">
        <v>153</v>
      </c>
      <c r="H53" s="13"/>
      <c r="I53" s="13" t="s">
        <v>59</v>
      </c>
      <c r="J53" s="13" t="s">
        <v>154</v>
      </c>
      <c r="K53" s="13"/>
      <c r="L53" s="15">
        <v>0</v>
      </c>
      <c r="M53" s="16">
        <v>31</v>
      </c>
      <c r="N53" s="13" t="s">
        <v>42</v>
      </c>
      <c r="O53" s="13"/>
      <c r="P53" s="12">
        <f>IF(Q53="", 0, 1)</f>
        <v>0</v>
      </c>
      <c r="Q53" s="15"/>
      <c r="R53" s="21"/>
      <c r="S53" s="21"/>
      <c r="T53" s="17"/>
      <c r="U53" s="17"/>
      <c r="V53" s="17"/>
      <c r="W53" s="17"/>
      <c r="X53" s="17"/>
      <c r="Y53" s="17"/>
      <c r="Z53" s="17"/>
      <c r="AA53" s="17"/>
      <c r="AB53" s="12">
        <f>IF(AC53="", 0, 1)</f>
        <v>1</v>
      </c>
      <c r="AC53" s="13">
        <v>100</v>
      </c>
      <c r="AD53" s="12">
        <v>21.9</v>
      </c>
      <c r="AE53" s="12">
        <v>63.5</v>
      </c>
      <c r="AF53" s="12">
        <v>7</v>
      </c>
      <c r="AG53" s="12"/>
      <c r="AH53" s="12"/>
      <c r="AI53" s="12"/>
      <c r="AJ53" s="12">
        <v>1</v>
      </c>
      <c r="AK53" s="12">
        <v>540</v>
      </c>
      <c r="AL53" s="12" t="str">
        <f>IF(AF53="", "mean", "med")</f>
        <v>med</v>
      </c>
      <c r="AM53" s="12">
        <f>IF(AF53="", AD53, AF53)</f>
        <v>7</v>
      </c>
      <c r="AN53" s="12">
        <f>IF(AO53="", 0, 1)</f>
        <v>1</v>
      </c>
      <c r="AO53" s="12">
        <v>100</v>
      </c>
      <c r="AP53" s="12">
        <v>65.400000000000006</v>
      </c>
      <c r="AQ53" s="12">
        <v>100.9</v>
      </c>
      <c r="AR53" s="12">
        <v>29</v>
      </c>
      <c r="AS53" s="12"/>
      <c r="AT53" s="12"/>
      <c r="AU53" s="12"/>
      <c r="AV53" s="12">
        <v>0</v>
      </c>
      <c r="AW53" s="12">
        <v>720</v>
      </c>
      <c r="AX53" s="12" t="str">
        <f>IF(AR53="", "mean", "med")</f>
        <v>med</v>
      </c>
      <c r="AY53" s="12">
        <f>IF(AR53="", AP53, AR53)</f>
        <v>29</v>
      </c>
      <c r="AZ53" s="49" t="s">
        <v>52</v>
      </c>
      <c r="BA53" s="49" t="str">
        <f>IF(AZ53="high","high","lower")</f>
        <v>high</v>
      </c>
      <c r="BB53" s="49">
        <v>0.90400000000000003</v>
      </c>
      <c r="BC53" s="49"/>
      <c r="BD53" s="49"/>
      <c r="BE53" s="49"/>
      <c r="BF53" s="49"/>
      <c r="BG53" s="18" t="s">
        <v>1030</v>
      </c>
      <c r="BH53" s="18" t="s">
        <v>1031</v>
      </c>
    </row>
    <row r="54" spans="1:60" ht="15.75" customHeight="1" x14ac:dyDescent="0.2">
      <c r="A54" s="11">
        <v>53</v>
      </c>
      <c r="B54" s="22">
        <v>2165</v>
      </c>
      <c r="C54" s="13" t="s">
        <v>155</v>
      </c>
      <c r="D54" s="14" t="s">
        <v>38</v>
      </c>
      <c r="E54" s="23">
        <v>2000</v>
      </c>
      <c r="F54" s="23">
        <v>2008</v>
      </c>
      <c r="G54" s="13" t="s">
        <v>49</v>
      </c>
      <c r="H54" s="13"/>
      <c r="I54" s="13" t="s">
        <v>40</v>
      </c>
      <c r="J54" s="13" t="s">
        <v>40</v>
      </c>
      <c r="K54" s="13"/>
      <c r="L54" s="15">
        <v>100</v>
      </c>
      <c r="M54" s="16">
        <v>54.4</v>
      </c>
      <c r="N54" s="13" t="s">
        <v>42</v>
      </c>
      <c r="O54" s="14" t="s">
        <v>156</v>
      </c>
      <c r="P54" s="12">
        <f>IF(Q54="", 0, 1)</f>
        <v>1</v>
      </c>
      <c r="Q54" s="15">
        <v>70</v>
      </c>
      <c r="R54" s="17">
        <v>44.1</v>
      </c>
      <c r="S54" s="17">
        <v>54.31</v>
      </c>
      <c r="T54" s="17">
        <v>26.5</v>
      </c>
      <c r="U54" s="17"/>
      <c r="V54" s="17"/>
      <c r="W54" s="17"/>
      <c r="X54" s="17"/>
      <c r="Y54" s="17"/>
      <c r="Z54" s="17" t="str">
        <f>IF(T54="", "mean", "med")</f>
        <v>med</v>
      </c>
      <c r="AA54" s="17">
        <f>IF(T54="", R54, T54)</f>
        <v>26.5</v>
      </c>
      <c r="AB54" s="12">
        <f>IF(AC54="", 0, 1)</f>
        <v>0</v>
      </c>
      <c r="AC54" s="13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>
        <f>IF(AO54="", 0, 1)</f>
        <v>0</v>
      </c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 t="s">
        <v>52</v>
      </c>
      <c r="BA54" s="12" t="str">
        <f>IF(AZ54="high","high","lower")</f>
        <v>high</v>
      </c>
      <c r="BB54" s="49">
        <v>0.89700000000000002</v>
      </c>
      <c r="BC54" s="12">
        <v>84</v>
      </c>
      <c r="BD54" s="12">
        <v>88</v>
      </c>
      <c r="BE54" s="12">
        <v>100</v>
      </c>
      <c r="BF54" s="12">
        <v>84.2</v>
      </c>
      <c r="BG54" s="18" t="s">
        <v>1030</v>
      </c>
      <c r="BH54" s="18" t="s">
        <v>1031</v>
      </c>
    </row>
    <row r="55" spans="1:60" ht="15.75" customHeight="1" x14ac:dyDescent="0.2">
      <c r="A55" s="11">
        <v>54</v>
      </c>
      <c r="B55" s="12">
        <v>2192</v>
      </c>
      <c r="C55" s="13" t="s">
        <v>157</v>
      </c>
      <c r="D55" s="14" t="s">
        <v>38</v>
      </c>
      <c r="E55" s="23">
        <v>2012</v>
      </c>
      <c r="F55" s="23">
        <v>2014</v>
      </c>
      <c r="G55" s="13" t="s">
        <v>158</v>
      </c>
      <c r="H55" s="13"/>
      <c r="I55" s="31" t="s">
        <v>104</v>
      </c>
      <c r="J55" s="13" t="s">
        <v>105</v>
      </c>
      <c r="K55" s="14"/>
      <c r="L55" s="19">
        <v>100</v>
      </c>
      <c r="M55" s="20" t="s">
        <v>41</v>
      </c>
      <c r="N55" s="13" t="s">
        <v>42</v>
      </c>
      <c r="O55" s="14" t="s">
        <v>159</v>
      </c>
      <c r="P55" s="12">
        <f>IF(Q55="", 0, 1)</f>
        <v>1</v>
      </c>
      <c r="Q55" s="15">
        <v>790</v>
      </c>
      <c r="R55" s="17"/>
      <c r="S55" s="17"/>
      <c r="T55" s="17">
        <v>114</v>
      </c>
      <c r="U55" s="17"/>
      <c r="V55" s="17"/>
      <c r="W55" s="17"/>
      <c r="X55" s="17"/>
      <c r="Y55" s="17"/>
      <c r="Z55" s="17" t="str">
        <f>IF(T55="", "mean", "med")</f>
        <v>med</v>
      </c>
      <c r="AA55" s="17">
        <f>IF(T55="", R55, T55)</f>
        <v>114</v>
      </c>
      <c r="AB55" s="12">
        <f>IF(AC55="", 0, 1)</f>
        <v>0</v>
      </c>
      <c r="AC55" s="13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>
        <f>IF(AO55="", 0, 1)</f>
        <v>0</v>
      </c>
      <c r="AO55" s="22"/>
      <c r="AP55" s="12"/>
      <c r="AQ55" s="12"/>
      <c r="AR55" s="22"/>
      <c r="AS55" s="12"/>
      <c r="AT55" s="12"/>
      <c r="AU55" s="12"/>
      <c r="AV55" s="12"/>
      <c r="AW55" s="12"/>
      <c r="AX55" s="12"/>
      <c r="AY55" s="12"/>
      <c r="AZ55" s="12" t="s">
        <v>43</v>
      </c>
      <c r="BA55" s="12" t="str">
        <f>IF(AZ55="high","high","lower")</f>
        <v>lower</v>
      </c>
      <c r="BB55" s="49">
        <v>0.748</v>
      </c>
      <c r="BC55" s="12">
        <v>82.2</v>
      </c>
      <c r="BD55" s="12">
        <v>94.4</v>
      </c>
      <c r="BE55" s="12">
        <v>83.3</v>
      </c>
      <c r="BF55" s="12">
        <v>84.1</v>
      </c>
      <c r="BG55" s="18" t="s">
        <v>1030</v>
      </c>
      <c r="BH55" s="18" t="s">
        <v>1031</v>
      </c>
    </row>
    <row r="56" spans="1:60" ht="15.75" customHeight="1" x14ac:dyDescent="0.2">
      <c r="A56" s="11">
        <v>55</v>
      </c>
      <c r="B56" s="12">
        <v>2195</v>
      </c>
      <c r="C56" s="13" t="s">
        <v>160</v>
      </c>
      <c r="D56" s="13" t="s">
        <v>38</v>
      </c>
      <c r="E56" s="23">
        <v>1996</v>
      </c>
      <c r="F56" s="23">
        <v>2009</v>
      </c>
      <c r="G56" s="13" t="s">
        <v>161</v>
      </c>
      <c r="H56" s="13"/>
      <c r="I56" s="13" t="s">
        <v>79</v>
      </c>
      <c r="J56" s="13" t="s">
        <v>79</v>
      </c>
      <c r="K56" s="13"/>
      <c r="L56" s="15">
        <v>16.7</v>
      </c>
      <c r="M56" s="16">
        <v>58</v>
      </c>
      <c r="N56" s="13" t="s">
        <v>42</v>
      </c>
      <c r="O56" s="13" t="s">
        <v>162</v>
      </c>
      <c r="P56" s="12">
        <f>IF(Q56="", 0, 1)</f>
        <v>1</v>
      </c>
      <c r="Q56" s="15">
        <v>216</v>
      </c>
      <c r="R56" s="17"/>
      <c r="S56" s="17"/>
      <c r="T56" s="17">
        <v>34</v>
      </c>
      <c r="U56" s="17"/>
      <c r="V56" s="17"/>
      <c r="W56" s="17"/>
      <c r="X56" s="17">
        <v>11</v>
      </c>
      <c r="Y56" s="17">
        <v>89</v>
      </c>
      <c r="Z56" s="17" t="str">
        <f>IF(T56="", "mean", "med")</f>
        <v>med</v>
      </c>
      <c r="AA56" s="17">
        <f>IF(T56="", R56, T56)</f>
        <v>34</v>
      </c>
      <c r="AB56" s="12">
        <f>IF(AC56="", 0, 1)</f>
        <v>0</v>
      </c>
      <c r="AC56" s="13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>
        <f>IF(AO56="", 0, 1)</f>
        <v>0</v>
      </c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 t="s">
        <v>52</v>
      </c>
      <c r="BA56" s="12" t="str">
        <f>IF(AZ56="high","high","lower")</f>
        <v>high</v>
      </c>
      <c r="BB56" s="49">
        <v>0.89100000000000001</v>
      </c>
      <c r="BC56" s="12">
        <v>88.7</v>
      </c>
      <c r="BD56" s="12">
        <v>91.8</v>
      </c>
      <c r="BE56" s="12">
        <v>100</v>
      </c>
      <c r="BF56" s="12">
        <v>91.8</v>
      </c>
      <c r="BG56" s="18" t="s">
        <v>1030</v>
      </c>
      <c r="BH56" s="18" t="s">
        <v>1031</v>
      </c>
    </row>
    <row r="57" spans="1:60" ht="15.75" customHeight="1" x14ac:dyDescent="0.2">
      <c r="A57" s="11">
        <v>56</v>
      </c>
      <c r="B57" s="12">
        <v>2201</v>
      </c>
      <c r="C57" s="13" t="s">
        <v>163</v>
      </c>
      <c r="D57" s="13" t="s">
        <v>38</v>
      </c>
      <c r="E57" s="23">
        <v>2009</v>
      </c>
      <c r="F57" s="23">
        <v>2017</v>
      </c>
      <c r="G57" s="13" t="s">
        <v>125</v>
      </c>
      <c r="H57" s="13"/>
      <c r="I57" s="13" t="s">
        <v>54</v>
      </c>
      <c r="J57" s="13" t="s">
        <v>55</v>
      </c>
      <c r="K57" s="14"/>
      <c r="L57" s="15">
        <v>35.5</v>
      </c>
      <c r="M57" s="16">
        <v>71.900000000000006</v>
      </c>
      <c r="N57" s="13" t="s">
        <v>42</v>
      </c>
      <c r="O57" s="14"/>
      <c r="P57" s="12">
        <f>IF(Q57="", 0, 1)</f>
        <v>0</v>
      </c>
      <c r="Q57" s="15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2">
        <f>IF(AC57="", 0, 1)</f>
        <v>1</v>
      </c>
      <c r="AC57" s="13">
        <v>575</v>
      </c>
      <c r="AD57" s="12">
        <v>115</v>
      </c>
      <c r="AE57" s="12">
        <v>153</v>
      </c>
      <c r="AF57" s="12"/>
      <c r="AG57" s="12"/>
      <c r="AH57" s="12"/>
      <c r="AI57" s="12"/>
      <c r="AJ57" s="12"/>
      <c r="AK57" s="12"/>
      <c r="AL57" s="12" t="str">
        <f>IF(AF57="", "mean", "med")</f>
        <v>mean</v>
      </c>
      <c r="AM57" s="12">
        <f>IF(AF57="", AD57, AF57)</f>
        <v>115</v>
      </c>
      <c r="AN57" s="12">
        <f>IF(AO57="", 0, 1)</f>
        <v>0</v>
      </c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 t="s">
        <v>52</v>
      </c>
      <c r="BA57" s="12" t="str">
        <f>IF(AZ57="high","high","lower")</f>
        <v>high</v>
      </c>
      <c r="BB57" s="49">
        <v>0.88500000000000001</v>
      </c>
      <c r="BC57" s="12">
        <v>84</v>
      </c>
      <c r="BD57" s="12">
        <v>89.7</v>
      </c>
      <c r="BE57" s="12">
        <v>70.8</v>
      </c>
      <c r="BF57" s="12">
        <v>89.2</v>
      </c>
      <c r="BG57" s="18" t="s">
        <v>1030</v>
      </c>
      <c r="BH57" s="18" t="s">
        <v>1031</v>
      </c>
    </row>
    <row r="58" spans="1:60" ht="15.75" customHeight="1" x14ac:dyDescent="0.2">
      <c r="A58" s="11">
        <v>57</v>
      </c>
      <c r="B58" s="12">
        <v>2203</v>
      </c>
      <c r="C58" s="13" t="s">
        <v>164</v>
      </c>
      <c r="D58" s="14" t="s">
        <v>165</v>
      </c>
      <c r="E58" s="23">
        <v>2017</v>
      </c>
      <c r="F58" s="23">
        <v>2017</v>
      </c>
      <c r="G58" s="13" t="s">
        <v>166</v>
      </c>
      <c r="H58" s="13"/>
      <c r="I58" s="13" t="s">
        <v>94</v>
      </c>
      <c r="J58" s="13" t="s">
        <v>95</v>
      </c>
      <c r="K58" s="13" t="s">
        <v>135</v>
      </c>
      <c r="L58" s="53">
        <f>26/(21+26)*100</f>
        <v>55.319148936170215</v>
      </c>
      <c r="M58" s="20">
        <v>47</v>
      </c>
      <c r="N58" s="13" t="s">
        <v>99</v>
      </c>
      <c r="O58" s="13" t="s">
        <v>41</v>
      </c>
      <c r="P58" s="12">
        <f>IF(Q58="", 0, 1)</f>
        <v>1</v>
      </c>
      <c r="Q58" s="15">
        <v>21</v>
      </c>
      <c r="R58" s="17"/>
      <c r="S58" s="17"/>
      <c r="T58" s="17">
        <v>8</v>
      </c>
      <c r="U58" s="21"/>
      <c r="V58" s="17"/>
      <c r="W58" s="17"/>
      <c r="X58" s="17">
        <v>1</v>
      </c>
      <c r="Y58" s="17">
        <v>31</v>
      </c>
      <c r="Z58" s="17" t="str">
        <f>IF(T58="", "mean", "med")</f>
        <v>med</v>
      </c>
      <c r="AA58" s="17">
        <f>IF(T58="", R58, T58)</f>
        <v>8</v>
      </c>
      <c r="AB58" s="12">
        <f>IF(AC58="", 0, 1)</f>
        <v>1</v>
      </c>
      <c r="AC58" s="13">
        <v>21</v>
      </c>
      <c r="AD58" s="12"/>
      <c r="AE58" s="12"/>
      <c r="AF58" s="12">
        <v>71</v>
      </c>
      <c r="AG58" s="12"/>
      <c r="AH58" s="12"/>
      <c r="AI58" s="12"/>
      <c r="AJ58" s="12">
        <v>27</v>
      </c>
      <c r="AK58" s="12">
        <v>1033</v>
      </c>
      <c r="AL58" s="12" t="str">
        <f>IF(AF58="", "mean", "med")</f>
        <v>med</v>
      </c>
      <c r="AM58" s="12">
        <f>IF(AF58="", AD58, AF58)</f>
        <v>71</v>
      </c>
      <c r="AN58" s="12">
        <f>IF(AO58="", 0, 1)</f>
        <v>1</v>
      </c>
      <c r="AO58" s="12">
        <v>21</v>
      </c>
      <c r="AP58" s="12"/>
      <c r="AQ58" s="12"/>
      <c r="AR58" s="12">
        <v>16</v>
      </c>
      <c r="AS58" s="12"/>
      <c r="AT58" s="12"/>
      <c r="AU58" s="12"/>
      <c r="AV58" s="12">
        <v>1</v>
      </c>
      <c r="AW58" s="12">
        <v>714</v>
      </c>
      <c r="AX58" s="12" t="str">
        <f>IF(AR58="", "mean", "med")</f>
        <v>med</v>
      </c>
      <c r="AY58" s="12">
        <f>IF(AR58="", AP58, AR58)</f>
        <v>16</v>
      </c>
      <c r="AZ58" s="49" t="s">
        <v>52</v>
      </c>
      <c r="BA58" s="49" t="str">
        <f>IF(AZ58="high","high","lower")</f>
        <v>high</v>
      </c>
      <c r="BB58" s="49">
        <v>0.87</v>
      </c>
      <c r="BC58" s="49"/>
      <c r="BD58" s="49"/>
      <c r="BE58" s="49"/>
      <c r="BF58" s="49"/>
      <c r="BG58" s="18" t="s">
        <v>1030</v>
      </c>
      <c r="BH58" s="18" t="s">
        <v>1031</v>
      </c>
    </row>
    <row r="59" spans="1:60" ht="15.75" customHeight="1" x14ac:dyDescent="0.2">
      <c r="A59" s="11">
        <v>58</v>
      </c>
      <c r="B59" s="12">
        <v>2203</v>
      </c>
      <c r="C59" s="13" t="s">
        <v>164</v>
      </c>
      <c r="D59" s="14" t="s">
        <v>97</v>
      </c>
      <c r="E59" s="23">
        <v>2017</v>
      </c>
      <c r="F59" s="23">
        <v>2017</v>
      </c>
      <c r="G59" s="13" t="s">
        <v>166</v>
      </c>
      <c r="H59" s="13"/>
      <c r="I59" s="13" t="s">
        <v>94</v>
      </c>
      <c r="J59" s="13" t="s">
        <v>95</v>
      </c>
      <c r="K59" s="14" t="s">
        <v>167</v>
      </c>
      <c r="L59" s="53">
        <f>26/(21+26)*100</f>
        <v>55.319148936170215</v>
      </c>
      <c r="M59" s="20">
        <v>47</v>
      </c>
      <c r="N59" s="13" t="s">
        <v>99</v>
      </c>
      <c r="O59" s="13" t="s">
        <v>41</v>
      </c>
      <c r="P59" s="12">
        <f>IF(Q59="", 0, 1)</f>
        <v>1</v>
      </c>
      <c r="Q59" s="15">
        <v>26</v>
      </c>
      <c r="R59" s="17"/>
      <c r="S59" s="17"/>
      <c r="T59" s="17">
        <v>7</v>
      </c>
      <c r="U59" s="17"/>
      <c r="V59" s="17"/>
      <c r="W59" s="17"/>
      <c r="X59" s="17">
        <v>0</v>
      </c>
      <c r="Y59" s="17">
        <v>97</v>
      </c>
      <c r="Z59" s="17" t="str">
        <f>IF(T59="", "mean", "med")</f>
        <v>med</v>
      </c>
      <c r="AA59" s="17">
        <f>IF(T59="", R59, T59)</f>
        <v>7</v>
      </c>
      <c r="AB59" s="12">
        <f>IF(AC59="", 0, 1)</f>
        <v>1</v>
      </c>
      <c r="AC59" s="13">
        <v>26</v>
      </c>
      <c r="AD59" s="12"/>
      <c r="AE59" s="12"/>
      <c r="AF59" s="12">
        <v>72</v>
      </c>
      <c r="AG59" s="12"/>
      <c r="AH59" s="12"/>
      <c r="AI59" s="12"/>
      <c r="AJ59" s="12">
        <v>29</v>
      </c>
      <c r="AK59" s="12">
        <v>1337</v>
      </c>
      <c r="AL59" s="12" t="str">
        <f>IF(AF59="", "mean", "med")</f>
        <v>med</v>
      </c>
      <c r="AM59" s="12">
        <f>IF(AF59="", AD59, AF59)</f>
        <v>72</v>
      </c>
      <c r="AN59" s="12">
        <f>IF(AO59="", 0, 1)</f>
        <v>1</v>
      </c>
      <c r="AO59" s="22">
        <v>26</v>
      </c>
      <c r="AP59" s="12"/>
      <c r="AQ59" s="12"/>
      <c r="AR59" s="22">
        <v>22</v>
      </c>
      <c r="AS59" s="12"/>
      <c r="AT59" s="12"/>
      <c r="AU59" s="12"/>
      <c r="AV59" s="12">
        <v>0</v>
      </c>
      <c r="AW59" s="22">
        <v>123</v>
      </c>
      <c r="AX59" s="12" t="str">
        <f>IF(AR59="", "mean", "med")</f>
        <v>med</v>
      </c>
      <c r="AY59" s="12">
        <f>IF(AR59="", AP59, AR59)</f>
        <v>22</v>
      </c>
      <c r="AZ59" s="49" t="s">
        <v>52</v>
      </c>
      <c r="BA59" s="49" t="str">
        <f>IF(AZ59="high","high","lower")</f>
        <v>high</v>
      </c>
      <c r="BB59" s="49">
        <v>0.87</v>
      </c>
      <c r="BC59" s="49"/>
      <c r="BD59" s="49"/>
      <c r="BE59" s="49"/>
      <c r="BF59" s="49"/>
      <c r="BG59" s="18" t="s">
        <v>1030</v>
      </c>
      <c r="BH59" s="18" t="s">
        <v>1031</v>
      </c>
    </row>
    <row r="60" spans="1:60" ht="15.75" customHeight="1" x14ac:dyDescent="0.2">
      <c r="A60" s="11">
        <v>59</v>
      </c>
      <c r="B60" s="12">
        <v>2203</v>
      </c>
      <c r="C60" s="13" t="s">
        <v>164</v>
      </c>
      <c r="D60" s="13" t="s">
        <v>168</v>
      </c>
      <c r="E60" s="23">
        <v>2017</v>
      </c>
      <c r="F60" s="23">
        <v>2017</v>
      </c>
      <c r="G60" s="13" t="s">
        <v>166</v>
      </c>
      <c r="H60" s="13"/>
      <c r="I60" s="13" t="s">
        <v>94</v>
      </c>
      <c r="J60" s="13" t="s">
        <v>255</v>
      </c>
      <c r="K60" s="13"/>
      <c r="L60" s="53">
        <f>27/(26+27)*100</f>
        <v>50.943396226415096</v>
      </c>
      <c r="M60" s="16">
        <v>53</v>
      </c>
      <c r="N60" s="13" t="s">
        <v>99</v>
      </c>
      <c r="O60" s="13" t="s">
        <v>41</v>
      </c>
      <c r="P60" s="12">
        <f>IF(Q60="", 0, 1)</f>
        <v>1</v>
      </c>
      <c r="Q60" s="15">
        <v>53</v>
      </c>
      <c r="R60" s="17"/>
      <c r="S60" s="17"/>
      <c r="T60" s="17">
        <v>2</v>
      </c>
      <c r="U60" s="17"/>
      <c r="V60" s="17"/>
      <c r="W60" s="17"/>
      <c r="X60" s="17">
        <v>1</v>
      </c>
      <c r="Y60" s="17">
        <v>38</v>
      </c>
      <c r="Z60" s="17" t="str">
        <f>IF(T60="", "mean", "med")</f>
        <v>med</v>
      </c>
      <c r="AA60" s="17">
        <f>IF(T60="", R60, T60)</f>
        <v>2</v>
      </c>
      <c r="AB60" s="12">
        <f>IF(AC60="", 0, 1)</f>
        <v>1</v>
      </c>
      <c r="AC60" s="13">
        <v>53</v>
      </c>
      <c r="AD60" s="12"/>
      <c r="AE60" s="12"/>
      <c r="AF60" s="12">
        <v>78</v>
      </c>
      <c r="AG60" s="12"/>
      <c r="AH60" s="12"/>
      <c r="AI60" s="12"/>
      <c r="AJ60" s="12">
        <v>6</v>
      </c>
      <c r="AK60" s="12">
        <v>1779</v>
      </c>
      <c r="AL60" s="12" t="str">
        <f>IF(AF60="", "mean", "med")</f>
        <v>med</v>
      </c>
      <c r="AM60" s="12">
        <f>IF(AF60="", AD60, AF60)</f>
        <v>78</v>
      </c>
      <c r="AN60" s="12">
        <f>IF(AO60="", 0, 1)</f>
        <v>1</v>
      </c>
      <c r="AO60" s="12">
        <v>53</v>
      </c>
      <c r="AP60" s="12"/>
      <c r="AQ60" s="12"/>
      <c r="AR60" s="12">
        <v>54</v>
      </c>
      <c r="AS60" s="12"/>
      <c r="AT60" s="12"/>
      <c r="AU60" s="12"/>
      <c r="AV60" s="12">
        <v>0</v>
      </c>
      <c r="AW60" s="12">
        <v>730</v>
      </c>
      <c r="AX60" s="12" t="str">
        <f>IF(AR60="", "mean", "med")</f>
        <v>med</v>
      </c>
      <c r="AY60" s="12">
        <f>IF(AR60="", AP60, AR60)</f>
        <v>54</v>
      </c>
      <c r="AZ60" s="49" t="s">
        <v>52</v>
      </c>
      <c r="BA60" s="49" t="str">
        <f>IF(AZ60="high","high","lower")</f>
        <v>high</v>
      </c>
      <c r="BB60" s="49">
        <v>0.87</v>
      </c>
      <c r="BC60" s="49"/>
      <c r="BD60" s="49"/>
      <c r="BE60" s="49"/>
      <c r="BF60" s="49"/>
      <c r="BG60" s="18" t="s">
        <v>1030</v>
      </c>
      <c r="BH60" s="18" t="s">
        <v>1031</v>
      </c>
    </row>
    <row r="61" spans="1:60" ht="15.75" customHeight="1" x14ac:dyDescent="0.2">
      <c r="A61" s="11">
        <v>60</v>
      </c>
      <c r="B61" s="12">
        <v>2215</v>
      </c>
      <c r="C61" s="13" t="s">
        <v>169</v>
      </c>
      <c r="D61" s="14" t="s">
        <v>170</v>
      </c>
      <c r="E61" s="23">
        <v>2012</v>
      </c>
      <c r="F61" s="23">
        <v>2014</v>
      </c>
      <c r="G61" s="13" t="s">
        <v>171</v>
      </c>
      <c r="H61" s="13"/>
      <c r="I61" s="13" t="s">
        <v>40</v>
      </c>
      <c r="J61" s="13" t="s">
        <v>40</v>
      </c>
      <c r="K61" s="14"/>
      <c r="L61" s="19">
        <v>100</v>
      </c>
      <c r="M61" s="20">
        <v>43</v>
      </c>
      <c r="N61" s="13" t="s">
        <v>42</v>
      </c>
      <c r="O61" s="13"/>
      <c r="P61" s="12">
        <f>IF(Q61="", 0, 1)</f>
        <v>0</v>
      </c>
      <c r="Q61" s="19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2">
        <f>IF(AC61="", 0, 1)</f>
        <v>1</v>
      </c>
      <c r="AC61" s="13">
        <v>62</v>
      </c>
      <c r="AD61" s="12"/>
      <c r="AE61" s="12"/>
      <c r="AF61" s="12">
        <v>145</v>
      </c>
      <c r="AG61" s="12">
        <v>59</v>
      </c>
      <c r="AH61" s="12">
        <v>328</v>
      </c>
      <c r="AI61" s="12"/>
      <c r="AJ61" s="12"/>
      <c r="AK61" s="12"/>
      <c r="AL61" s="12" t="str">
        <f>IF(AF61="", "mean", "med")</f>
        <v>med</v>
      </c>
      <c r="AM61" s="12">
        <f>IF(AF61="", AD61, AF61)</f>
        <v>145</v>
      </c>
      <c r="AN61" s="12">
        <f>IF(AO61="", 0, 1)</f>
        <v>1</v>
      </c>
      <c r="AO61" s="22">
        <v>62</v>
      </c>
      <c r="AP61" s="12"/>
      <c r="AQ61" s="12"/>
      <c r="AR61" s="22">
        <v>139.5</v>
      </c>
      <c r="AS61" s="12">
        <v>28</v>
      </c>
      <c r="AT61" s="12">
        <v>402</v>
      </c>
      <c r="AU61" s="12"/>
      <c r="AV61" s="12"/>
      <c r="AW61" s="12"/>
      <c r="AX61" s="12" t="str">
        <f>IF(AR61="", "mean", "med")</f>
        <v>med</v>
      </c>
      <c r="AY61" s="12">
        <f>IF(AR61="", AP61, AR61)</f>
        <v>139.5</v>
      </c>
      <c r="AZ61" s="49" t="s">
        <v>146</v>
      </c>
      <c r="BA61" s="49" t="str">
        <f>IF(AZ61="high","high","lower")</f>
        <v>lower</v>
      </c>
      <c r="BB61" s="49">
        <v>0.51500000000000001</v>
      </c>
      <c r="BC61" s="49"/>
      <c r="BD61" s="49"/>
      <c r="BE61" s="49"/>
      <c r="BF61" s="49"/>
      <c r="BG61" s="18" t="s">
        <v>1032</v>
      </c>
      <c r="BH61" s="18" t="s">
        <v>1033</v>
      </c>
    </row>
    <row r="62" spans="1:60" ht="15.75" customHeight="1" x14ac:dyDescent="0.2">
      <c r="A62" s="11">
        <v>61</v>
      </c>
      <c r="B62" s="22">
        <v>2215</v>
      </c>
      <c r="C62" s="13" t="s">
        <v>169</v>
      </c>
      <c r="D62" s="13" t="s">
        <v>172</v>
      </c>
      <c r="E62" s="23">
        <v>2012</v>
      </c>
      <c r="F62" s="23">
        <v>2014</v>
      </c>
      <c r="G62" s="13" t="s">
        <v>171</v>
      </c>
      <c r="H62" s="13"/>
      <c r="I62" s="13" t="s">
        <v>40</v>
      </c>
      <c r="J62" s="13" t="s">
        <v>173</v>
      </c>
      <c r="K62" s="13"/>
      <c r="L62" s="15">
        <v>100</v>
      </c>
      <c r="M62" s="20">
        <v>37</v>
      </c>
      <c r="N62" s="13" t="s">
        <v>42</v>
      </c>
      <c r="O62" s="14"/>
      <c r="P62" s="12">
        <f>IF(Q62="", 0, 1)</f>
        <v>0</v>
      </c>
      <c r="Q62" s="15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2">
        <f>IF(AC62="", 0, 1)</f>
        <v>1</v>
      </c>
      <c r="AC62" s="13">
        <v>12</v>
      </c>
      <c r="AD62" s="12"/>
      <c r="AE62" s="12"/>
      <c r="AF62" s="12">
        <v>212</v>
      </c>
      <c r="AG62" s="12">
        <v>58.5</v>
      </c>
      <c r="AH62" s="12">
        <v>362</v>
      </c>
      <c r="AI62" s="12"/>
      <c r="AJ62" s="12"/>
      <c r="AK62" s="12"/>
      <c r="AL62" s="12" t="str">
        <f>IF(AF62="", "mean", "med")</f>
        <v>med</v>
      </c>
      <c r="AM62" s="12">
        <f>IF(AF62="", AD62, AF62)</f>
        <v>212</v>
      </c>
      <c r="AN62" s="12">
        <f>IF(AO62="", 0, 1)</f>
        <v>1</v>
      </c>
      <c r="AO62" s="12">
        <v>12</v>
      </c>
      <c r="AP62" s="12"/>
      <c r="AQ62" s="12"/>
      <c r="AR62" s="12">
        <v>109</v>
      </c>
      <c r="AS62" s="12">
        <v>6.5</v>
      </c>
      <c r="AT62" s="12">
        <v>325.5</v>
      </c>
      <c r="AU62" s="12"/>
      <c r="AV62" s="12"/>
      <c r="AW62" s="12"/>
      <c r="AX62" s="12" t="str">
        <f>IF(AR62="", "mean", "med")</f>
        <v>med</v>
      </c>
      <c r="AY62" s="12">
        <f>IF(AR62="", AP62, AR62)</f>
        <v>109</v>
      </c>
      <c r="AZ62" s="49" t="s">
        <v>146</v>
      </c>
      <c r="BA62" s="49" t="str">
        <f>IF(AZ62="high","high","lower")</f>
        <v>lower</v>
      </c>
      <c r="BB62" s="49">
        <v>0.51500000000000001</v>
      </c>
      <c r="BC62" s="49"/>
      <c r="BD62" s="49"/>
      <c r="BE62" s="49"/>
      <c r="BF62" s="49"/>
      <c r="BG62" s="18" t="s">
        <v>1032</v>
      </c>
      <c r="BH62" s="18" t="s">
        <v>1033</v>
      </c>
    </row>
    <row r="63" spans="1:60" ht="15.75" customHeight="1" x14ac:dyDescent="0.2">
      <c r="A63" s="11">
        <v>62</v>
      </c>
      <c r="B63" s="22">
        <v>2216</v>
      </c>
      <c r="C63" s="13" t="s">
        <v>174</v>
      </c>
      <c r="D63" s="13" t="s">
        <v>38</v>
      </c>
      <c r="E63" s="13">
        <v>2010</v>
      </c>
      <c r="F63" s="13" t="s">
        <v>1002</v>
      </c>
      <c r="G63" s="13" t="s">
        <v>49</v>
      </c>
      <c r="H63" s="13"/>
      <c r="I63" s="13" t="s">
        <v>54</v>
      </c>
      <c r="J63" s="13" t="s">
        <v>55</v>
      </c>
      <c r="K63" s="14"/>
      <c r="L63" s="15">
        <v>47.6</v>
      </c>
      <c r="M63" s="20">
        <v>57.9</v>
      </c>
      <c r="N63" s="13" t="s">
        <v>50</v>
      </c>
      <c r="O63" s="13"/>
      <c r="P63" s="12">
        <f>IF(Q63="", 0, 1)</f>
        <v>0</v>
      </c>
      <c r="Q63" s="15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2">
        <f>IF(AC63="", 0, 1)</f>
        <v>0</v>
      </c>
      <c r="AC63" s="13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>
        <f>IF(AO63="", 0, 1)</f>
        <v>1</v>
      </c>
      <c r="AO63" s="12">
        <v>252</v>
      </c>
      <c r="AP63" s="12">
        <f>4.8*30</f>
        <v>144</v>
      </c>
      <c r="AQ63" s="12">
        <f>7*30</f>
        <v>210</v>
      </c>
      <c r="AR63" s="12"/>
      <c r="AS63" s="12"/>
      <c r="AT63" s="12"/>
      <c r="AU63" s="12"/>
      <c r="AV63" s="12">
        <v>0</v>
      </c>
      <c r="AW63" s="12">
        <f>57.2*30</f>
        <v>1716</v>
      </c>
      <c r="AX63" s="12" t="str">
        <f>IF(AR63="", "mean", "med")</f>
        <v>mean</v>
      </c>
      <c r="AY63" s="12">
        <f>IF(AR63="", AP63, AR63)</f>
        <v>144</v>
      </c>
      <c r="AZ63" s="12" t="s">
        <v>52</v>
      </c>
      <c r="BA63" s="12" t="str">
        <f>IF(AZ63="high","high","lower")</f>
        <v>high</v>
      </c>
      <c r="BB63" s="47"/>
      <c r="BC63" s="12">
        <v>84</v>
      </c>
      <c r="BD63" s="12">
        <v>88</v>
      </c>
      <c r="BE63" s="12">
        <v>100</v>
      </c>
      <c r="BF63" s="12">
        <v>84.2</v>
      </c>
      <c r="BG63" s="18" t="s">
        <v>1030</v>
      </c>
      <c r="BH63" s="18" t="s">
        <v>1031</v>
      </c>
    </row>
    <row r="64" spans="1:60" ht="15.75" customHeight="1" x14ac:dyDescent="0.2">
      <c r="A64" s="11">
        <v>63</v>
      </c>
      <c r="B64" s="12">
        <v>2219</v>
      </c>
      <c r="C64" s="13" t="s">
        <v>175</v>
      </c>
      <c r="D64" s="13" t="s">
        <v>176</v>
      </c>
      <c r="E64" s="23">
        <v>1998</v>
      </c>
      <c r="F64" s="23">
        <v>2014</v>
      </c>
      <c r="G64" s="13" t="s">
        <v>49</v>
      </c>
      <c r="H64" s="13"/>
      <c r="I64" s="13" t="s">
        <v>54</v>
      </c>
      <c r="J64" s="13" t="s">
        <v>89</v>
      </c>
      <c r="K64" s="13"/>
      <c r="L64" s="15">
        <v>39.9</v>
      </c>
      <c r="M64" s="16" t="s">
        <v>41</v>
      </c>
      <c r="N64" s="13" t="s">
        <v>99</v>
      </c>
      <c r="O64" s="13" t="s">
        <v>178</v>
      </c>
      <c r="P64" s="12">
        <f>IF(Q64="", 0, 1)</f>
        <v>1</v>
      </c>
      <c r="Q64" s="15">
        <v>66</v>
      </c>
      <c r="R64" s="17"/>
      <c r="S64" s="17"/>
      <c r="T64" s="17">
        <v>7</v>
      </c>
      <c r="U64" s="17"/>
      <c r="V64" s="17"/>
      <c r="W64" s="17"/>
      <c r="X64" s="17"/>
      <c r="Y64" s="17"/>
      <c r="Z64" s="17" t="str">
        <f>IF(T64="", "mean", "med")</f>
        <v>med</v>
      </c>
      <c r="AA64" s="17">
        <f>IF(T64="", R64, T64)</f>
        <v>7</v>
      </c>
      <c r="AB64" s="12">
        <f>IF(AC64="", 0, 1)</f>
        <v>0</v>
      </c>
      <c r="AC64" s="13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>
        <f>IF(AO64="", 0, 1)</f>
        <v>0</v>
      </c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 t="s">
        <v>52</v>
      </c>
      <c r="BA64" s="12" t="str">
        <f>IF(AZ64="high","high","lower")</f>
        <v>high</v>
      </c>
      <c r="BB64" s="49">
        <v>0.90400000000000003</v>
      </c>
      <c r="BC64" s="12">
        <v>84</v>
      </c>
      <c r="BD64" s="12">
        <v>88</v>
      </c>
      <c r="BE64" s="12">
        <v>100</v>
      </c>
      <c r="BF64" s="12">
        <v>84.2</v>
      </c>
      <c r="BG64" s="18" t="s">
        <v>1030</v>
      </c>
      <c r="BH64" s="18" t="s">
        <v>1031</v>
      </c>
    </row>
    <row r="65" spans="1:60" ht="15.75" customHeight="1" x14ac:dyDescent="0.2">
      <c r="A65" s="11">
        <v>64</v>
      </c>
      <c r="B65" s="12">
        <v>2219</v>
      </c>
      <c r="C65" s="13" t="s">
        <v>175</v>
      </c>
      <c r="D65" s="13" t="s">
        <v>179</v>
      </c>
      <c r="E65" s="23">
        <v>1998</v>
      </c>
      <c r="F65" s="23">
        <v>2014</v>
      </c>
      <c r="G65" s="13" t="s">
        <v>49</v>
      </c>
      <c r="H65" s="13"/>
      <c r="I65" s="14" t="s">
        <v>54</v>
      </c>
      <c r="J65" s="13" t="s">
        <v>89</v>
      </c>
      <c r="K65" s="14"/>
      <c r="L65" s="19">
        <v>39.9</v>
      </c>
      <c r="M65" s="16" t="s">
        <v>41</v>
      </c>
      <c r="N65" s="13" t="s">
        <v>99</v>
      </c>
      <c r="O65" s="13" t="s">
        <v>178</v>
      </c>
      <c r="P65" s="12">
        <f>IF(Q65="", 0, 1)</f>
        <v>1</v>
      </c>
      <c r="Q65" s="15">
        <v>203</v>
      </c>
      <c r="R65" s="17"/>
      <c r="S65" s="17"/>
      <c r="T65" s="17">
        <v>7</v>
      </c>
      <c r="U65" s="17"/>
      <c r="V65" s="17"/>
      <c r="W65" s="17"/>
      <c r="X65" s="17"/>
      <c r="Y65" s="17"/>
      <c r="Z65" s="17" t="str">
        <f>IF(T65="", "mean", "med")</f>
        <v>med</v>
      </c>
      <c r="AA65" s="17">
        <f>IF(T65="", R65, T65)</f>
        <v>7</v>
      </c>
      <c r="AB65" s="12">
        <f>IF(AC65="", 0, 1)</f>
        <v>0</v>
      </c>
      <c r="AC65" s="13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>
        <f>IF(AO65="", 0, 1)</f>
        <v>0</v>
      </c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 t="s">
        <v>52</v>
      </c>
      <c r="BA65" s="12" t="str">
        <f>IF(AZ65="high","high","lower")</f>
        <v>high</v>
      </c>
      <c r="BB65" s="49">
        <v>0.90400000000000003</v>
      </c>
      <c r="BC65" s="12">
        <v>84</v>
      </c>
      <c r="BD65" s="12">
        <v>88</v>
      </c>
      <c r="BE65" s="12">
        <v>100</v>
      </c>
      <c r="BF65" s="12">
        <v>84.2</v>
      </c>
      <c r="BG65" s="18" t="s">
        <v>1030</v>
      </c>
      <c r="BH65" s="18" t="s">
        <v>1031</v>
      </c>
    </row>
    <row r="66" spans="1:60" ht="15.75" customHeight="1" x14ac:dyDescent="0.2">
      <c r="A66" s="11">
        <v>65</v>
      </c>
      <c r="B66" s="12">
        <v>2219</v>
      </c>
      <c r="C66" s="13" t="s">
        <v>175</v>
      </c>
      <c r="D66" s="13" t="s">
        <v>180</v>
      </c>
      <c r="E66" s="23">
        <v>1998</v>
      </c>
      <c r="F66" s="23">
        <v>2014</v>
      </c>
      <c r="G66" s="13" t="s">
        <v>49</v>
      </c>
      <c r="H66" s="13"/>
      <c r="I66" s="13" t="s">
        <v>54</v>
      </c>
      <c r="J66" s="13" t="s">
        <v>89</v>
      </c>
      <c r="K66" s="13"/>
      <c r="L66" s="15">
        <v>39.9</v>
      </c>
      <c r="M66" s="16" t="s">
        <v>41</v>
      </c>
      <c r="N66" s="13" t="s">
        <v>99</v>
      </c>
      <c r="O66" s="13" t="s">
        <v>178</v>
      </c>
      <c r="P66" s="12">
        <f>IF(Q66="", 0, 1)</f>
        <v>1</v>
      </c>
      <c r="Q66" s="15">
        <v>211</v>
      </c>
      <c r="R66" s="17"/>
      <c r="S66" s="17"/>
      <c r="T66" s="17">
        <v>7</v>
      </c>
      <c r="U66" s="17"/>
      <c r="V66" s="17"/>
      <c r="W66" s="17"/>
      <c r="X66" s="17"/>
      <c r="Y66" s="17"/>
      <c r="Z66" s="17" t="str">
        <f>IF(T66="", "mean", "med")</f>
        <v>med</v>
      </c>
      <c r="AA66" s="17">
        <f>IF(T66="", R66, T66)</f>
        <v>7</v>
      </c>
      <c r="AB66" s="12">
        <f>IF(AC66="", 0, 1)</f>
        <v>0</v>
      </c>
      <c r="AC66" s="14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>
        <f>IF(AO66="", 0, 1)</f>
        <v>0</v>
      </c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 t="s">
        <v>52</v>
      </c>
      <c r="BA66" s="12" t="str">
        <f>IF(AZ66="high","high","lower")</f>
        <v>high</v>
      </c>
      <c r="BB66" s="49">
        <v>0.90400000000000003</v>
      </c>
      <c r="BC66" s="12">
        <v>84</v>
      </c>
      <c r="BD66" s="12">
        <v>88</v>
      </c>
      <c r="BE66" s="12">
        <v>100</v>
      </c>
      <c r="BF66" s="12">
        <v>84.2</v>
      </c>
      <c r="BG66" s="18" t="s">
        <v>1030</v>
      </c>
      <c r="BH66" s="18" t="s">
        <v>1031</v>
      </c>
    </row>
    <row r="67" spans="1:60" ht="15.75" customHeight="1" x14ac:dyDescent="0.2">
      <c r="A67" s="11">
        <v>66</v>
      </c>
      <c r="B67" s="12">
        <v>2219</v>
      </c>
      <c r="C67" s="13" t="s">
        <v>175</v>
      </c>
      <c r="D67" s="13" t="s">
        <v>181</v>
      </c>
      <c r="E67" s="23">
        <v>1998</v>
      </c>
      <c r="F67" s="23">
        <v>2014</v>
      </c>
      <c r="G67" s="13" t="s">
        <v>49</v>
      </c>
      <c r="H67" s="13"/>
      <c r="I67" s="13" t="s">
        <v>54</v>
      </c>
      <c r="J67" s="13" t="s">
        <v>89</v>
      </c>
      <c r="K67" s="14"/>
      <c r="L67" s="15">
        <v>39.9</v>
      </c>
      <c r="M67" s="16" t="s">
        <v>41</v>
      </c>
      <c r="N67" s="13" t="s">
        <v>99</v>
      </c>
      <c r="O67" s="13" t="s">
        <v>178</v>
      </c>
      <c r="P67" s="12">
        <f>IF(Q67="", 0, 1)</f>
        <v>1</v>
      </c>
      <c r="Q67" s="15">
        <v>236</v>
      </c>
      <c r="R67" s="17"/>
      <c r="S67" s="17"/>
      <c r="T67" s="17">
        <v>9</v>
      </c>
      <c r="U67" s="17"/>
      <c r="V67" s="17"/>
      <c r="W67" s="17"/>
      <c r="X67" s="17"/>
      <c r="Y67" s="17"/>
      <c r="Z67" s="17" t="str">
        <f>IF(T67="", "mean", "med")</f>
        <v>med</v>
      </c>
      <c r="AA67" s="17">
        <f>IF(T67="", R67, T67)</f>
        <v>9</v>
      </c>
      <c r="AB67" s="12">
        <f>IF(AC67="", 0, 1)</f>
        <v>0</v>
      </c>
      <c r="AC67" s="13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>
        <f>IF(AO67="", 0, 1)</f>
        <v>0</v>
      </c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 t="s">
        <v>52</v>
      </c>
      <c r="BA67" s="12" t="str">
        <f>IF(AZ67="high","high","lower")</f>
        <v>high</v>
      </c>
      <c r="BB67" s="49">
        <v>0.90400000000000003</v>
      </c>
      <c r="BC67" s="12">
        <v>84</v>
      </c>
      <c r="BD67" s="12">
        <v>88</v>
      </c>
      <c r="BE67" s="12">
        <v>100</v>
      </c>
      <c r="BF67" s="12">
        <v>84.2</v>
      </c>
      <c r="BG67" s="18" t="s">
        <v>1030</v>
      </c>
      <c r="BH67" s="18" t="s">
        <v>1031</v>
      </c>
    </row>
    <row r="68" spans="1:60" ht="15.75" customHeight="1" x14ac:dyDescent="0.2">
      <c r="A68" s="11">
        <v>67</v>
      </c>
      <c r="B68" s="12">
        <v>2219</v>
      </c>
      <c r="C68" s="13" t="s">
        <v>175</v>
      </c>
      <c r="D68" s="13" t="s">
        <v>182</v>
      </c>
      <c r="E68" s="23">
        <v>1998</v>
      </c>
      <c r="F68" s="23">
        <v>2014</v>
      </c>
      <c r="G68" s="13" t="s">
        <v>49</v>
      </c>
      <c r="H68" s="13"/>
      <c r="I68" s="13" t="s">
        <v>54</v>
      </c>
      <c r="J68" s="13" t="s">
        <v>89</v>
      </c>
      <c r="K68" s="14"/>
      <c r="L68" s="15">
        <v>38</v>
      </c>
      <c r="M68" s="16" t="s">
        <v>41</v>
      </c>
      <c r="N68" s="13" t="s">
        <v>99</v>
      </c>
      <c r="O68" s="13" t="s">
        <v>178</v>
      </c>
      <c r="P68" s="12">
        <f>IF(Q68="", 0, 1)</f>
        <v>1</v>
      </c>
      <c r="Q68" s="15">
        <v>262</v>
      </c>
      <c r="R68" s="17"/>
      <c r="S68" s="17"/>
      <c r="T68" s="17">
        <v>4</v>
      </c>
      <c r="U68" s="17"/>
      <c r="V68" s="17"/>
      <c r="W68" s="17"/>
      <c r="X68" s="17"/>
      <c r="Y68" s="17"/>
      <c r="Z68" s="17" t="str">
        <f>IF(T68="", "mean", "med")</f>
        <v>med</v>
      </c>
      <c r="AA68" s="17">
        <f>IF(T68="", R68, T68)</f>
        <v>4</v>
      </c>
      <c r="AB68" s="12">
        <f>IF(AC68="", 0, 1)</f>
        <v>0</v>
      </c>
      <c r="AC68" s="13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>
        <f>IF(AO68="", 0, 1)</f>
        <v>0</v>
      </c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 t="s">
        <v>52</v>
      </c>
      <c r="BA68" s="12" t="str">
        <f>IF(AZ68="high","high","lower")</f>
        <v>high</v>
      </c>
      <c r="BB68" s="49">
        <v>0.90400000000000003</v>
      </c>
      <c r="BC68" s="12">
        <v>84</v>
      </c>
      <c r="BD68" s="12">
        <v>88</v>
      </c>
      <c r="BE68" s="12">
        <v>100</v>
      </c>
      <c r="BF68" s="12">
        <v>84.2</v>
      </c>
      <c r="BG68" s="18" t="s">
        <v>1030</v>
      </c>
      <c r="BH68" s="18" t="s">
        <v>1031</v>
      </c>
    </row>
    <row r="69" spans="1:60" ht="15.75" customHeight="1" x14ac:dyDescent="0.2">
      <c r="A69" s="11">
        <v>68</v>
      </c>
      <c r="B69" s="12">
        <v>2219</v>
      </c>
      <c r="C69" s="13" t="s">
        <v>175</v>
      </c>
      <c r="D69" s="13" t="s">
        <v>183</v>
      </c>
      <c r="E69" s="23">
        <v>1998</v>
      </c>
      <c r="F69" s="23">
        <v>2014</v>
      </c>
      <c r="G69" s="13" t="s">
        <v>49</v>
      </c>
      <c r="H69" s="13"/>
      <c r="I69" s="13" t="s">
        <v>54</v>
      </c>
      <c r="J69" s="13" t="s">
        <v>89</v>
      </c>
      <c r="K69" s="14"/>
      <c r="L69" s="15">
        <v>38</v>
      </c>
      <c r="M69" s="16" t="s">
        <v>41</v>
      </c>
      <c r="N69" s="13" t="s">
        <v>99</v>
      </c>
      <c r="O69" s="13" t="s">
        <v>178</v>
      </c>
      <c r="P69" s="12">
        <f>IF(Q69="", 0, 1)</f>
        <v>1</v>
      </c>
      <c r="Q69" s="15">
        <v>474</v>
      </c>
      <c r="R69" s="17"/>
      <c r="S69" s="17"/>
      <c r="T69" s="17">
        <v>9</v>
      </c>
      <c r="U69" s="17"/>
      <c r="V69" s="17"/>
      <c r="W69" s="17"/>
      <c r="X69" s="17"/>
      <c r="Y69" s="17"/>
      <c r="Z69" s="17" t="str">
        <f>IF(T69="", "mean", "med")</f>
        <v>med</v>
      </c>
      <c r="AA69" s="17">
        <f>IF(T69="", R69, T69)</f>
        <v>9</v>
      </c>
      <c r="AB69" s="12">
        <f>IF(AC69="", 0, 1)</f>
        <v>0</v>
      </c>
      <c r="AC69" s="13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>
        <f>IF(AO69="", 0, 1)</f>
        <v>0</v>
      </c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 t="s">
        <v>52</v>
      </c>
      <c r="BA69" s="12" t="str">
        <f>IF(AZ69="high","high","lower")</f>
        <v>high</v>
      </c>
      <c r="BB69" s="49">
        <v>0.90400000000000003</v>
      </c>
      <c r="BC69" s="12">
        <v>84</v>
      </c>
      <c r="BD69" s="12">
        <v>88</v>
      </c>
      <c r="BE69" s="12">
        <v>100</v>
      </c>
      <c r="BF69" s="12">
        <v>84.2</v>
      </c>
      <c r="BG69" s="18" t="s">
        <v>1030</v>
      </c>
      <c r="BH69" s="18" t="s">
        <v>1031</v>
      </c>
    </row>
    <row r="70" spans="1:60" ht="15.75" customHeight="1" x14ac:dyDescent="0.2">
      <c r="A70" s="11">
        <v>69</v>
      </c>
      <c r="B70" s="12">
        <v>2219</v>
      </c>
      <c r="C70" s="13" t="s">
        <v>175</v>
      </c>
      <c r="D70" s="13" t="s">
        <v>184</v>
      </c>
      <c r="E70" s="23">
        <v>1998</v>
      </c>
      <c r="F70" s="23">
        <v>2014</v>
      </c>
      <c r="G70" s="13" t="s">
        <v>49</v>
      </c>
      <c r="H70" s="13"/>
      <c r="I70" s="13" t="s">
        <v>54</v>
      </c>
      <c r="J70" s="13" t="s">
        <v>89</v>
      </c>
      <c r="K70" s="13"/>
      <c r="L70" s="15">
        <v>38</v>
      </c>
      <c r="M70" s="16" t="s">
        <v>41</v>
      </c>
      <c r="N70" s="13" t="s">
        <v>99</v>
      </c>
      <c r="O70" s="13" t="s">
        <v>178</v>
      </c>
      <c r="P70" s="12">
        <f>IF(Q70="", 0, 1)</f>
        <v>1</v>
      </c>
      <c r="Q70" s="15">
        <v>693</v>
      </c>
      <c r="R70" s="17"/>
      <c r="S70" s="17"/>
      <c r="T70" s="17">
        <v>7</v>
      </c>
      <c r="U70" s="17"/>
      <c r="V70" s="17"/>
      <c r="W70" s="17"/>
      <c r="X70" s="17"/>
      <c r="Y70" s="17"/>
      <c r="Z70" s="17" t="str">
        <f>IF(T70="", "mean", "med")</f>
        <v>med</v>
      </c>
      <c r="AA70" s="17">
        <f>IF(T70="", R70, T70)</f>
        <v>7</v>
      </c>
      <c r="AB70" s="12">
        <f>IF(AC70="", 0, 1)</f>
        <v>0</v>
      </c>
      <c r="AC70" s="13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>
        <f>IF(AO70="", 0, 1)</f>
        <v>0</v>
      </c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 t="s">
        <v>52</v>
      </c>
      <c r="BA70" s="12" t="str">
        <f>IF(AZ70="high","high","lower")</f>
        <v>high</v>
      </c>
      <c r="BB70" s="49">
        <v>0.90400000000000003</v>
      </c>
      <c r="BC70" s="12">
        <v>84</v>
      </c>
      <c r="BD70" s="12">
        <v>88</v>
      </c>
      <c r="BE70" s="12">
        <v>100</v>
      </c>
      <c r="BF70" s="12">
        <v>84.2</v>
      </c>
      <c r="BG70" s="18" t="s">
        <v>1030</v>
      </c>
      <c r="BH70" s="18" t="s">
        <v>1031</v>
      </c>
    </row>
    <row r="71" spans="1:60" ht="15.75" customHeight="1" x14ac:dyDescent="0.2">
      <c r="A71" s="11">
        <v>70</v>
      </c>
      <c r="B71" s="12">
        <v>2219</v>
      </c>
      <c r="C71" s="13" t="s">
        <v>175</v>
      </c>
      <c r="D71" s="13" t="s">
        <v>185</v>
      </c>
      <c r="E71" s="23">
        <v>1998</v>
      </c>
      <c r="F71" s="23">
        <v>2014</v>
      </c>
      <c r="G71" s="13" t="s">
        <v>49</v>
      </c>
      <c r="H71" s="13"/>
      <c r="I71" s="13" t="s">
        <v>54</v>
      </c>
      <c r="J71" s="13" t="s">
        <v>89</v>
      </c>
      <c r="K71" s="14"/>
      <c r="L71" s="15">
        <v>38</v>
      </c>
      <c r="M71" s="16" t="s">
        <v>41</v>
      </c>
      <c r="N71" s="13" t="s">
        <v>99</v>
      </c>
      <c r="O71" s="13" t="s">
        <v>178</v>
      </c>
      <c r="P71" s="12">
        <f>IF(Q71="", 0, 1)</f>
        <v>1</v>
      </c>
      <c r="Q71" s="15">
        <v>922</v>
      </c>
      <c r="R71" s="17"/>
      <c r="S71" s="17"/>
      <c r="T71" s="17">
        <v>7</v>
      </c>
      <c r="U71" s="17"/>
      <c r="V71" s="17"/>
      <c r="W71" s="17"/>
      <c r="X71" s="17"/>
      <c r="Y71" s="17"/>
      <c r="Z71" s="17" t="str">
        <f>IF(T71="", "mean", "med")</f>
        <v>med</v>
      </c>
      <c r="AA71" s="17">
        <f>IF(T71="", R71, T71)</f>
        <v>7</v>
      </c>
      <c r="AB71" s="12">
        <f>IF(AC71="", 0, 1)</f>
        <v>0</v>
      </c>
      <c r="AC71" s="13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>
        <f>IF(AO71="", 0, 1)</f>
        <v>0</v>
      </c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 t="s">
        <v>52</v>
      </c>
      <c r="BA71" s="12" t="str">
        <f>IF(AZ71="high","high","lower")</f>
        <v>high</v>
      </c>
      <c r="BB71" s="49">
        <v>0.90400000000000003</v>
      </c>
      <c r="BC71" s="12">
        <v>84</v>
      </c>
      <c r="BD71" s="12">
        <v>88</v>
      </c>
      <c r="BE71" s="12">
        <v>100</v>
      </c>
      <c r="BF71" s="12">
        <v>84.2</v>
      </c>
      <c r="BG71" s="18" t="s">
        <v>1030</v>
      </c>
      <c r="BH71" s="18" t="s">
        <v>1031</v>
      </c>
    </row>
    <row r="72" spans="1:60" ht="15.75" customHeight="1" x14ac:dyDescent="0.2">
      <c r="A72" s="11">
        <v>71</v>
      </c>
      <c r="B72" s="12">
        <v>2220</v>
      </c>
      <c r="C72" s="13" t="s">
        <v>175</v>
      </c>
      <c r="D72" s="13" t="s">
        <v>38</v>
      </c>
      <c r="E72" s="23">
        <v>1998</v>
      </c>
      <c r="F72" s="23">
        <v>2010</v>
      </c>
      <c r="G72" s="13" t="s">
        <v>49</v>
      </c>
      <c r="H72" s="13"/>
      <c r="I72" s="14" t="s">
        <v>40</v>
      </c>
      <c r="J72" s="13" t="s">
        <v>40</v>
      </c>
      <c r="K72" s="13"/>
      <c r="L72" s="19">
        <v>100</v>
      </c>
      <c r="M72" s="16">
        <v>54.5</v>
      </c>
      <c r="N72" s="13" t="s">
        <v>99</v>
      </c>
      <c r="O72" s="14" t="s">
        <v>90</v>
      </c>
      <c r="P72" s="12">
        <f>IF(Q72="", 0, 1)</f>
        <v>1</v>
      </c>
      <c r="Q72" s="15">
        <v>9669</v>
      </c>
      <c r="R72" s="17"/>
      <c r="S72" s="17"/>
      <c r="T72" s="17">
        <v>21</v>
      </c>
      <c r="U72" s="17">
        <v>7</v>
      </c>
      <c r="V72" s="17">
        <v>35</v>
      </c>
      <c r="W72" s="17"/>
      <c r="X72" s="17"/>
      <c r="Y72" s="17"/>
      <c r="Z72" s="17" t="str">
        <f>IF(T72="", "mean", "med")</f>
        <v>med</v>
      </c>
      <c r="AA72" s="17">
        <f>IF(T72="", R72, T72)</f>
        <v>21</v>
      </c>
      <c r="AB72" s="12">
        <f>IF(AC72="", 0, 1)</f>
        <v>0</v>
      </c>
      <c r="AC72" s="13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>
        <f>IF(AO72="", 0, 1)</f>
        <v>0</v>
      </c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 t="s">
        <v>52</v>
      </c>
      <c r="BA72" s="12" t="str">
        <f>IF(AZ72="high","high","lower")</f>
        <v>high</v>
      </c>
      <c r="BB72" s="49">
        <v>0.89900000000000002</v>
      </c>
      <c r="BC72" s="12">
        <v>84</v>
      </c>
      <c r="BD72" s="12">
        <v>88</v>
      </c>
      <c r="BE72" s="12">
        <v>100</v>
      </c>
      <c r="BF72" s="12">
        <v>84.2</v>
      </c>
      <c r="BG72" s="18" t="s">
        <v>1030</v>
      </c>
      <c r="BH72" s="18" t="s">
        <v>1031</v>
      </c>
    </row>
    <row r="73" spans="1:60" ht="15.75" customHeight="1" x14ac:dyDescent="0.2">
      <c r="A73" s="11">
        <v>72</v>
      </c>
      <c r="B73" s="22">
        <v>2247</v>
      </c>
      <c r="C73" s="13" t="s">
        <v>186</v>
      </c>
      <c r="D73" s="13" t="s">
        <v>187</v>
      </c>
      <c r="E73" s="23">
        <v>2012</v>
      </c>
      <c r="F73" s="23">
        <v>2014</v>
      </c>
      <c r="G73" s="13" t="s">
        <v>117</v>
      </c>
      <c r="H73" s="13"/>
      <c r="I73" s="13" t="s">
        <v>40</v>
      </c>
      <c r="J73" s="13" t="s">
        <v>40</v>
      </c>
      <c r="K73" s="13"/>
      <c r="L73" s="19">
        <v>100</v>
      </c>
      <c r="M73" s="16">
        <v>59</v>
      </c>
      <c r="N73" s="13" t="s">
        <v>42</v>
      </c>
      <c r="O73" s="13"/>
      <c r="P73" s="12">
        <f>IF(Q73="", 0, 1)</f>
        <v>0</v>
      </c>
      <c r="Q73" s="15"/>
      <c r="R73" s="21"/>
      <c r="S73" s="17"/>
      <c r="T73" s="17"/>
      <c r="U73" s="17"/>
      <c r="V73" s="17"/>
      <c r="W73" s="17"/>
      <c r="X73" s="17"/>
      <c r="Y73" s="17"/>
      <c r="Z73" s="17"/>
      <c r="AA73" s="17"/>
      <c r="AB73" s="12">
        <f>IF(AC73="", 0, 1)</f>
        <v>0</v>
      </c>
      <c r="AC73" s="13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>
        <f>IF(AO73="", 0, 1)</f>
        <v>1</v>
      </c>
      <c r="AO73" s="12">
        <v>104</v>
      </c>
      <c r="AP73" s="12">
        <v>73.8</v>
      </c>
      <c r="AQ73" s="12"/>
      <c r="AR73" s="12">
        <v>18.5</v>
      </c>
      <c r="AS73" s="12">
        <v>4</v>
      </c>
      <c r="AT73" s="12">
        <v>77.8</v>
      </c>
      <c r="AU73" s="12"/>
      <c r="AV73" s="12"/>
      <c r="AW73" s="12"/>
      <c r="AX73" s="12" t="str">
        <f>IF(AR73="", "mean", "med")</f>
        <v>med</v>
      </c>
      <c r="AY73" s="12">
        <f>IF(AR73="", AP73, AR73)</f>
        <v>18.5</v>
      </c>
      <c r="AZ73" s="12" t="s">
        <v>52</v>
      </c>
      <c r="BA73" s="12" t="str">
        <f>IF(AZ73="high","high","lower")</f>
        <v>high</v>
      </c>
      <c r="BB73" s="49">
        <v>0.93400000000000005</v>
      </c>
      <c r="BC73" s="12">
        <v>90.6</v>
      </c>
      <c r="BD73" s="12">
        <v>98</v>
      </c>
      <c r="BE73" s="12">
        <v>100</v>
      </c>
      <c r="BF73" s="12">
        <v>90</v>
      </c>
      <c r="BG73" s="18" t="s">
        <v>1034</v>
      </c>
      <c r="BH73" s="18" t="s">
        <v>1031</v>
      </c>
    </row>
    <row r="74" spans="1:60" ht="15.75" customHeight="1" x14ac:dyDescent="0.2">
      <c r="A74" s="11">
        <v>73</v>
      </c>
      <c r="B74" s="22">
        <v>2247</v>
      </c>
      <c r="C74" s="13" t="s">
        <v>186</v>
      </c>
      <c r="D74" s="14" t="s">
        <v>188</v>
      </c>
      <c r="E74" s="23">
        <v>2012</v>
      </c>
      <c r="F74" s="23">
        <v>2014</v>
      </c>
      <c r="G74" s="13" t="s">
        <v>117</v>
      </c>
      <c r="H74" s="13"/>
      <c r="I74" s="13" t="s">
        <v>40</v>
      </c>
      <c r="J74" s="13" t="s">
        <v>40</v>
      </c>
      <c r="K74" s="14"/>
      <c r="L74" s="15">
        <v>100</v>
      </c>
      <c r="M74" s="16">
        <v>62</v>
      </c>
      <c r="N74" s="13" t="s">
        <v>42</v>
      </c>
      <c r="O74" s="13"/>
      <c r="P74" s="12">
        <f>IF(Q74="", 0, 1)</f>
        <v>0</v>
      </c>
      <c r="Q74" s="19"/>
      <c r="R74" s="21"/>
      <c r="S74" s="21"/>
      <c r="T74" s="17"/>
      <c r="U74" s="17"/>
      <c r="V74" s="17"/>
      <c r="W74" s="17"/>
      <c r="X74" s="17"/>
      <c r="Y74" s="17"/>
      <c r="Z74" s="17"/>
      <c r="AA74" s="17"/>
      <c r="AB74" s="12">
        <f>IF(AC74="", 0, 1)</f>
        <v>0</v>
      </c>
      <c r="AC74" s="13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>
        <f>IF(AO74="", 0, 1)</f>
        <v>1</v>
      </c>
      <c r="AO74" s="12">
        <v>165</v>
      </c>
      <c r="AP74" s="12">
        <v>80.599999999999994</v>
      </c>
      <c r="AQ74" s="12"/>
      <c r="AR74" s="12">
        <v>29</v>
      </c>
      <c r="AS74" s="12">
        <v>5.5</v>
      </c>
      <c r="AT74" s="12">
        <v>99</v>
      </c>
      <c r="AU74" s="12"/>
      <c r="AV74" s="12"/>
      <c r="AW74" s="12"/>
      <c r="AX74" s="12" t="str">
        <f>IF(AR74="", "mean", "med")</f>
        <v>med</v>
      </c>
      <c r="AY74" s="12">
        <f>IF(AR74="", AP74, AR74)</f>
        <v>29</v>
      </c>
      <c r="AZ74" s="12" t="s">
        <v>52</v>
      </c>
      <c r="BA74" s="12" t="str">
        <f>IF(AZ74="high","high","lower")</f>
        <v>high</v>
      </c>
      <c r="BB74" s="49">
        <v>0.93400000000000005</v>
      </c>
      <c r="BC74" s="12">
        <v>90.6</v>
      </c>
      <c r="BD74" s="12">
        <v>98</v>
      </c>
      <c r="BE74" s="12">
        <v>100</v>
      </c>
      <c r="BF74" s="12">
        <v>90</v>
      </c>
      <c r="BG74" s="18" t="s">
        <v>1034</v>
      </c>
      <c r="BH74" s="18" t="s">
        <v>1031</v>
      </c>
    </row>
    <row r="75" spans="1:60" ht="15.75" customHeight="1" x14ac:dyDescent="0.2">
      <c r="A75" s="11">
        <v>74</v>
      </c>
      <c r="B75" s="12">
        <v>2247</v>
      </c>
      <c r="C75" s="13" t="s">
        <v>186</v>
      </c>
      <c r="D75" s="13" t="s">
        <v>189</v>
      </c>
      <c r="E75" s="23">
        <v>2012</v>
      </c>
      <c r="F75" s="23">
        <v>2014</v>
      </c>
      <c r="G75" s="13" t="s">
        <v>117</v>
      </c>
      <c r="H75" s="13"/>
      <c r="I75" s="13" t="s">
        <v>54</v>
      </c>
      <c r="J75" s="13" t="s">
        <v>55</v>
      </c>
      <c r="K75" s="13"/>
      <c r="L75" s="19">
        <f>47/(47+56)*100</f>
        <v>45.631067961165051</v>
      </c>
      <c r="M75" s="16" t="s">
        <v>41</v>
      </c>
      <c r="N75" s="13" t="s">
        <v>42</v>
      </c>
      <c r="O75" s="13"/>
      <c r="P75" s="12">
        <f>IF(Q75="", 0, 1)</f>
        <v>0</v>
      </c>
      <c r="Q75" s="19"/>
      <c r="R75" s="21"/>
      <c r="S75" s="21"/>
      <c r="T75" s="17"/>
      <c r="U75" s="17"/>
      <c r="V75" s="17"/>
      <c r="W75" s="17"/>
      <c r="X75" s="17"/>
      <c r="Y75" s="17"/>
      <c r="Z75" s="17"/>
      <c r="AA75" s="17"/>
      <c r="AB75" s="12">
        <f>IF(AC75="", 0, 1)</f>
        <v>0</v>
      </c>
      <c r="AC75" s="13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>
        <f>IF(AO75="", 0, 1)</f>
        <v>1</v>
      </c>
      <c r="AO75" s="12">
        <v>86</v>
      </c>
      <c r="AP75" s="12">
        <v>118.1</v>
      </c>
      <c r="AQ75" s="12"/>
      <c r="AR75" s="12">
        <v>50.5</v>
      </c>
      <c r="AS75" s="12">
        <v>14</v>
      </c>
      <c r="AT75" s="12">
        <v>180</v>
      </c>
      <c r="AU75" s="12"/>
      <c r="AV75" s="12"/>
      <c r="AW75" s="12"/>
      <c r="AX75" s="12" t="str">
        <f>IF(AR75="", "mean", "med")</f>
        <v>med</v>
      </c>
      <c r="AY75" s="12">
        <f>IF(AR75="", AP75, AR75)</f>
        <v>50.5</v>
      </c>
      <c r="AZ75" s="12" t="s">
        <v>52</v>
      </c>
      <c r="BA75" s="12" t="str">
        <f>IF(AZ75="high","high","lower")</f>
        <v>high</v>
      </c>
      <c r="BB75" s="49">
        <v>0.93400000000000005</v>
      </c>
      <c r="BC75" s="12">
        <v>90.6</v>
      </c>
      <c r="BD75" s="12">
        <v>98</v>
      </c>
      <c r="BE75" s="12">
        <v>100</v>
      </c>
      <c r="BF75" s="12">
        <v>90</v>
      </c>
      <c r="BG75" s="18" t="s">
        <v>1034</v>
      </c>
      <c r="BH75" s="18" t="s">
        <v>1031</v>
      </c>
    </row>
    <row r="76" spans="1:60" ht="15.75" customHeight="1" x14ac:dyDescent="0.2">
      <c r="A76" s="11">
        <v>75</v>
      </c>
      <c r="B76" s="22">
        <v>2247</v>
      </c>
      <c r="C76" s="13" t="s">
        <v>186</v>
      </c>
      <c r="D76" s="13" t="s">
        <v>190</v>
      </c>
      <c r="E76" s="23">
        <v>2012</v>
      </c>
      <c r="F76" s="23">
        <v>2014</v>
      </c>
      <c r="G76" s="13" t="s">
        <v>117</v>
      </c>
      <c r="H76" s="13"/>
      <c r="I76" s="13" t="s">
        <v>54</v>
      </c>
      <c r="J76" s="13" t="s">
        <v>55</v>
      </c>
      <c r="K76" s="13"/>
      <c r="L76" s="19">
        <f>73/(73+79)*100</f>
        <v>48.026315789473685</v>
      </c>
      <c r="M76" s="16" t="s">
        <v>41</v>
      </c>
      <c r="N76" s="13" t="s">
        <v>42</v>
      </c>
      <c r="O76" s="13"/>
      <c r="P76" s="12">
        <f>IF(Q76="", 0, 1)</f>
        <v>0</v>
      </c>
      <c r="Q76" s="19"/>
      <c r="R76" s="21"/>
      <c r="S76" s="21"/>
      <c r="T76" s="17"/>
      <c r="U76" s="17"/>
      <c r="V76" s="17"/>
      <c r="W76" s="17"/>
      <c r="X76" s="17"/>
      <c r="Y76" s="17"/>
      <c r="Z76" s="17"/>
      <c r="AA76" s="17"/>
      <c r="AB76" s="12">
        <f>IF(AC76="", 0, 1)</f>
        <v>0</v>
      </c>
      <c r="AC76" s="13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>
        <f>IF(AO76="", 0, 1)</f>
        <v>1</v>
      </c>
      <c r="AO76" s="12">
        <v>114</v>
      </c>
      <c r="AP76" s="12">
        <v>113.5</v>
      </c>
      <c r="AQ76" s="12"/>
      <c r="AR76" s="12">
        <v>53</v>
      </c>
      <c r="AS76" s="12">
        <v>14</v>
      </c>
      <c r="AT76" s="12">
        <v>148.80000000000001</v>
      </c>
      <c r="AU76" s="12"/>
      <c r="AV76" s="12"/>
      <c r="AW76" s="12"/>
      <c r="AX76" s="12" t="str">
        <f>IF(AR76="", "mean", "med")</f>
        <v>med</v>
      </c>
      <c r="AY76" s="12">
        <f>IF(AR76="", AP76, AR76)</f>
        <v>53</v>
      </c>
      <c r="AZ76" s="12" t="s">
        <v>52</v>
      </c>
      <c r="BA76" s="12" t="str">
        <f>IF(AZ76="high","high","lower")</f>
        <v>high</v>
      </c>
      <c r="BB76" s="49">
        <v>0.93400000000000005</v>
      </c>
      <c r="BC76" s="12">
        <v>90.6</v>
      </c>
      <c r="BD76" s="12">
        <v>98</v>
      </c>
      <c r="BE76" s="12">
        <v>100</v>
      </c>
      <c r="BF76" s="12">
        <v>90</v>
      </c>
      <c r="BG76" s="18" t="s">
        <v>1034</v>
      </c>
      <c r="BH76" s="18" t="s">
        <v>1031</v>
      </c>
    </row>
    <row r="77" spans="1:60" ht="15.75" customHeight="1" x14ac:dyDescent="0.2">
      <c r="A77" s="11">
        <v>76</v>
      </c>
      <c r="B77" s="22">
        <v>2247</v>
      </c>
      <c r="C77" s="13" t="s">
        <v>186</v>
      </c>
      <c r="D77" s="13" t="s">
        <v>191</v>
      </c>
      <c r="E77" s="23">
        <v>2012</v>
      </c>
      <c r="F77" s="23">
        <v>2014</v>
      </c>
      <c r="G77" s="13" t="s">
        <v>117</v>
      </c>
      <c r="H77" s="13"/>
      <c r="I77" s="13" t="s">
        <v>57</v>
      </c>
      <c r="J77" s="13" t="s">
        <v>58</v>
      </c>
      <c r="K77" s="13"/>
      <c r="L77" s="15">
        <f>(20/50)*100</f>
        <v>40</v>
      </c>
      <c r="M77" s="16" t="s">
        <v>41</v>
      </c>
      <c r="N77" s="13" t="s">
        <v>42</v>
      </c>
      <c r="O77" s="13"/>
      <c r="P77" s="12">
        <f>IF(Q77="", 0, 1)</f>
        <v>0</v>
      </c>
      <c r="Q77" s="15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2">
        <f>IF(AC77="", 0, 1)</f>
        <v>0</v>
      </c>
      <c r="AC77" s="13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>
        <f>IF(AO77="", 0, 1)</f>
        <v>1</v>
      </c>
      <c r="AO77" s="12">
        <v>36</v>
      </c>
      <c r="AP77" s="12">
        <v>111.5</v>
      </c>
      <c r="AQ77" s="12"/>
      <c r="AR77" s="12">
        <v>54.5</v>
      </c>
      <c r="AS77" s="12">
        <v>17.8</v>
      </c>
      <c r="AT77" s="12">
        <v>155.5</v>
      </c>
      <c r="AU77" s="12"/>
      <c r="AV77" s="12"/>
      <c r="AW77" s="12"/>
      <c r="AX77" s="12" t="str">
        <f>IF(AR77="", "mean", "med")</f>
        <v>med</v>
      </c>
      <c r="AY77" s="12">
        <f>IF(AR77="", AP77, AR77)</f>
        <v>54.5</v>
      </c>
      <c r="AZ77" s="12" t="s">
        <v>52</v>
      </c>
      <c r="BA77" s="12" t="str">
        <f>IF(AZ77="high","high","lower")</f>
        <v>high</v>
      </c>
      <c r="BB77" s="49">
        <v>0.93400000000000005</v>
      </c>
      <c r="BC77" s="12">
        <v>90.6</v>
      </c>
      <c r="BD77" s="12">
        <v>98</v>
      </c>
      <c r="BE77" s="12">
        <v>100</v>
      </c>
      <c r="BF77" s="12">
        <v>90</v>
      </c>
      <c r="BG77" s="18" t="s">
        <v>1034</v>
      </c>
      <c r="BH77" s="18" t="s">
        <v>1031</v>
      </c>
    </row>
    <row r="78" spans="1:60" ht="15.75" customHeight="1" x14ac:dyDescent="0.2">
      <c r="A78" s="11">
        <v>77</v>
      </c>
      <c r="B78" s="22">
        <v>2247</v>
      </c>
      <c r="C78" s="13" t="s">
        <v>186</v>
      </c>
      <c r="D78" s="13" t="s">
        <v>192</v>
      </c>
      <c r="E78" s="23">
        <v>2012</v>
      </c>
      <c r="F78" s="23">
        <v>2014</v>
      </c>
      <c r="G78" s="13" t="s">
        <v>117</v>
      </c>
      <c r="H78" s="13"/>
      <c r="I78" s="13" t="s">
        <v>57</v>
      </c>
      <c r="J78" s="13" t="s">
        <v>58</v>
      </c>
      <c r="K78" s="13"/>
      <c r="L78" s="15">
        <f>27/(27+40)*100</f>
        <v>40.298507462686565</v>
      </c>
      <c r="M78" s="16" t="s">
        <v>41</v>
      </c>
      <c r="N78" s="13" t="s">
        <v>42</v>
      </c>
      <c r="O78" s="13"/>
      <c r="P78" s="12">
        <f>IF(Q78="", 0, 1)</f>
        <v>0</v>
      </c>
      <c r="Q78" s="15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2">
        <f>IF(AC78="", 0, 1)</f>
        <v>0</v>
      </c>
      <c r="AC78" s="13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>
        <f>IF(AO78="", 0, 1)</f>
        <v>1</v>
      </c>
      <c r="AO78" s="12">
        <v>57</v>
      </c>
      <c r="AP78" s="12">
        <v>83.6</v>
      </c>
      <c r="AQ78" s="12"/>
      <c r="AR78" s="12">
        <v>30</v>
      </c>
      <c r="AS78" s="12">
        <v>7</v>
      </c>
      <c r="AT78" s="12">
        <v>103</v>
      </c>
      <c r="AU78" s="12"/>
      <c r="AV78" s="12"/>
      <c r="AW78" s="12"/>
      <c r="AX78" s="12" t="str">
        <f>IF(AR78="", "mean", "med")</f>
        <v>med</v>
      </c>
      <c r="AY78" s="12">
        <f>IF(AR78="", AP78, AR78)</f>
        <v>30</v>
      </c>
      <c r="AZ78" s="12" t="s">
        <v>52</v>
      </c>
      <c r="BA78" s="12" t="str">
        <f>IF(AZ78="high","high","lower")</f>
        <v>high</v>
      </c>
      <c r="BB78" s="49">
        <v>0.93400000000000005</v>
      </c>
      <c r="BC78" s="12">
        <v>90.6</v>
      </c>
      <c r="BD78" s="12">
        <v>98</v>
      </c>
      <c r="BE78" s="12">
        <v>100</v>
      </c>
      <c r="BF78" s="12">
        <v>90</v>
      </c>
      <c r="BG78" s="18" t="s">
        <v>1034</v>
      </c>
      <c r="BH78" s="18" t="s">
        <v>1031</v>
      </c>
    </row>
    <row r="79" spans="1:60" ht="15.75" customHeight="1" x14ac:dyDescent="0.2">
      <c r="A79" s="11">
        <v>78</v>
      </c>
      <c r="B79" s="12">
        <v>2247</v>
      </c>
      <c r="C79" s="13" t="s">
        <v>186</v>
      </c>
      <c r="D79" s="13" t="s">
        <v>193</v>
      </c>
      <c r="E79" s="23">
        <v>2012</v>
      </c>
      <c r="F79" s="23">
        <v>2014</v>
      </c>
      <c r="G79" s="13" t="s">
        <v>117</v>
      </c>
      <c r="H79" s="13"/>
      <c r="I79" s="13" t="s">
        <v>59</v>
      </c>
      <c r="J79" s="13" t="s">
        <v>60</v>
      </c>
      <c r="K79" s="13"/>
      <c r="L79" s="19">
        <v>0</v>
      </c>
      <c r="M79" s="16">
        <v>67</v>
      </c>
      <c r="N79" s="13" t="s">
        <v>42</v>
      </c>
      <c r="O79" s="14"/>
      <c r="P79" s="12">
        <f>IF(Q79="", 0, 1)</f>
        <v>0</v>
      </c>
      <c r="Q79" s="15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2">
        <f>IF(AC79="", 0, 1)</f>
        <v>0</v>
      </c>
      <c r="AC79" s="13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>
        <f>IF(AO79="", 0, 1)</f>
        <v>1</v>
      </c>
      <c r="AO79" s="12">
        <v>80</v>
      </c>
      <c r="AP79" s="12">
        <v>136</v>
      </c>
      <c r="AQ79" s="12"/>
      <c r="AR79" s="12">
        <v>86.5</v>
      </c>
      <c r="AS79" s="12">
        <v>18.8</v>
      </c>
      <c r="AT79" s="12">
        <v>183.8</v>
      </c>
      <c r="AU79" s="12"/>
      <c r="AV79" s="12"/>
      <c r="AW79" s="12"/>
      <c r="AX79" s="12" t="str">
        <f>IF(AR79="", "mean", "med")</f>
        <v>med</v>
      </c>
      <c r="AY79" s="12">
        <f>IF(AR79="", AP79, AR79)</f>
        <v>86.5</v>
      </c>
      <c r="AZ79" s="12" t="s">
        <v>52</v>
      </c>
      <c r="BA79" s="12" t="str">
        <f>IF(AZ79="high","high","lower")</f>
        <v>high</v>
      </c>
      <c r="BB79" s="49">
        <v>0.93400000000000005</v>
      </c>
      <c r="BC79" s="12">
        <v>90.6</v>
      </c>
      <c r="BD79" s="12">
        <v>98</v>
      </c>
      <c r="BE79" s="12">
        <v>100</v>
      </c>
      <c r="BF79" s="12">
        <v>90</v>
      </c>
      <c r="BG79" s="18" t="s">
        <v>1034</v>
      </c>
      <c r="BH79" s="18" t="s">
        <v>1031</v>
      </c>
    </row>
    <row r="80" spans="1:60" ht="15.75" customHeight="1" x14ac:dyDescent="0.2">
      <c r="A80" s="11">
        <v>79</v>
      </c>
      <c r="B80" s="12">
        <v>2247</v>
      </c>
      <c r="C80" s="13" t="s">
        <v>186</v>
      </c>
      <c r="D80" s="13" t="s">
        <v>194</v>
      </c>
      <c r="E80" s="23">
        <v>2012</v>
      </c>
      <c r="F80" s="23">
        <v>2014</v>
      </c>
      <c r="G80" s="13" t="s">
        <v>117</v>
      </c>
      <c r="H80" s="13"/>
      <c r="I80" s="13" t="s">
        <v>59</v>
      </c>
      <c r="J80" s="13" t="s">
        <v>60</v>
      </c>
      <c r="K80" s="13"/>
      <c r="L80" s="19">
        <v>0</v>
      </c>
      <c r="M80" s="16">
        <v>67</v>
      </c>
      <c r="N80" s="13" t="s">
        <v>42</v>
      </c>
      <c r="O80" s="14"/>
      <c r="P80" s="12">
        <f>IF(Q80="", 0, 1)</f>
        <v>0</v>
      </c>
      <c r="Q80" s="15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2">
        <f>IF(AC80="", 0, 1)</f>
        <v>0</v>
      </c>
      <c r="AC80" s="13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>
        <f>IF(AO80="", 0, 1)</f>
        <v>1</v>
      </c>
      <c r="AO80" s="12">
        <v>132</v>
      </c>
      <c r="AP80" s="12">
        <v>146.80000000000001</v>
      </c>
      <c r="AQ80" s="12"/>
      <c r="AR80" s="12">
        <v>91</v>
      </c>
      <c r="AS80" s="12">
        <v>28.3</v>
      </c>
      <c r="AT80" s="12">
        <v>202.5</v>
      </c>
      <c r="AU80" s="12"/>
      <c r="AV80" s="12"/>
      <c r="AW80" s="12"/>
      <c r="AX80" s="12" t="str">
        <f>IF(AR80="", "mean", "med")</f>
        <v>med</v>
      </c>
      <c r="AY80" s="12">
        <f>IF(AR80="", AP80, AR80)</f>
        <v>91</v>
      </c>
      <c r="AZ80" s="12" t="s">
        <v>52</v>
      </c>
      <c r="BA80" s="12" t="str">
        <f>IF(AZ80="high","high","lower")</f>
        <v>high</v>
      </c>
      <c r="BB80" s="49">
        <v>0.93400000000000005</v>
      </c>
      <c r="BC80" s="12">
        <v>90.6</v>
      </c>
      <c r="BD80" s="12">
        <v>98</v>
      </c>
      <c r="BE80" s="12">
        <v>100</v>
      </c>
      <c r="BF80" s="12">
        <v>90</v>
      </c>
      <c r="BG80" s="18" t="s">
        <v>1034</v>
      </c>
      <c r="BH80" s="18" t="s">
        <v>1031</v>
      </c>
    </row>
    <row r="81" spans="1:60" ht="15.75" customHeight="1" x14ac:dyDescent="0.2">
      <c r="A81" s="11">
        <v>80</v>
      </c>
      <c r="B81" s="12">
        <v>2257</v>
      </c>
      <c r="C81" s="13" t="s">
        <v>195</v>
      </c>
      <c r="D81" s="13" t="s">
        <v>89</v>
      </c>
      <c r="E81" s="23">
        <v>2006</v>
      </c>
      <c r="F81" s="23">
        <v>2009</v>
      </c>
      <c r="G81" s="13" t="s">
        <v>125</v>
      </c>
      <c r="H81" s="13"/>
      <c r="I81" s="13" t="s">
        <v>54</v>
      </c>
      <c r="J81" s="13" t="s">
        <v>89</v>
      </c>
      <c r="K81" s="14"/>
      <c r="L81" s="15" t="s">
        <v>41</v>
      </c>
      <c r="M81" s="16" t="s">
        <v>41</v>
      </c>
      <c r="N81" s="13" t="s">
        <v>42</v>
      </c>
      <c r="O81" s="13" t="s">
        <v>196</v>
      </c>
      <c r="P81" s="12">
        <f>IF(Q81="", 0, 1)</f>
        <v>1</v>
      </c>
      <c r="Q81" s="15">
        <v>481</v>
      </c>
      <c r="R81" s="17"/>
      <c r="S81" s="17"/>
      <c r="T81" s="17">
        <v>18</v>
      </c>
      <c r="U81" s="17">
        <v>4</v>
      </c>
      <c r="V81" s="17">
        <v>33</v>
      </c>
      <c r="W81" s="17"/>
      <c r="X81" s="17"/>
      <c r="Y81" s="17"/>
      <c r="Z81" s="17" t="str">
        <f>IF(T81="", "mean", "med")</f>
        <v>med</v>
      </c>
      <c r="AA81" s="17">
        <f>IF(T81="", R81, T81)</f>
        <v>18</v>
      </c>
      <c r="AB81" s="12">
        <f>IF(AC81="", 0, 1)</f>
        <v>1</v>
      </c>
      <c r="AC81" s="13">
        <v>481</v>
      </c>
      <c r="AD81" s="12"/>
      <c r="AE81" s="12"/>
      <c r="AF81" s="12">
        <v>64</v>
      </c>
      <c r="AG81" s="12">
        <v>23</v>
      </c>
      <c r="AH81" s="12">
        <v>164.5</v>
      </c>
      <c r="AI81" s="12"/>
      <c r="AJ81" s="12"/>
      <c r="AK81" s="12"/>
      <c r="AL81" s="12" t="str">
        <f>IF(AF81="", "mean", "med")</f>
        <v>med</v>
      </c>
      <c r="AM81" s="12">
        <f>IF(AF81="", AD81, AF81)</f>
        <v>64</v>
      </c>
      <c r="AN81" s="12">
        <f>IF(AO81="", 0, 1)</f>
        <v>1</v>
      </c>
      <c r="AO81" s="12">
        <v>481</v>
      </c>
      <c r="AP81" s="12"/>
      <c r="AQ81" s="12"/>
      <c r="AR81" s="12">
        <v>18</v>
      </c>
      <c r="AS81" s="12">
        <v>3</v>
      </c>
      <c r="AT81" s="12">
        <v>74</v>
      </c>
      <c r="AU81" s="12"/>
      <c r="AV81" s="12"/>
      <c r="AW81" s="12"/>
      <c r="AX81" s="12" t="str">
        <f>IF(AR81="", "mean", "med")</f>
        <v>med</v>
      </c>
      <c r="AY81" s="12">
        <f>IF(AR81="", AP81, AR81)</f>
        <v>18</v>
      </c>
      <c r="AZ81" s="12" t="s">
        <v>52</v>
      </c>
      <c r="BA81" s="12" t="str">
        <f>IF(AZ81="high","high","lower")</f>
        <v>high</v>
      </c>
      <c r="BB81" s="49">
        <v>0.86099999999999999</v>
      </c>
      <c r="BC81" s="12">
        <v>84</v>
      </c>
      <c r="BD81" s="12">
        <v>89.7</v>
      </c>
      <c r="BE81" s="12">
        <v>70.8</v>
      </c>
      <c r="BF81" s="12">
        <v>89.2</v>
      </c>
      <c r="BG81" s="18" t="s">
        <v>1030</v>
      </c>
      <c r="BH81" s="18" t="s">
        <v>1031</v>
      </c>
    </row>
    <row r="82" spans="1:60" ht="15.75" customHeight="1" x14ac:dyDescent="0.2">
      <c r="A82" s="11">
        <v>81</v>
      </c>
      <c r="B82" s="12">
        <v>2257</v>
      </c>
      <c r="C82" s="13" t="s">
        <v>195</v>
      </c>
      <c r="D82" s="13" t="s">
        <v>197</v>
      </c>
      <c r="E82" s="23">
        <v>2006</v>
      </c>
      <c r="F82" s="23">
        <v>2009</v>
      </c>
      <c r="G82" s="13" t="s">
        <v>125</v>
      </c>
      <c r="H82" s="13"/>
      <c r="I82" s="13" t="s">
        <v>54</v>
      </c>
      <c r="J82" s="13" t="s">
        <v>227</v>
      </c>
      <c r="K82" s="13"/>
      <c r="L82" s="15" t="s">
        <v>41</v>
      </c>
      <c r="M82" s="16" t="s">
        <v>41</v>
      </c>
      <c r="N82" s="13" t="s">
        <v>42</v>
      </c>
      <c r="O82" s="14" t="s">
        <v>196</v>
      </c>
      <c r="P82" s="12">
        <f>IF(Q82="", 0, 1)</f>
        <v>1</v>
      </c>
      <c r="Q82" s="15">
        <v>314</v>
      </c>
      <c r="R82" s="17"/>
      <c r="S82" s="17"/>
      <c r="T82" s="17">
        <v>22</v>
      </c>
      <c r="U82" s="17">
        <v>8</v>
      </c>
      <c r="V82" s="17">
        <v>38</v>
      </c>
      <c r="W82" s="17"/>
      <c r="X82" s="17"/>
      <c r="Y82" s="17"/>
      <c r="Z82" s="17" t="str">
        <f>IF(T82="", "mean", "med")</f>
        <v>med</v>
      </c>
      <c r="AA82" s="17">
        <f>IF(T82="", R82, T82)</f>
        <v>22</v>
      </c>
      <c r="AB82" s="12">
        <f>IF(AC82="", 0, 1)</f>
        <v>1</v>
      </c>
      <c r="AC82" s="13">
        <v>314</v>
      </c>
      <c r="AD82" s="12"/>
      <c r="AE82" s="12"/>
      <c r="AF82" s="12">
        <v>62</v>
      </c>
      <c r="AG82" s="12">
        <v>22</v>
      </c>
      <c r="AH82" s="12">
        <v>156</v>
      </c>
      <c r="AI82" s="12"/>
      <c r="AJ82" s="12"/>
      <c r="AK82" s="12"/>
      <c r="AL82" s="12" t="str">
        <f>IF(AF82="", "mean", "med")</f>
        <v>med</v>
      </c>
      <c r="AM82" s="12">
        <f>IF(AF82="", AD82, AF82)</f>
        <v>62</v>
      </c>
      <c r="AN82" s="12">
        <f>IF(AO82="", 0, 1)</f>
        <v>1</v>
      </c>
      <c r="AO82" s="12">
        <v>314</v>
      </c>
      <c r="AP82" s="12"/>
      <c r="AQ82" s="12"/>
      <c r="AR82" s="12">
        <v>20</v>
      </c>
      <c r="AS82" s="12">
        <v>3</v>
      </c>
      <c r="AT82" s="12">
        <v>83.2</v>
      </c>
      <c r="AU82" s="12"/>
      <c r="AV82" s="12"/>
      <c r="AW82" s="12"/>
      <c r="AX82" s="12" t="str">
        <f>IF(AR82="", "mean", "med")</f>
        <v>med</v>
      </c>
      <c r="AY82" s="12">
        <f>IF(AR82="", AP82, AR82)</f>
        <v>20</v>
      </c>
      <c r="AZ82" s="12" t="s">
        <v>52</v>
      </c>
      <c r="BA82" s="12" t="str">
        <f>IF(AZ82="high","high","lower")</f>
        <v>high</v>
      </c>
      <c r="BB82" s="49">
        <v>0.86099999999999999</v>
      </c>
      <c r="BC82" s="12">
        <v>84</v>
      </c>
      <c r="BD82" s="12">
        <v>89.7</v>
      </c>
      <c r="BE82" s="12">
        <v>70.8</v>
      </c>
      <c r="BF82" s="12">
        <v>89.2</v>
      </c>
      <c r="BG82" s="18" t="s">
        <v>1030</v>
      </c>
      <c r="BH82" s="18" t="s">
        <v>1031</v>
      </c>
    </row>
    <row r="83" spans="1:60" ht="15.75" customHeight="1" x14ac:dyDescent="0.2">
      <c r="A83" s="11">
        <v>82</v>
      </c>
      <c r="B83" s="12">
        <v>2278</v>
      </c>
      <c r="C83" s="13" t="s">
        <v>198</v>
      </c>
      <c r="D83" s="13" t="s">
        <v>38</v>
      </c>
      <c r="E83" s="23">
        <v>1999</v>
      </c>
      <c r="F83" s="23">
        <v>2010</v>
      </c>
      <c r="G83" s="13" t="s">
        <v>161</v>
      </c>
      <c r="H83" s="13"/>
      <c r="I83" s="31" t="s">
        <v>104</v>
      </c>
      <c r="J83" s="13" t="s">
        <v>105</v>
      </c>
      <c r="K83" s="13"/>
      <c r="L83" s="15">
        <v>100</v>
      </c>
      <c r="M83" s="20">
        <v>32</v>
      </c>
      <c r="N83" s="13" t="s">
        <v>42</v>
      </c>
      <c r="O83" s="13" t="s">
        <v>90</v>
      </c>
      <c r="P83" s="12">
        <f>IF(Q83="", 0, 1)</f>
        <v>1</v>
      </c>
      <c r="Q83" s="22">
        <v>18</v>
      </c>
      <c r="R83" s="21">
        <f>17*7</f>
        <v>119</v>
      </c>
      <c r="S83" s="17"/>
      <c r="T83" s="17"/>
      <c r="U83" s="17"/>
      <c r="V83" s="17"/>
      <c r="W83" s="17"/>
      <c r="X83" s="17">
        <v>63</v>
      </c>
      <c r="Y83" s="17">
        <v>196</v>
      </c>
      <c r="Z83" s="17" t="str">
        <f>IF(T83="", "mean", "med")</f>
        <v>mean</v>
      </c>
      <c r="AA83" s="17">
        <f>IF(T83="", R83, T83)</f>
        <v>119</v>
      </c>
      <c r="AB83" s="12">
        <f>IF(AC83="", 0, 1)</f>
        <v>0</v>
      </c>
      <c r="AC83" s="13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>
        <f>IF(AO83="", 0, 1)</f>
        <v>0</v>
      </c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 t="s">
        <v>52</v>
      </c>
      <c r="BA83" s="12" t="str">
        <f>IF(AZ83="high","high","lower")</f>
        <v>high</v>
      </c>
      <c r="BB83" s="49">
        <v>0.90400000000000003</v>
      </c>
      <c r="BC83" s="12">
        <v>88.7</v>
      </c>
      <c r="BD83" s="12">
        <v>91.8</v>
      </c>
      <c r="BE83" s="12">
        <v>100</v>
      </c>
      <c r="BF83" s="12">
        <v>91.8</v>
      </c>
      <c r="BG83" s="18" t="s">
        <v>1032</v>
      </c>
      <c r="BH83" s="18" t="s">
        <v>1033</v>
      </c>
    </row>
    <row r="84" spans="1:60" ht="15.75" customHeight="1" x14ac:dyDescent="0.2">
      <c r="A84" s="11">
        <v>83</v>
      </c>
      <c r="B84" s="12">
        <v>2304</v>
      </c>
      <c r="C84" s="13" t="s">
        <v>199</v>
      </c>
      <c r="D84" s="14" t="s">
        <v>38</v>
      </c>
      <c r="E84" s="23">
        <v>2012</v>
      </c>
      <c r="F84" s="23">
        <v>2014</v>
      </c>
      <c r="G84" s="13" t="s">
        <v>158</v>
      </c>
      <c r="H84" s="13"/>
      <c r="I84" s="13" t="s">
        <v>40</v>
      </c>
      <c r="J84" s="13" t="s">
        <v>40</v>
      </c>
      <c r="K84" s="14"/>
      <c r="L84" s="19">
        <v>100</v>
      </c>
      <c r="M84" s="20">
        <v>52.3</v>
      </c>
      <c r="N84" s="13" t="s">
        <v>50</v>
      </c>
      <c r="O84" s="13"/>
      <c r="P84" s="12">
        <f>IF(Q84="", 0, 1)</f>
        <v>0</v>
      </c>
      <c r="Q84" s="15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2">
        <f>IF(AC84="", 0, 1)</f>
        <v>0</v>
      </c>
      <c r="AC84" s="13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>
        <f>IF(AO84="", 0, 1)</f>
        <v>1</v>
      </c>
      <c r="AO84" s="22">
        <v>444</v>
      </c>
      <c r="AP84" s="12"/>
      <c r="AQ84" s="12"/>
      <c r="AR84" s="22">
        <v>39</v>
      </c>
      <c r="AS84" s="12"/>
      <c r="AT84" s="12"/>
      <c r="AU84" s="12"/>
      <c r="AV84" s="12">
        <v>0</v>
      </c>
      <c r="AW84" s="12">
        <v>1857</v>
      </c>
      <c r="AX84" s="12" t="str">
        <f>IF(AR84="", "mean", "med")</f>
        <v>med</v>
      </c>
      <c r="AY84" s="12">
        <f>IF(AR84="", AP84, AR84)</f>
        <v>39</v>
      </c>
      <c r="AZ84" s="12" t="s">
        <v>43</v>
      </c>
      <c r="BA84" s="12" t="str">
        <f>IF(AZ84="high","high","lower")</f>
        <v>lower</v>
      </c>
      <c r="BB84" s="49">
        <v>0.748</v>
      </c>
      <c r="BC84" s="12">
        <v>82.2</v>
      </c>
      <c r="BD84" s="12">
        <v>94.4</v>
      </c>
      <c r="BE84" s="12">
        <v>83.3</v>
      </c>
      <c r="BF84" s="12">
        <v>84.1</v>
      </c>
      <c r="BG84" s="18" t="s">
        <v>1030</v>
      </c>
      <c r="BH84" s="18" t="s">
        <v>1031</v>
      </c>
    </row>
    <row r="85" spans="1:60" ht="15.75" customHeight="1" x14ac:dyDescent="0.2">
      <c r="A85" s="11">
        <v>84</v>
      </c>
      <c r="B85" s="12">
        <v>2308</v>
      </c>
      <c r="C85" s="13" t="s">
        <v>200</v>
      </c>
      <c r="D85" s="13" t="s">
        <v>38</v>
      </c>
      <c r="E85" s="23">
        <v>2003</v>
      </c>
      <c r="F85" s="23">
        <v>2012</v>
      </c>
      <c r="G85" s="13" t="s">
        <v>201</v>
      </c>
      <c r="H85" s="13"/>
      <c r="I85" s="13" t="s">
        <v>40</v>
      </c>
      <c r="J85" s="13" t="s">
        <v>173</v>
      </c>
      <c r="K85" s="13"/>
      <c r="L85" s="15">
        <v>100</v>
      </c>
      <c r="M85" s="20">
        <v>36</v>
      </c>
      <c r="N85" s="13" t="s">
        <v>42</v>
      </c>
      <c r="O85" s="13"/>
      <c r="P85" s="12">
        <f>IF(Q85="", 0, 1)</f>
        <v>0</v>
      </c>
      <c r="Q85" s="19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2">
        <f>IF(AC85="", 0, 1)</f>
        <v>0</v>
      </c>
      <c r="AC85" s="13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>
        <f>IF(AO85="", 0, 1)</f>
        <v>1</v>
      </c>
      <c r="AO85" s="12">
        <v>20</v>
      </c>
      <c r="AP85" s="12">
        <f>9.4*30</f>
        <v>282</v>
      </c>
      <c r="AQ85" s="12">
        <f>7.5*30</f>
        <v>225</v>
      </c>
      <c r="AR85" s="12"/>
      <c r="AS85" s="12"/>
      <c r="AT85" s="12"/>
      <c r="AU85" s="12"/>
      <c r="AV85" s="12"/>
      <c r="AW85" s="12"/>
      <c r="AX85" s="12" t="str">
        <f>IF(AR85="", "mean", "med")</f>
        <v>mean</v>
      </c>
      <c r="AY85" s="12">
        <f>IF(AR85="", AP85, AR85)</f>
        <v>282</v>
      </c>
      <c r="AZ85" s="12" t="s">
        <v>43</v>
      </c>
      <c r="BA85" s="12" t="str">
        <f>IF(AZ85="high","high","lower")</f>
        <v>lower</v>
      </c>
      <c r="BB85" s="49">
        <v>0.71799999999999997</v>
      </c>
      <c r="BC85" s="12">
        <v>65.5</v>
      </c>
      <c r="BD85" s="12">
        <v>87.4</v>
      </c>
      <c r="BE85" s="12">
        <v>91.7</v>
      </c>
      <c r="BF85" s="12">
        <v>52.6</v>
      </c>
      <c r="BG85" s="18" t="s">
        <v>1030</v>
      </c>
      <c r="BH85" s="18" t="s">
        <v>1031</v>
      </c>
    </row>
    <row r="86" spans="1:60" ht="15.75" customHeight="1" x14ac:dyDescent="0.2">
      <c r="A86" s="11">
        <v>85</v>
      </c>
      <c r="B86" s="12">
        <v>2310</v>
      </c>
      <c r="C86" s="13" t="s">
        <v>202</v>
      </c>
      <c r="D86" s="13" t="s">
        <v>101</v>
      </c>
      <c r="E86" s="23">
        <v>2015</v>
      </c>
      <c r="F86" s="23">
        <v>2017</v>
      </c>
      <c r="G86" s="13" t="s">
        <v>145</v>
      </c>
      <c r="H86" s="13"/>
      <c r="I86" s="13" t="s">
        <v>40</v>
      </c>
      <c r="J86" s="13" t="s">
        <v>40</v>
      </c>
      <c r="K86" s="14"/>
      <c r="L86" s="15">
        <v>100</v>
      </c>
      <c r="M86" s="16">
        <v>44</v>
      </c>
      <c r="N86" s="13" t="s">
        <v>42</v>
      </c>
      <c r="O86" s="13"/>
      <c r="P86" s="12">
        <f>IF(Q86="", 0, 1)</f>
        <v>0</v>
      </c>
      <c r="Q86" s="15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2">
        <f>IF(AC86="", 0, 1)</f>
        <v>0</v>
      </c>
      <c r="AC86" s="13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>
        <f>IF(AO86="", 0, 1)</f>
        <v>1</v>
      </c>
      <c r="AO86" s="12">
        <v>252</v>
      </c>
      <c r="AP86" s="12"/>
      <c r="AQ86" s="12"/>
      <c r="AR86" s="12">
        <f>4*30</f>
        <v>120</v>
      </c>
      <c r="AS86" s="12">
        <f>2*30</f>
        <v>60</v>
      </c>
      <c r="AT86" s="12">
        <f>6*30</f>
        <v>180</v>
      </c>
      <c r="AU86" s="12"/>
      <c r="AV86" s="12"/>
      <c r="AW86" s="12"/>
      <c r="AX86" s="12" t="str">
        <f>IF(AR86="", "mean", "med")</f>
        <v>med</v>
      </c>
      <c r="AY86" s="12">
        <f>IF(AR86="", AP86, AR86)</f>
        <v>120</v>
      </c>
      <c r="AZ86" s="12" t="s">
        <v>46</v>
      </c>
      <c r="BA86" s="12" t="str">
        <f>IF(AZ86="high","high","lower")</f>
        <v>lower</v>
      </c>
      <c r="BB86" s="49">
        <v>0.63100000000000001</v>
      </c>
      <c r="BC86" s="12">
        <v>64.900000000000006</v>
      </c>
      <c r="BD86" s="12">
        <v>80.8</v>
      </c>
      <c r="BE86" s="12">
        <v>58.3</v>
      </c>
      <c r="BF86" s="12">
        <v>61.3</v>
      </c>
      <c r="BG86" s="18" t="s">
        <v>1030</v>
      </c>
      <c r="BH86" s="18" t="s">
        <v>1031</v>
      </c>
    </row>
    <row r="87" spans="1:60" ht="15.75" customHeight="1" x14ac:dyDescent="0.2">
      <c r="A87" s="11">
        <v>86</v>
      </c>
      <c r="B87" s="12">
        <v>2310</v>
      </c>
      <c r="C87" s="13" t="s">
        <v>202</v>
      </c>
      <c r="D87" s="14" t="s">
        <v>103</v>
      </c>
      <c r="E87" s="23">
        <v>2015</v>
      </c>
      <c r="F87" s="23">
        <v>2017</v>
      </c>
      <c r="G87" s="13" t="s">
        <v>145</v>
      </c>
      <c r="H87" s="13"/>
      <c r="I87" s="31" t="s">
        <v>104</v>
      </c>
      <c r="J87" s="13" t="s">
        <v>105</v>
      </c>
      <c r="K87" s="13"/>
      <c r="L87" s="15">
        <v>100</v>
      </c>
      <c r="M87" s="16">
        <v>53</v>
      </c>
      <c r="N87" s="13" t="s">
        <v>42</v>
      </c>
      <c r="O87" s="13"/>
      <c r="P87" s="12">
        <f>IF(Q87="", 0, 1)</f>
        <v>0</v>
      </c>
      <c r="Q87" s="15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2">
        <f>IF(AC87="", 0, 1)</f>
        <v>0</v>
      </c>
      <c r="AC87" s="13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>
        <f>IF(AO87="", 0, 1)</f>
        <v>1</v>
      </c>
      <c r="AO87" s="12">
        <v>286</v>
      </c>
      <c r="AP87" s="12"/>
      <c r="AQ87" s="12"/>
      <c r="AR87" s="12">
        <f>3*30</f>
        <v>90</v>
      </c>
      <c r="AS87" s="12">
        <f>30</f>
        <v>30</v>
      </c>
      <c r="AT87" s="12">
        <f>5*30</f>
        <v>150</v>
      </c>
      <c r="AU87" s="12"/>
      <c r="AV87" s="12"/>
      <c r="AW87" s="12"/>
      <c r="AX87" s="12" t="str">
        <f>IF(AR87="", "mean", "med")</f>
        <v>med</v>
      </c>
      <c r="AY87" s="12">
        <f>IF(AR87="", AP87, AR87)</f>
        <v>90</v>
      </c>
      <c r="AZ87" s="12" t="s">
        <v>46</v>
      </c>
      <c r="BA87" s="12" t="str">
        <f>IF(AZ87="high","high","lower")</f>
        <v>lower</v>
      </c>
      <c r="BB87" s="49">
        <v>0.63100000000000001</v>
      </c>
      <c r="BC87" s="12">
        <v>64.900000000000006</v>
      </c>
      <c r="BD87" s="12">
        <v>80.8</v>
      </c>
      <c r="BE87" s="12">
        <v>58.3</v>
      </c>
      <c r="BF87" s="12">
        <v>61.3</v>
      </c>
      <c r="BG87" s="18" t="s">
        <v>1030</v>
      </c>
      <c r="BH87" s="18" t="s">
        <v>1031</v>
      </c>
    </row>
    <row r="88" spans="1:60" ht="15.75" customHeight="1" x14ac:dyDescent="0.2">
      <c r="A88" s="11">
        <v>87</v>
      </c>
      <c r="B88" s="12">
        <v>2310</v>
      </c>
      <c r="C88" s="13" t="s">
        <v>202</v>
      </c>
      <c r="D88" s="14" t="s">
        <v>79</v>
      </c>
      <c r="E88" s="23">
        <v>2015</v>
      </c>
      <c r="F88" s="23">
        <v>2017</v>
      </c>
      <c r="G88" s="13" t="s">
        <v>145</v>
      </c>
      <c r="H88" s="13"/>
      <c r="I88" s="13" t="s">
        <v>79</v>
      </c>
      <c r="J88" s="13" t="s">
        <v>79</v>
      </c>
      <c r="K88" s="14"/>
      <c r="L88" s="19">
        <v>40</v>
      </c>
      <c r="M88" s="20">
        <v>54</v>
      </c>
      <c r="N88" s="13" t="s">
        <v>42</v>
      </c>
      <c r="O88" s="14"/>
      <c r="P88" s="12">
        <f>IF(Q88="", 0, 1)</f>
        <v>0</v>
      </c>
      <c r="Q88" s="15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2">
        <f>IF(AC88="", 0, 1)</f>
        <v>0</v>
      </c>
      <c r="AC88" s="13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>
        <f>IF(AO88="", 0, 1)</f>
        <v>1</v>
      </c>
      <c r="AO88" s="22">
        <v>158</v>
      </c>
      <c r="AP88" s="12"/>
      <c r="AQ88" s="12"/>
      <c r="AR88" s="22">
        <f>5*30</f>
        <v>150</v>
      </c>
      <c r="AS88" s="12">
        <f>3*30</f>
        <v>90</v>
      </c>
      <c r="AT88" s="12">
        <f>7*30</f>
        <v>210</v>
      </c>
      <c r="AU88" s="12"/>
      <c r="AV88" s="12"/>
      <c r="AW88" s="12"/>
      <c r="AX88" s="12" t="str">
        <f>IF(AR88="", "mean", "med")</f>
        <v>med</v>
      </c>
      <c r="AY88" s="12">
        <f>IF(AR88="", AP88, AR88)</f>
        <v>150</v>
      </c>
      <c r="AZ88" s="12" t="s">
        <v>46</v>
      </c>
      <c r="BA88" s="12" t="str">
        <f>IF(AZ88="high","high","lower")</f>
        <v>lower</v>
      </c>
      <c r="BB88" s="49">
        <v>0.63100000000000001</v>
      </c>
      <c r="BC88" s="12">
        <v>64.900000000000006</v>
      </c>
      <c r="BD88" s="12">
        <v>80.8</v>
      </c>
      <c r="BE88" s="12">
        <v>58.3</v>
      </c>
      <c r="BF88" s="12">
        <v>61.3</v>
      </c>
      <c r="BG88" s="18" t="s">
        <v>1030</v>
      </c>
      <c r="BH88" s="18" t="s">
        <v>1031</v>
      </c>
    </row>
    <row r="89" spans="1:60" ht="15.75" customHeight="1" x14ac:dyDescent="0.2">
      <c r="A89" s="11">
        <v>88</v>
      </c>
      <c r="B89" s="12">
        <v>2310</v>
      </c>
      <c r="C89" s="13" t="s">
        <v>202</v>
      </c>
      <c r="D89" s="13" t="s">
        <v>203</v>
      </c>
      <c r="E89" s="23">
        <v>2015</v>
      </c>
      <c r="F89" s="23">
        <v>2017</v>
      </c>
      <c r="G89" s="13" t="s">
        <v>145</v>
      </c>
      <c r="H89" s="13"/>
      <c r="I89" s="13" t="s">
        <v>57</v>
      </c>
      <c r="J89" s="13" t="s">
        <v>58</v>
      </c>
      <c r="K89" s="13"/>
      <c r="L89" s="15" t="s">
        <v>41</v>
      </c>
      <c r="M89" s="16">
        <v>59</v>
      </c>
      <c r="N89" s="13" t="s">
        <v>42</v>
      </c>
      <c r="O89" s="13"/>
      <c r="P89" s="12">
        <f>IF(Q89="", 0, 1)</f>
        <v>0</v>
      </c>
      <c r="Q89" s="15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2">
        <f>IF(AC89="", 0, 1)</f>
        <v>0</v>
      </c>
      <c r="AC89" s="13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>
        <f>IF(AO89="", 0, 1)</f>
        <v>1</v>
      </c>
      <c r="AO89" s="12">
        <v>149</v>
      </c>
      <c r="AP89" s="12"/>
      <c r="AQ89" s="12"/>
      <c r="AR89" s="12">
        <f>4*30</f>
        <v>120</v>
      </c>
      <c r="AS89" s="12">
        <f>2*30</f>
        <v>60</v>
      </c>
      <c r="AT89" s="12">
        <f>8*30</f>
        <v>240</v>
      </c>
      <c r="AU89" s="12"/>
      <c r="AV89" s="12"/>
      <c r="AW89" s="12"/>
      <c r="AX89" s="12" t="str">
        <f>IF(AR89="", "mean", "med")</f>
        <v>med</v>
      </c>
      <c r="AY89" s="12">
        <f>IF(AR89="", AP89, AR89)</f>
        <v>120</v>
      </c>
      <c r="AZ89" s="12" t="s">
        <v>46</v>
      </c>
      <c r="BA89" s="12" t="str">
        <f>IF(AZ89="high","high","lower")</f>
        <v>lower</v>
      </c>
      <c r="BB89" s="49">
        <v>0.63100000000000001</v>
      </c>
      <c r="BC89" s="12">
        <v>64.900000000000006</v>
      </c>
      <c r="BD89" s="12">
        <v>80.8</v>
      </c>
      <c r="BE89" s="12">
        <v>58.3</v>
      </c>
      <c r="BF89" s="12">
        <v>61.3</v>
      </c>
      <c r="BG89" s="18" t="s">
        <v>1030</v>
      </c>
      <c r="BH89" s="18" t="s">
        <v>1031</v>
      </c>
    </row>
    <row r="90" spans="1:60" ht="15.75" customHeight="1" x14ac:dyDescent="0.2">
      <c r="A90" s="11">
        <v>89</v>
      </c>
      <c r="B90" s="22">
        <v>2316</v>
      </c>
      <c r="C90" s="13" t="s">
        <v>204</v>
      </c>
      <c r="D90" s="13" t="s">
        <v>38</v>
      </c>
      <c r="E90" s="23">
        <v>2010</v>
      </c>
      <c r="F90" s="23">
        <v>2016</v>
      </c>
      <c r="G90" s="13" t="s">
        <v>205</v>
      </c>
      <c r="H90" s="13"/>
      <c r="I90" s="31" t="s">
        <v>104</v>
      </c>
      <c r="J90" s="13" t="s">
        <v>206</v>
      </c>
      <c r="K90" s="13"/>
      <c r="L90" s="15">
        <v>100</v>
      </c>
      <c r="M90" s="16">
        <v>67</v>
      </c>
      <c r="N90" s="13" t="s">
        <v>99</v>
      </c>
      <c r="O90" s="13"/>
      <c r="P90" s="12">
        <f>IF(Q90="", 0, 1)</f>
        <v>0</v>
      </c>
      <c r="Q90" s="15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2">
        <f>IF(AC90="", 0, 1)</f>
        <v>1</v>
      </c>
      <c r="AC90" s="13">
        <v>285</v>
      </c>
      <c r="AD90" s="12"/>
      <c r="AE90" s="12"/>
      <c r="AF90" s="12">
        <v>36</v>
      </c>
      <c r="AG90" s="12">
        <v>19</v>
      </c>
      <c r="AH90" s="12">
        <v>63</v>
      </c>
      <c r="AI90" s="12"/>
      <c r="AJ90" s="12"/>
      <c r="AK90" s="12"/>
      <c r="AL90" s="12" t="str">
        <f>IF(AF90="", "mean", "med")</f>
        <v>med</v>
      </c>
      <c r="AM90" s="12">
        <f>IF(AF90="", AD90, AF90)</f>
        <v>36</v>
      </c>
      <c r="AN90" s="12">
        <f>IF(AO90="", 0, 1)</f>
        <v>0</v>
      </c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49" t="s">
        <v>52</v>
      </c>
      <c r="BA90" s="49" t="str">
        <f>IF(AZ90="high","high","lower")</f>
        <v>high</v>
      </c>
      <c r="BB90" s="49">
        <v>0.93100000000000005</v>
      </c>
      <c r="BC90" s="49"/>
      <c r="BD90" s="49"/>
      <c r="BE90" s="49"/>
      <c r="BF90" s="49"/>
      <c r="BG90" s="18" t="s">
        <v>1030</v>
      </c>
      <c r="BH90" s="18" t="s">
        <v>1031</v>
      </c>
    </row>
    <row r="91" spans="1:60" ht="15.75" customHeight="1" x14ac:dyDescent="0.2">
      <c r="A91" s="11">
        <v>90</v>
      </c>
      <c r="B91" s="12">
        <v>2322</v>
      </c>
      <c r="C91" s="13" t="s">
        <v>207</v>
      </c>
      <c r="D91" s="13" t="s">
        <v>38</v>
      </c>
      <c r="E91" s="23">
        <v>1986</v>
      </c>
      <c r="F91" s="23">
        <v>2006</v>
      </c>
      <c r="G91" s="13" t="s">
        <v>117</v>
      </c>
      <c r="H91" s="13"/>
      <c r="I91" s="13" t="s">
        <v>40</v>
      </c>
      <c r="J91" s="13" t="s">
        <v>40</v>
      </c>
      <c r="K91" s="13"/>
      <c r="L91" s="15">
        <v>100</v>
      </c>
      <c r="M91" s="16">
        <v>65</v>
      </c>
      <c r="N91" s="13" t="s">
        <v>42</v>
      </c>
      <c r="O91" s="13"/>
      <c r="P91" s="12">
        <f>IF(Q91="", 0, 1)</f>
        <v>0</v>
      </c>
      <c r="Q91" s="15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2">
        <f>IF(AC91="", 0, 1)</f>
        <v>1</v>
      </c>
      <c r="AC91" s="13">
        <v>29</v>
      </c>
      <c r="AD91" s="12">
        <v>54</v>
      </c>
      <c r="AE91" s="12">
        <v>83</v>
      </c>
      <c r="AF91" s="12">
        <v>20</v>
      </c>
      <c r="AG91" s="12"/>
      <c r="AH91" s="12"/>
      <c r="AI91" s="12"/>
      <c r="AJ91" s="12">
        <v>0</v>
      </c>
      <c r="AK91" s="12">
        <v>393</v>
      </c>
      <c r="AL91" s="12" t="str">
        <f>IF(AF91="", "mean", "med")</f>
        <v>med</v>
      </c>
      <c r="AM91" s="12">
        <f>IF(AF91="", AD91, AF91)</f>
        <v>20</v>
      </c>
      <c r="AN91" s="12">
        <f>IF(AO91="", 0, 1)</f>
        <v>1</v>
      </c>
      <c r="AO91" s="12">
        <v>12</v>
      </c>
      <c r="AP91" s="12">
        <v>84</v>
      </c>
      <c r="AQ91" s="12">
        <v>105</v>
      </c>
      <c r="AR91" s="12">
        <v>55</v>
      </c>
      <c r="AS91" s="12"/>
      <c r="AT91" s="12"/>
      <c r="AU91" s="12"/>
      <c r="AV91" s="12">
        <v>1</v>
      </c>
      <c r="AW91" s="12">
        <v>365</v>
      </c>
      <c r="AX91" s="12" t="str">
        <f>IF(AR91="", "mean", "med")</f>
        <v>med</v>
      </c>
      <c r="AY91" s="12">
        <f>IF(AR91="", AP91, AR91)</f>
        <v>55</v>
      </c>
      <c r="AZ91" s="12" t="s">
        <v>52</v>
      </c>
      <c r="BA91" s="12" t="str">
        <f>IF(AZ91="high","high","lower")</f>
        <v>high</v>
      </c>
      <c r="BB91" s="49">
        <v>0.89300000000000002</v>
      </c>
      <c r="BC91" s="12">
        <v>90.6</v>
      </c>
      <c r="BD91" s="12">
        <v>98</v>
      </c>
      <c r="BE91" s="12">
        <v>100</v>
      </c>
      <c r="BF91" s="12">
        <v>90</v>
      </c>
      <c r="BG91" s="18" t="s">
        <v>1032</v>
      </c>
      <c r="BH91" s="18" t="s">
        <v>1033</v>
      </c>
    </row>
    <row r="92" spans="1:60" ht="15.75" customHeight="1" x14ac:dyDescent="0.2">
      <c r="A92" s="11">
        <v>91</v>
      </c>
      <c r="B92" s="12">
        <v>2324</v>
      </c>
      <c r="C92" s="13" t="s">
        <v>208</v>
      </c>
      <c r="D92" s="13" t="s">
        <v>38</v>
      </c>
      <c r="E92" s="23">
        <v>1988</v>
      </c>
      <c r="F92" s="23">
        <v>2005</v>
      </c>
      <c r="G92" s="13" t="s">
        <v>49</v>
      </c>
      <c r="H92" s="13"/>
      <c r="I92" s="13" t="s">
        <v>59</v>
      </c>
      <c r="J92" s="13" t="s">
        <v>320</v>
      </c>
      <c r="K92" s="13"/>
      <c r="L92" s="19">
        <v>47.9</v>
      </c>
      <c r="M92" s="20">
        <v>74</v>
      </c>
      <c r="N92" s="13" t="s">
        <v>99</v>
      </c>
      <c r="O92" s="13" t="s">
        <v>210</v>
      </c>
      <c r="P92" s="12">
        <f>IF(Q92="", 0, 1)</f>
        <v>1</v>
      </c>
      <c r="Q92" s="19">
        <v>6237</v>
      </c>
      <c r="R92" s="17">
        <f>3.4*30</f>
        <v>102</v>
      </c>
      <c r="S92" s="17"/>
      <c r="T92" s="17">
        <v>0</v>
      </c>
      <c r="U92" s="17">
        <v>0</v>
      </c>
      <c r="V92" s="17">
        <v>30</v>
      </c>
      <c r="W92" s="17"/>
      <c r="X92" s="17"/>
      <c r="Y92" s="17"/>
      <c r="Z92" s="17" t="str">
        <f>IF(T92="", "mean", "med")</f>
        <v>med</v>
      </c>
      <c r="AA92" s="17">
        <f>IF(T92="", R92, T92)</f>
        <v>0</v>
      </c>
      <c r="AB92" s="12">
        <f>IF(AC92="", 0, 1)</f>
        <v>0</v>
      </c>
      <c r="AC92" s="13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>
        <f>IF(AO92="", 0, 1)</f>
        <v>0</v>
      </c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 t="s">
        <v>52</v>
      </c>
      <c r="BA92" s="12" t="str">
        <f>IF(AZ92="high","high","lower")</f>
        <v>high</v>
      </c>
      <c r="BB92" s="49">
        <v>0.88400000000000001</v>
      </c>
      <c r="BC92" s="12">
        <v>84</v>
      </c>
      <c r="BD92" s="12">
        <v>88</v>
      </c>
      <c r="BE92" s="12">
        <v>100</v>
      </c>
      <c r="BF92" s="12">
        <v>84.2</v>
      </c>
      <c r="BG92" s="18" t="s">
        <v>1030</v>
      </c>
      <c r="BH92" s="18" t="s">
        <v>1031</v>
      </c>
    </row>
    <row r="93" spans="1:60" ht="15.75" customHeight="1" x14ac:dyDescent="0.2">
      <c r="A93" s="11">
        <v>92</v>
      </c>
      <c r="B93" s="12">
        <v>2329</v>
      </c>
      <c r="C93" s="13" t="s">
        <v>211</v>
      </c>
      <c r="D93" s="13" t="s">
        <v>38</v>
      </c>
      <c r="E93" s="23">
        <v>2014</v>
      </c>
      <c r="F93" s="23">
        <v>2018</v>
      </c>
      <c r="G93" s="13" t="s">
        <v>49</v>
      </c>
      <c r="H93" s="13"/>
      <c r="I93" s="13" t="s">
        <v>40</v>
      </c>
      <c r="J93" s="13" t="s">
        <v>40</v>
      </c>
      <c r="K93" s="14"/>
      <c r="L93" s="15">
        <v>100</v>
      </c>
      <c r="M93" s="16">
        <v>57.3</v>
      </c>
      <c r="N93" s="13" t="s">
        <v>42</v>
      </c>
      <c r="O93" s="13" t="s">
        <v>212</v>
      </c>
      <c r="P93" s="12">
        <f>IF(Q93="", 0, 1)</f>
        <v>1</v>
      </c>
      <c r="Q93" s="15">
        <v>1055</v>
      </c>
      <c r="R93" s="17"/>
      <c r="S93" s="17"/>
      <c r="T93" s="17">
        <v>52</v>
      </c>
      <c r="U93" s="17">
        <v>36</v>
      </c>
      <c r="V93" s="17">
        <v>74</v>
      </c>
      <c r="W93" s="17"/>
      <c r="X93" s="17"/>
      <c r="Y93" s="17"/>
      <c r="Z93" s="17" t="str">
        <f>IF(T93="", "mean", "med")</f>
        <v>med</v>
      </c>
      <c r="AA93" s="17">
        <f>IF(T93="", R93, T93)</f>
        <v>52</v>
      </c>
      <c r="AB93" s="12">
        <f>IF(AC93="", 0, 1)</f>
        <v>0</v>
      </c>
      <c r="AC93" s="13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>
        <f>IF(AO93="", 0, 1)</f>
        <v>0</v>
      </c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 t="s">
        <v>52</v>
      </c>
      <c r="BA93" s="12" t="str">
        <f>IF(AZ93="high","high","lower")</f>
        <v>high</v>
      </c>
      <c r="BB93" s="49">
        <v>0.92200000000000004</v>
      </c>
      <c r="BC93" s="12">
        <v>84</v>
      </c>
      <c r="BD93" s="12">
        <v>88</v>
      </c>
      <c r="BE93" s="12">
        <v>100</v>
      </c>
      <c r="BF93" s="12">
        <v>84.2</v>
      </c>
      <c r="BG93" s="18" t="s">
        <v>1030</v>
      </c>
      <c r="BH93" s="18" t="s">
        <v>1031</v>
      </c>
    </row>
    <row r="94" spans="1:60" ht="15.75" customHeight="1" x14ac:dyDescent="0.2">
      <c r="A94" s="11">
        <v>93</v>
      </c>
      <c r="B94" s="12">
        <v>2337</v>
      </c>
      <c r="C94" s="13" t="s">
        <v>213</v>
      </c>
      <c r="D94" s="14" t="s">
        <v>38</v>
      </c>
      <c r="E94" s="23">
        <v>2012</v>
      </c>
      <c r="F94" s="23">
        <v>2013</v>
      </c>
      <c r="G94" s="13" t="s">
        <v>214</v>
      </c>
      <c r="H94" s="13"/>
      <c r="I94" s="13" t="s">
        <v>40</v>
      </c>
      <c r="J94" s="13" t="s">
        <v>40</v>
      </c>
      <c r="K94" s="14"/>
      <c r="L94" s="19">
        <v>100</v>
      </c>
      <c r="M94" s="20">
        <v>49.1</v>
      </c>
      <c r="N94" s="13" t="s">
        <v>42</v>
      </c>
      <c r="O94" s="13" t="s">
        <v>90</v>
      </c>
      <c r="P94" s="12">
        <f>IF(Q94="", 0, 1)</f>
        <v>1</v>
      </c>
      <c r="Q94" s="15">
        <v>200</v>
      </c>
      <c r="R94" s="17">
        <v>34.020000000000003</v>
      </c>
      <c r="S94" s="17">
        <v>24</v>
      </c>
      <c r="T94" s="17">
        <v>25</v>
      </c>
      <c r="U94" s="17">
        <v>9</v>
      </c>
      <c r="V94" s="17">
        <v>42</v>
      </c>
      <c r="W94" s="17"/>
      <c r="X94" s="17">
        <v>0</v>
      </c>
      <c r="Y94" s="17">
        <v>368</v>
      </c>
      <c r="Z94" s="17" t="str">
        <f>IF(T94="", "mean", "med")</f>
        <v>med</v>
      </c>
      <c r="AA94" s="17">
        <f>IF(T94="", R94, T94)</f>
        <v>25</v>
      </c>
      <c r="AB94" s="12">
        <f>IF(AC94="", 0, 1)</f>
        <v>1</v>
      </c>
      <c r="AC94" s="13">
        <v>200</v>
      </c>
      <c r="AD94" s="12">
        <v>32.619999999999997</v>
      </c>
      <c r="AE94" s="12">
        <v>25</v>
      </c>
      <c r="AF94" s="12">
        <v>20</v>
      </c>
      <c r="AG94" s="12">
        <v>10</v>
      </c>
      <c r="AH94" s="12">
        <v>40</v>
      </c>
      <c r="AI94" s="12"/>
      <c r="AJ94" s="12">
        <v>1</v>
      </c>
      <c r="AK94" s="12">
        <v>433</v>
      </c>
      <c r="AL94" s="12" t="str">
        <f>IF(AF94="", "mean", "med")</f>
        <v>med</v>
      </c>
      <c r="AM94" s="12">
        <f>IF(AF94="", AD94, AF94)</f>
        <v>20</v>
      </c>
      <c r="AN94" s="12">
        <f>IF(AO94="", 0, 1)</f>
        <v>1</v>
      </c>
      <c r="AO94" s="22">
        <v>200</v>
      </c>
      <c r="AP94" s="12">
        <v>94.97</v>
      </c>
      <c r="AQ94" s="12">
        <v>71.8</v>
      </c>
      <c r="AR94" s="22">
        <v>65</v>
      </c>
      <c r="AS94" s="12">
        <v>31</v>
      </c>
      <c r="AT94" s="12">
        <v>121</v>
      </c>
      <c r="AU94" s="12"/>
      <c r="AV94" s="12">
        <v>3</v>
      </c>
      <c r="AW94" s="12">
        <v>579</v>
      </c>
      <c r="AX94" s="12" t="str">
        <f>IF(AR94="", "mean", "med")</f>
        <v>med</v>
      </c>
      <c r="AY94" s="12">
        <f>IF(AR94="", AP94, AR94)</f>
        <v>65</v>
      </c>
      <c r="AZ94" s="49" t="s">
        <v>46</v>
      </c>
      <c r="BA94" s="49" t="str">
        <f>IF(AZ94="high","high","lower")</f>
        <v>lower</v>
      </c>
      <c r="BB94" s="49">
        <v>0.64</v>
      </c>
      <c r="BC94" s="49"/>
      <c r="BD94" s="49"/>
      <c r="BE94" s="49"/>
      <c r="BF94" s="49"/>
      <c r="BG94" s="18" t="s">
        <v>1030</v>
      </c>
      <c r="BH94" s="18" t="s">
        <v>1031</v>
      </c>
    </row>
    <row r="95" spans="1:60" ht="15.75" customHeight="1" x14ac:dyDescent="0.2">
      <c r="A95" s="11">
        <v>94</v>
      </c>
      <c r="B95" s="12">
        <v>2340</v>
      </c>
      <c r="C95" s="13" t="s">
        <v>215</v>
      </c>
      <c r="D95" s="14" t="s">
        <v>216</v>
      </c>
      <c r="E95" s="23">
        <v>2013</v>
      </c>
      <c r="F95" s="23">
        <v>2014</v>
      </c>
      <c r="G95" s="13" t="s">
        <v>117</v>
      </c>
      <c r="H95" s="13"/>
      <c r="I95" s="13" t="s">
        <v>40</v>
      </c>
      <c r="J95" s="13" t="s">
        <v>40</v>
      </c>
      <c r="K95" s="13"/>
      <c r="L95" s="19">
        <v>100</v>
      </c>
      <c r="M95" s="16">
        <v>59</v>
      </c>
      <c r="N95" s="13" t="s">
        <v>99</v>
      </c>
      <c r="O95" s="13" t="s">
        <v>41</v>
      </c>
      <c r="P95" s="12">
        <f>IF(Q95="", 0, 1)</f>
        <v>1</v>
      </c>
      <c r="Q95" s="19">
        <v>107</v>
      </c>
      <c r="R95" s="17"/>
      <c r="S95" s="17"/>
      <c r="T95" s="17">
        <v>18</v>
      </c>
      <c r="U95" s="17">
        <v>11</v>
      </c>
      <c r="V95" s="17">
        <v>28</v>
      </c>
      <c r="W95" s="17"/>
      <c r="X95" s="17"/>
      <c r="Y95" s="17"/>
      <c r="Z95" s="17" t="str">
        <f>IF(T95="", "mean", "med")</f>
        <v>med</v>
      </c>
      <c r="AA95" s="17">
        <f>IF(T95="", R95, T95)</f>
        <v>18</v>
      </c>
      <c r="AB95" s="12">
        <f>IF(AC95="", 0, 1)</f>
        <v>1</v>
      </c>
      <c r="AC95" s="13">
        <v>107</v>
      </c>
      <c r="AD95" s="12"/>
      <c r="AE95" s="12"/>
      <c r="AF95" s="12">
        <v>10</v>
      </c>
      <c r="AG95" s="12">
        <v>5</v>
      </c>
      <c r="AH95" s="12">
        <v>21</v>
      </c>
      <c r="AI95" s="12"/>
      <c r="AJ95" s="12"/>
      <c r="AK95" s="12"/>
      <c r="AL95" s="12" t="str">
        <f>IF(AF95="", "mean", "med")</f>
        <v>med</v>
      </c>
      <c r="AM95" s="12">
        <f>IF(AF95="", AD95, AF95)</f>
        <v>10</v>
      </c>
      <c r="AN95" s="12">
        <f>IF(AO95="", 0, 1)</f>
        <v>1</v>
      </c>
      <c r="AO95" s="12">
        <v>107</v>
      </c>
      <c r="AP95" s="12"/>
      <c r="AQ95" s="12"/>
      <c r="AR95" s="12">
        <v>6</v>
      </c>
      <c r="AS95" s="12">
        <v>1</v>
      </c>
      <c r="AT95" s="12">
        <v>31</v>
      </c>
      <c r="AU95" s="12"/>
      <c r="AV95" s="12"/>
      <c r="AW95" s="12"/>
      <c r="AX95" s="12" t="str">
        <f>IF(AR95="", "mean", "med")</f>
        <v>med</v>
      </c>
      <c r="AY95" s="12">
        <f>IF(AR95="", AP95, AR95)</f>
        <v>6</v>
      </c>
      <c r="AZ95" s="12" t="s">
        <v>52</v>
      </c>
      <c r="BA95" s="12" t="str">
        <f>IF(AZ95="high","high","lower")</f>
        <v>high</v>
      </c>
      <c r="BB95" s="49">
        <v>0.93200000000000005</v>
      </c>
      <c r="BC95" s="12">
        <v>90.6</v>
      </c>
      <c r="BD95" s="12">
        <v>98</v>
      </c>
      <c r="BE95" s="12">
        <v>100</v>
      </c>
      <c r="BF95" s="12">
        <v>90</v>
      </c>
      <c r="BG95" s="18" t="s">
        <v>1034</v>
      </c>
      <c r="BH95" s="18" t="s">
        <v>1031</v>
      </c>
    </row>
    <row r="96" spans="1:60" ht="15.75" customHeight="1" x14ac:dyDescent="0.2">
      <c r="A96" s="11">
        <v>95</v>
      </c>
      <c r="B96" s="12">
        <v>2340</v>
      </c>
      <c r="C96" s="13" t="s">
        <v>215</v>
      </c>
      <c r="D96" s="14" t="s">
        <v>217</v>
      </c>
      <c r="E96" s="23">
        <v>2013</v>
      </c>
      <c r="F96" s="23">
        <v>2014</v>
      </c>
      <c r="G96" s="13" t="s">
        <v>117</v>
      </c>
      <c r="H96" s="13"/>
      <c r="I96" s="13" t="s">
        <v>40</v>
      </c>
      <c r="J96" s="13" t="s">
        <v>40</v>
      </c>
      <c r="K96" s="13"/>
      <c r="L96" s="19">
        <v>100</v>
      </c>
      <c r="M96" s="16">
        <v>59</v>
      </c>
      <c r="N96" s="13" t="s">
        <v>99</v>
      </c>
      <c r="O96" s="13" t="s">
        <v>41</v>
      </c>
      <c r="P96" s="12">
        <f>IF(Q96="", 0, 1)</f>
        <v>1</v>
      </c>
      <c r="Q96" s="19">
        <v>154</v>
      </c>
      <c r="R96" s="17"/>
      <c r="S96" s="17"/>
      <c r="T96" s="17">
        <v>13</v>
      </c>
      <c r="U96" s="17">
        <v>7</v>
      </c>
      <c r="V96" s="17">
        <v>24</v>
      </c>
      <c r="W96" s="17"/>
      <c r="X96" s="17"/>
      <c r="Y96" s="17"/>
      <c r="Z96" s="17" t="str">
        <f>IF(T96="", "mean", "med")</f>
        <v>med</v>
      </c>
      <c r="AA96" s="17">
        <f>IF(T96="", R96, T96)</f>
        <v>13</v>
      </c>
      <c r="AB96" s="12">
        <f>IF(AC96="", 0, 1)</f>
        <v>1</v>
      </c>
      <c r="AC96" s="13">
        <v>150</v>
      </c>
      <c r="AD96" s="12"/>
      <c r="AE96" s="12"/>
      <c r="AF96" s="12">
        <v>12</v>
      </c>
      <c r="AG96" s="12">
        <v>7</v>
      </c>
      <c r="AH96" s="12">
        <v>21</v>
      </c>
      <c r="AI96" s="12"/>
      <c r="AJ96" s="12"/>
      <c r="AK96" s="12"/>
      <c r="AL96" s="12" t="str">
        <f>IF(AF96="", "mean", "med")</f>
        <v>med</v>
      </c>
      <c r="AM96" s="12">
        <f>IF(AF96="", AD96, AF96)</f>
        <v>12</v>
      </c>
      <c r="AN96" s="12">
        <f>IF(AO96="", 0, 1)</f>
        <v>1</v>
      </c>
      <c r="AO96" s="12">
        <v>148</v>
      </c>
      <c r="AP96" s="12"/>
      <c r="AQ96" s="12"/>
      <c r="AR96" s="12">
        <v>10</v>
      </c>
      <c r="AS96" s="12">
        <v>1</v>
      </c>
      <c r="AT96" s="12">
        <v>57</v>
      </c>
      <c r="AU96" s="12"/>
      <c r="AV96" s="12"/>
      <c r="AW96" s="12"/>
      <c r="AX96" s="12" t="str">
        <f>IF(AR96="", "mean", "med")</f>
        <v>med</v>
      </c>
      <c r="AY96" s="12">
        <f>IF(AR96="", AP96, AR96)</f>
        <v>10</v>
      </c>
      <c r="AZ96" s="12" t="s">
        <v>52</v>
      </c>
      <c r="BA96" s="12" t="str">
        <f>IF(AZ96="high","high","lower")</f>
        <v>high</v>
      </c>
      <c r="BB96" s="49">
        <v>0.93200000000000005</v>
      </c>
      <c r="BC96" s="12">
        <v>90.6</v>
      </c>
      <c r="BD96" s="12">
        <v>98</v>
      </c>
      <c r="BE96" s="12">
        <v>100</v>
      </c>
      <c r="BF96" s="12">
        <v>90</v>
      </c>
      <c r="BG96" s="18" t="s">
        <v>1034</v>
      </c>
      <c r="BH96" s="18" t="s">
        <v>1031</v>
      </c>
    </row>
    <row r="97" spans="1:60" ht="15.75" customHeight="1" x14ac:dyDescent="0.2">
      <c r="A97" s="11">
        <v>96</v>
      </c>
      <c r="B97" s="12">
        <v>2340</v>
      </c>
      <c r="C97" s="13" t="s">
        <v>215</v>
      </c>
      <c r="D97" s="13" t="s">
        <v>218</v>
      </c>
      <c r="E97" s="23">
        <v>2013</v>
      </c>
      <c r="F97" s="23">
        <v>2014</v>
      </c>
      <c r="G97" s="13" t="s">
        <v>117</v>
      </c>
      <c r="H97" s="13"/>
      <c r="I97" s="13" t="s">
        <v>54</v>
      </c>
      <c r="J97" s="13" t="s">
        <v>55</v>
      </c>
      <c r="K97" s="13"/>
      <c r="L97" s="15">
        <v>43</v>
      </c>
      <c r="M97" s="20">
        <v>67</v>
      </c>
      <c r="N97" s="13" t="s">
        <v>99</v>
      </c>
      <c r="O97" s="13" t="s">
        <v>41</v>
      </c>
      <c r="P97" s="12">
        <f>IF(Q97="", 0, 1)</f>
        <v>1</v>
      </c>
      <c r="Q97" s="15">
        <v>160</v>
      </c>
      <c r="R97" s="21"/>
      <c r="S97" s="17"/>
      <c r="T97" s="17">
        <v>14</v>
      </c>
      <c r="U97" s="17">
        <v>0</v>
      </c>
      <c r="V97" s="17">
        <v>30</v>
      </c>
      <c r="W97" s="17"/>
      <c r="X97" s="17"/>
      <c r="Y97" s="17"/>
      <c r="Z97" s="17" t="str">
        <f>IF(T97="", "mean", "med")</f>
        <v>med</v>
      </c>
      <c r="AA97" s="17">
        <f>IF(T97="", R97, T97)</f>
        <v>14</v>
      </c>
      <c r="AB97" s="12">
        <f>IF(AC97="", 0, 1)</f>
        <v>1</v>
      </c>
      <c r="AC97" s="13">
        <v>149</v>
      </c>
      <c r="AD97" s="12"/>
      <c r="AE97" s="12"/>
      <c r="AF97" s="12">
        <v>37</v>
      </c>
      <c r="AG97" s="12">
        <v>10</v>
      </c>
      <c r="AH97" s="12">
        <v>104</v>
      </c>
      <c r="AI97" s="12"/>
      <c r="AJ97" s="12"/>
      <c r="AK97" s="12"/>
      <c r="AL97" s="12" t="str">
        <f>IF(AF97="", "mean", "med")</f>
        <v>med</v>
      </c>
      <c r="AM97" s="12">
        <f>IF(AF97="", AD97, AF97)</f>
        <v>37</v>
      </c>
      <c r="AN97" s="12">
        <f>IF(AO97="", 0, 1)</f>
        <v>1</v>
      </c>
      <c r="AO97" s="12">
        <v>151</v>
      </c>
      <c r="AP97" s="12"/>
      <c r="AQ97" s="12"/>
      <c r="AR97" s="12">
        <v>28</v>
      </c>
      <c r="AS97" s="12">
        <v>2</v>
      </c>
      <c r="AT97" s="12">
        <v>86</v>
      </c>
      <c r="AU97" s="12"/>
      <c r="AV97" s="12"/>
      <c r="AW97" s="12"/>
      <c r="AX97" s="12" t="str">
        <f>IF(AR97="", "mean", "med")</f>
        <v>med</v>
      </c>
      <c r="AY97" s="12">
        <f>IF(AR97="", AP97, AR97)</f>
        <v>28</v>
      </c>
      <c r="AZ97" s="12" t="s">
        <v>52</v>
      </c>
      <c r="BA97" s="12" t="str">
        <f>IF(AZ97="high","high","lower")</f>
        <v>high</v>
      </c>
      <c r="BB97" s="49">
        <v>0.93200000000000005</v>
      </c>
      <c r="BC97" s="12">
        <v>90.6</v>
      </c>
      <c r="BD97" s="12">
        <v>98</v>
      </c>
      <c r="BE97" s="12">
        <v>100</v>
      </c>
      <c r="BF97" s="12">
        <v>90</v>
      </c>
      <c r="BG97" s="18" t="s">
        <v>1034</v>
      </c>
      <c r="BH97" s="18" t="s">
        <v>1031</v>
      </c>
    </row>
    <row r="98" spans="1:60" ht="15.75" customHeight="1" x14ac:dyDescent="0.2">
      <c r="A98" s="11">
        <v>97</v>
      </c>
      <c r="B98" s="12">
        <v>2340</v>
      </c>
      <c r="C98" s="13" t="s">
        <v>215</v>
      </c>
      <c r="D98" s="13" t="s">
        <v>219</v>
      </c>
      <c r="E98" s="23">
        <v>2013</v>
      </c>
      <c r="F98" s="23">
        <v>2014</v>
      </c>
      <c r="G98" s="13" t="s">
        <v>117</v>
      </c>
      <c r="H98" s="13"/>
      <c r="I98" s="13" t="s">
        <v>54</v>
      </c>
      <c r="J98" s="13" t="s">
        <v>55</v>
      </c>
      <c r="K98" s="13"/>
      <c r="L98" s="15">
        <v>43</v>
      </c>
      <c r="M98" s="16">
        <v>67</v>
      </c>
      <c r="N98" s="13" t="s">
        <v>99</v>
      </c>
      <c r="O98" s="13" t="s">
        <v>41</v>
      </c>
      <c r="P98" s="12">
        <f>IF(Q98="", 0, 1)</f>
        <v>1</v>
      </c>
      <c r="Q98" s="15">
        <v>164</v>
      </c>
      <c r="R98" s="17"/>
      <c r="S98" s="17"/>
      <c r="T98" s="17">
        <v>14</v>
      </c>
      <c r="U98" s="17">
        <v>4</v>
      </c>
      <c r="V98" s="17">
        <v>26</v>
      </c>
      <c r="W98" s="17"/>
      <c r="X98" s="17"/>
      <c r="Y98" s="17"/>
      <c r="Z98" s="17" t="str">
        <f>IF(T98="", "mean", "med")</f>
        <v>med</v>
      </c>
      <c r="AA98" s="17">
        <f>IF(T98="", R98, T98)</f>
        <v>14</v>
      </c>
      <c r="AB98" s="12">
        <f>IF(AC98="", 0, 1)</f>
        <v>1</v>
      </c>
      <c r="AC98" s="13">
        <v>158</v>
      </c>
      <c r="AD98" s="12"/>
      <c r="AE98" s="12"/>
      <c r="AF98" s="12">
        <v>27</v>
      </c>
      <c r="AG98" s="12">
        <v>10</v>
      </c>
      <c r="AH98" s="12">
        <v>64</v>
      </c>
      <c r="AI98" s="12"/>
      <c r="AJ98" s="12"/>
      <c r="AK98" s="12"/>
      <c r="AL98" s="12" t="str">
        <f>IF(AF98="", "mean", "med")</f>
        <v>med</v>
      </c>
      <c r="AM98" s="12">
        <f>IF(AF98="", AD98, AF98)</f>
        <v>27</v>
      </c>
      <c r="AN98" s="12">
        <f>IF(AO98="", 0, 1)</f>
        <v>1</v>
      </c>
      <c r="AO98" s="12">
        <v>151</v>
      </c>
      <c r="AP98" s="12"/>
      <c r="AQ98" s="12"/>
      <c r="AR98" s="12">
        <v>22</v>
      </c>
      <c r="AS98" s="12">
        <v>2</v>
      </c>
      <c r="AT98" s="12">
        <v>78</v>
      </c>
      <c r="AU98" s="12"/>
      <c r="AV98" s="12"/>
      <c r="AW98" s="12"/>
      <c r="AX98" s="12" t="str">
        <f>IF(AR98="", "mean", "med")</f>
        <v>med</v>
      </c>
      <c r="AY98" s="12">
        <f>IF(AR98="", AP98, AR98)</f>
        <v>22</v>
      </c>
      <c r="AZ98" s="12" t="s">
        <v>52</v>
      </c>
      <c r="BA98" s="12" t="str">
        <f>IF(AZ98="high","high","lower")</f>
        <v>high</v>
      </c>
      <c r="BB98" s="49">
        <v>0.93200000000000005</v>
      </c>
      <c r="BC98" s="12">
        <v>90.6</v>
      </c>
      <c r="BD98" s="12">
        <v>98</v>
      </c>
      <c r="BE98" s="12">
        <v>100</v>
      </c>
      <c r="BF98" s="12">
        <v>90</v>
      </c>
      <c r="BG98" s="18" t="s">
        <v>1034</v>
      </c>
      <c r="BH98" s="18" t="s">
        <v>1031</v>
      </c>
    </row>
    <row r="99" spans="1:60" ht="15.75" customHeight="1" x14ac:dyDescent="0.2">
      <c r="A99" s="11">
        <v>98</v>
      </c>
      <c r="B99" s="22">
        <v>2347</v>
      </c>
      <c r="C99" s="13" t="s">
        <v>220</v>
      </c>
      <c r="D99" s="14" t="s">
        <v>38</v>
      </c>
      <c r="E99" s="23">
        <v>2012</v>
      </c>
      <c r="F99" s="23">
        <v>2015</v>
      </c>
      <c r="G99" s="13" t="s">
        <v>49</v>
      </c>
      <c r="H99" s="13"/>
      <c r="I99" s="13" t="s">
        <v>57</v>
      </c>
      <c r="J99" s="13" t="s">
        <v>58</v>
      </c>
      <c r="K99" s="14"/>
      <c r="L99" s="19">
        <v>53.3</v>
      </c>
      <c r="M99" s="20">
        <v>66.400000000000006</v>
      </c>
      <c r="N99" s="13" t="s">
        <v>50</v>
      </c>
      <c r="O99" s="14" t="s">
        <v>221</v>
      </c>
      <c r="P99" s="12">
        <f>IF(Q99="", 0, 1)</f>
        <v>1</v>
      </c>
      <c r="Q99" s="15">
        <v>2371</v>
      </c>
      <c r="R99" s="17">
        <v>18</v>
      </c>
      <c r="S99" s="17">
        <v>21</v>
      </c>
      <c r="T99" s="17"/>
      <c r="U99" s="17"/>
      <c r="V99" s="17"/>
      <c r="W99" s="17"/>
      <c r="X99" s="17"/>
      <c r="Y99" s="17"/>
      <c r="Z99" s="17" t="str">
        <f>IF(T99="", "mean", "med")</f>
        <v>mean</v>
      </c>
      <c r="AA99" s="17">
        <f>IF(T99="", R99, T99)</f>
        <v>18</v>
      </c>
      <c r="AB99" s="12">
        <f>IF(AC99="", 0, 1)</f>
        <v>0</v>
      </c>
      <c r="AC99" s="13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>
        <f>IF(AO99="", 0, 1)</f>
        <v>0</v>
      </c>
      <c r="AO99" s="22"/>
      <c r="AP99" s="12"/>
      <c r="AQ99" s="12"/>
      <c r="AR99" s="22"/>
      <c r="AS99" s="12"/>
      <c r="AT99" s="12"/>
      <c r="AU99" s="12"/>
      <c r="AV99" s="12"/>
      <c r="AW99" s="12"/>
      <c r="AX99" s="12"/>
      <c r="AY99" s="12"/>
      <c r="AZ99" s="12" t="s">
        <v>52</v>
      </c>
      <c r="BA99" s="12" t="str">
        <f>IF(AZ99="high","high","lower")</f>
        <v>high</v>
      </c>
      <c r="BB99" s="49">
        <v>0.92</v>
      </c>
      <c r="BC99" s="12">
        <v>84</v>
      </c>
      <c r="BD99" s="12">
        <v>88</v>
      </c>
      <c r="BE99" s="12">
        <v>100</v>
      </c>
      <c r="BF99" s="12">
        <v>84.2</v>
      </c>
      <c r="BG99" s="18" t="s">
        <v>1030</v>
      </c>
      <c r="BH99" s="18" t="s">
        <v>1031</v>
      </c>
    </row>
    <row r="100" spans="1:60" ht="15.75" customHeight="1" x14ac:dyDescent="0.2">
      <c r="A100" s="11">
        <v>99</v>
      </c>
      <c r="B100" s="22">
        <v>2358</v>
      </c>
      <c r="C100" s="13" t="s">
        <v>222</v>
      </c>
      <c r="D100" s="13" t="s">
        <v>223</v>
      </c>
      <c r="E100" s="23">
        <v>2003</v>
      </c>
      <c r="F100" s="23">
        <v>2005</v>
      </c>
      <c r="G100" s="13" t="s">
        <v>49</v>
      </c>
      <c r="H100" s="13"/>
      <c r="I100" s="13" t="s">
        <v>54</v>
      </c>
      <c r="J100" s="13" t="s">
        <v>229</v>
      </c>
      <c r="K100" s="13" t="s">
        <v>224</v>
      </c>
      <c r="L100" s="15">
        <v>17.600000000000001</v>
      </c>
      <c r="M100" s="16">
        <v>64</v>
      </c>
      <c r="N100" s="13" t="s">
        <v>99</v>
      </c>
      <c r="O100" s="14" t="s">
        <v>225</v>
      </c>
      <c r="P100" s="12">
        <f>IF(Q100="", 0, 1)</f>
        <v>1</v>
      </c>
      <c r="Q100" s="15">
        <v>5932</v>
      </c>
      <c r="R100" s="17"/>
      <c r="S100" s="17"/>
      <c r="T100" s="17">
        <v>33</v>
      </c>
      <c r="U100" s="17"/>
      <c r="V100" s="17"/>
      <c r="W100" s="17"/>
      <c r="X100" s="17"/>
      <c r="Y100" s="17"/>
      <c r="Z100" s="17" t="str">
        <f>IF(T100="", "mean", "med")</f>
        <v>med</v>
      </c>
      <c r="AA100" s="17">
        <f>IF(T100="", R100, T100)</f>
        <v>33</v>
      </c>
      <c r="AB100" s="12">
        <f>IF(AC100="", 0, 1)</f>
        <v>0</v>
      </c>
      <c r="AC100" s="13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>
        <f>IF(AO100="", 0, 1)</f>
        <v>0</v>
      </c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 t="s">
        <v>52</v>
      </c>
      <c r="BA100" s="12" t="str">
        <f>IF(AZ100="high","high","lower")</f>
        <v>high</v>
      </c>
      <c r="BB100" s="49">
        <v>0.89700000000000002</v>
      </c>
      <c r="BC100" s="12">
        <v>84</v>
      </c>
      <c r="BD100" s="12">
        <v>88</v>
      </c>
      <c r="BE100" s="12">
        <v>100</v>
      </c>
      <c r="BF100" s="12">
        <v>84.2</v>
      </c>
      <c r="BG100" s="18" t="s">
        <v>1034</v>
      </c>
      <c r="BH100" s="18" t="s">
        <v>1031</v>
      </c>
    </row>
    <row r="101" spans="1:60" ht="15.75" customHeight="1" x14ac:dyDescent="0.2">
      <c r="A101" s="11">
        <v>100</v>
      </c>
      <c r="B101" s="22">
        <v>2358</v>
      </c>
      <c r="C101" s="13" t="s">
        <v>222</v>
      </c>
      <c r="D101" s="13" t="s">
        <v>226</v>
      </c>
      <c r="E101" s="23">
        <v>2003</v>
      </c>
      <c r="F101" s="23">
        <v>2005</v>
      </c>
      <c r="G101" s="13" t="s">
        <v>49</v>
      </c>
      <c r="H101" s="13"/>
      <c r="I101" s="13" t="s">
        <v>54</v>
      </c>
      <c r="J101" s="13" t="s">
        <v>226</v>
      </c>
      <c r="K101" s="14"/>
      <c r="L101" s="15">
        <v>37.1</v>
      </c>
      <c r="M101" s="20">
        <v>70</v>
      </c>
      <c r="N101" s="13" t="s">
        <v>99</v>
      </c>
      <c r="O101" s="13" t="s">
        <v>225</v>
      </c>
      <c r="P101" s="12">
        <f>IF(Q101="", 0, 1)</f>
        <v>1</v>
      </c>
      <c r="Q101" s="19">
        <v>11628</v>
      </c>
      <c r="R101" s="17"/>
      <c r="S101" s="17"/>
      <c r="T101" s="17">
        <v>24</v>
      </c>
      <c r="U101" s="17"/>
      <c r="V101" s="17"/>
      <c r="W101" s="17"/>
      <c r="X101" s="17"/>
      <c r="Y101" s="17"/>
      <c r="Z101" s="17" t="str">
        <f>IF(T101="", "mean", "med")</f>
        <v>med</v>
      </c>
      <c r="AA101" s="17">
        <f>IF(T101="", R101, T101)</f>
        <v>24</v>
      </c>
      <c r="AB101" s="12">
        <f>IF(AC101="", 0, 1)</f>
        <v>0</v>
      </c>
      <c r="AC101" s="13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>
        <f>IF(AO101="", 0, 1)</f>
        <v>0</v>
      </c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 t="s">
        <v>52</v>
      </c>
      <c r="BA101" s="12" t="str">
        <f>IF(AZ101="high","high","lower")</f>
        <v>high</v>
      </c>
      <c r="BB101" s="49">
        <v>0.89700000000000002</v>
      </c>
      <c r="BC101" s="12">
        <v>84</v>
      </c>
      <c r="BD101" s="12">
        <v>88</v>
      </c>
      <c r="BE101" s="12">
        <v>100</v>
      </c>
      <c r="BF101" s="12">
        <v>84.2</v>
      </c>
      <c r="BG101" s="18" t="s">
        <v>1034</v>
      </c>
      <c r="BH101" s="18" t="s">
        <v>1031</v>
      </c>
    </row>
    <row r="102" spans="1:60" ht="15.75" customHeight="1" x14ac:dyDescent="0.2">
      <c r="A102" s="11">
        <v>101</v>
      </c>
      <c r="B102" s="12">
        <v>2358</v>
      </c>
      <c r="C102" s="13" t="s">
        <v>222</v>
      </c>
      <c r="D102" s="13" t="s">
        <v>227</v>
      </c>
      <c r="E102" s="23">
        <v>2003</v>
      </c>
      <c r="F102" s="23">
        <v>2005</v>
      </c>
      <c r="G102" s="13" t="s">
        <v>49</v>
      </c>
      <c r="H102" s="13"/>
      <c r="I102" s="13" t="s">
        <v>54</v>
      </c>
      <c r="J102" s="13" t="s">
        <v>227</v>
      </c>
      <c r="K102" s="14"/>
      <c r="L102" s="15">
        <v>39.799999999999997</v>
      </c>
      <c r="M102" s="20">
        <v>66</v>
      </c>
      <c r="N102" s="13" t="s">
        <v>99</v>
      </c>
      <c r="O102" s="13" t="s">
        <v>225</v>
      </c>
      <c r="P102" s="12">
        <f>IF(Q102="", 0, 1)</f>
        <v>1</v>
      </c>
      <c r="Q102" s="15">
        <v>24285</v>
      </c>
      <c r="R102" s="17"/>
      <c r="S102" s="17"/>
      <c r="T102" s="17">
        <v>26</v>
      </c>
      <c r="U102" s="17"/>
      <c r="V102" s="17"/>
      <c r="W102" s="17"/>
      <c r="X102" s="17"/>
      <c r="Y102" s="17"/>
      <c r="Z102" s="17" t="str">
        <f>IF(T102="", "mean", "med")</f>
        <v>med</v>
      </c>
      <c r="AA102" s="17">
        <f>IF(T102="", R102, T102)</f>
        <v>26</v>
      </c>
      <c r="AB102" s="12">
        <f>IF(AC102="", 0, 1)</f>
        <v>0</v>
      </c>
      <c r="AC102" s="13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>
        <f>IF(AO102="", 0, 1)</f>
        <v>0</v>
      </c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 t="s">
        <v>52</v>
      </c>
      <c r="BA102" s="12" t="str">
        <f>IF(AZ102="high","high","lower")</f>
        <v>high</v>
      </c>
      <c r="BB102" s="49">
        <v>0.89700000000000002</v>
      </c>
      <c r="BC102" s="12">
        <v>84</v>
      </c>
      <c r="BD102" s="12">
        <v>88</v>
      </c>
      <c r="BE102" s="12">
        <v>100</v>
      </c>
      <c r="BF102" s="12">
        <v>84.2</v>
      </c>
      <c r="BG102" s="18" t="s">
        <v>1034</v>
      </c>
      <c r="BH102" s="18" t="s">
        <v>1031</v>
      </c>
    </row>
    <row r="103" spans="1:60" ht="15.75" customHeight="1" x14ac:dyDescent="0.2">
      <c r="A103" s="11">
        <v>102</v>
      </c>
      <c r="B103" s="12">
        <v>2358</v>
      </c>
      <c r="C103" s="13" t="s">
        <v>222</v>
      </c>
      <c r="D103" s="13" t="s">
        <v>228</v>
      </c>
      <c r="E103" s="23">
        <v>2003</v>
      </c>
      <c r="F103" s="23">
        <v>2005</v>
      </c>
      <c r="G103" s="13" t="s">
        <v>49</v>
      </c>
      <c r="H103" s="13"/>
      <c r="I103" s="13" t="s">
        <v>54</v>
      </c>
      <c r="J103" s="13" t="s">
        <v>229</v>
      </c>
      <c r="K103" s="13" t="s">
        <v>228</v>
      </c>
      <c r="L103" s="15">
        <v>32.200000000000003</v>
      </c>
      <c r="M103" s="16">
        <v>60</v>
      </c>
      <c r="N103" s="13" t="s">
        <v>99</v>
      </c>
      <c r="O103" s="13" t="s">
        <v>225</v>
      </c>
      <c r="P103" s="12">
        <f>IF(Q103="", 0, 1)</f>
        <v>1</v>
      </c>
      <c r="Q103" s="15">
        <v>3228</v>
      </c>
      <c r="R103" s="17"/>
      <c r="S103" s="17"/>
      <c r="T103" s="17">
        <v>40</v>
      </c>
      <c r="U103" s="17"/>
      <c r="V103" s="17"/>
      <c r="W103" s="17"/>
      <c r="X103" s="17"/>
      <c r="Y103" s="17"/>
      <c r="Z103" s="17" t="str">
        <f>IF(T103="", "mean", "med")</f>
        <v>med</v>
      </c>
      <c r="AA103" s="17">
        <f>IF(T103="", R103, T103)</f>
        <v>40</v>
      </c>
      <c r="AB103" s="12">
        <f>IF(AC103="", 0, 1)</f>
        <v>0</v>
      </c>
      <c r="AC103" s="13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>
        <f>IF(AO103="", 0, 1)</f>
        <v>0</v>
      </c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 t="s">
        <v>52</v>
      </c>
      <c r="BA103" s="12" t="str">
        <f>IF(AZ103="high","high","lower")</f>
        <v>high</v>
      </c>
      <c r="BB103" s="49">
        <v>0.89700000000000002</v>
      </c>
      <c r="BC103" s="12">
        <v>84</v>
      </c>
      <c r="BD103" s="12">
        <v>88</v>
      </c>
      <c r="BE103" s="12">
        <v>100</v>
      </c>
      <c r="BF103" s="12">
        <v>84.2</v>
      </c>
      <c r="BG103" s="18" t="s">
        <v>1034</v>
      </c>
      <c r="BH103" s="18" t="s">
        <v>1031</v>
      </c>
    </row>
    <row r="104" spans="1:60" ht="15.75" customHeight="1" x14ac:dyDescent="0.2">
      <c r="A104" s="11">
        <v>103</v>
      </c>
      <c r="B104" s="12">
        <v>2373</v>
      </c>
      <c r="C104" s="13" t="s">
        <v>230</v>
      </c>
      <c r="D104" s="13" t="s">
        <v>38</v>
      </c>
      <c r="E104" s="23">
        <v>2003</v>
      </c>
      <c r="F104" s="23">
        <v>2005</v>
      </c>
      <c r="G104" s="13" t="s">
        <v>49</v>
      </c>
      <c r="H104" s="13"/>
      <c r="I104" s="42" t="s">
        <v>54</v>
      </c>
      <c r="J104" s="13" t="s">
        <v>55</v>
      </c>
      <c r="K104" s="13"/>
      <c r="L104" s="15">
        <v>2</v>
      </c>
      <c r="M104" s="20">
        <v>67</v>
      </c>
      <c r="N104" s="13" t="s">
        <v>42</v>
      </c>
      <c r="O104" s="14"/>
      <c r="P104" s="12">
        <f>IF(Q104="", 0, 1)</f>
        <v>0</v>
      </c>
      <c r="Q104" s="15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2">
        <f>IF(AC104="", 0, 1)</f>
        <v>1</v>
      </c>
      <c r="AC104" s="13">
        <v>123</v>
      </c>
      <c r="AD104" s="12"/>
      <c r="AE104" s="12"/>
      <c r="AF104" s="12">
        <v>74</v>
      </c>
      <c r="AG104" s="12">
        <v>22</v>
      </c>
      <c r="AH104" s="12">
        <v>150</v>
      </c>
      <c r="AI104" s="12"/>
      <c r="AJ104" s="12">
        <v>0</v>
      </c>
      <c r="AK104" s="12">
        <v>731</v>
      </c>
      <c r="AL104" s="12" t="str">
        <f>IF(AF104="", "mean", "med")</f>
        <v>med</v>
      </c>
      <c r="AM104" s="12">
        <f>IF(AF104="", AD104, AF104)</f>
        <v>74</v>
      </c>
      <c r="AN104" s="12">
        <f>IF(AO104="", 0, 1)</f>
        <v>0</v>
      </c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 t="s">
        <v>52</v>
      </c>
      <c r="BA104" s="12" t="str">
        <f>IF(AZ104="high","high","lower")</f>
        <v>high</v>
      </c>
      <c r="BB104" s="49">
        <v>0.89700000000000002</v>
      </c>
      <c r="BC104" s="12">
        <v>84</v>
      </c>
      <c r="BD104" s="12">
        <v>88</v>
      </c>
      <c r="BE104" s="12">
        <v>100</v>
      </c>
      <c r="BF104" s="12">
        <v>84.2</v>
      </c>
      <c r="BG104" s="18" t="s">
        <v>1030</v>
      </c>
      <c r="BH104" s="18" t="s">
        <v>1031</v>
      </c>
    </row>
    <row r="105" spans="1:60" ht="15.75" customHeight="1" x14ac:dyDescent="0.2">
      <c r="A105" s="11">
        <v>104</v>
      </c>
      <c r="B105" s="12">
        <v>2383</v>
      </c>
      <c r="C105" s="13" t="s">
        <v>231</v>
      </c>
      <c r="D105" s="13" t="s">
        <v>38</v>
      </c>
      <c r="E105" s="23">
        <v>2005</v>
      </c>
      <c r="F105" s="23">
        <v>2012</v>
      </c>
      <c r="G105" s="13" t="s">
        <v>39</v>
      </c>
      <c r="H105" s="13"/>
      <c r="I105" s="14" t="s">
        <v>40</v>
      </c>
      <c r="J105" s="13" t="s">
        <v>40</v>
      </c>
      <c r="K105" s="13"/>
      <c r="L105" s="15">
        <v>100</v>
      </c>
      <c r="M105" s="20">
        <v>50</v>
      </c>
      <c r="N105" s="13" t="s">
        <v>42</v>
      </c>
      <c r="O105" s="13" t="s">
        <v>41</v>
      </c>
      <c r="P105" s="12">
        <f>IF(Q105="", 0, 1)</f>
        <v>1</v>
      </c>
      <c r="Q105" s="15">
        <v>720</v>
      </c>
      <c r="R105" s="17"/>
      <c r="S105" s="17"/>
      <c r="T105" s="17">
        <v>26</v>
      </c>
      <c r="U105" s="17">
        <v>1</v>
      </c>
      <c r="V105" s="17">
        <v>158</v>
      </c>
      <c r="W105" s="17"/>
      <c r="X105" s="17"/>
      <c r="Y105" s="17"/>
      <c r="Z105" s="17" t="str">
        <f>IF(T105="", "mean", "med")</f>
        <v>med</v>
      </c>
      <c r="AA105" s="17">
        <f>IF(T105="", R105, T105)</f>
        <v>26</v>
      </c>
      <c r="AB105" s="12">
        <f>IF(AC105="", 0, 1)</f>
        <v>0</v>
      </c>
      <c r="AC105" s="13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>
        <f>IF(AO105="", 0, 1)</f>
        <v>0</v>
      </c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 t="s">
        <v>43</v>
      </c>
      <c r="BA105" s="12" t="str">
        <f>IF(AZ105="high","high","lower")</f>
        <v>lower</v>
      </c>
      <c r="BB105" s="49">
        <v>0.748</v>
      </c>
      <c r="BC105" s="12">
        <v>63.1</v>
      </c>
      <c r="BD105" s="12">
        <v>73.2</v>
      </c>
      <c r="BE105" s="12">
        <v>62.5</v>
      </c>
      <c r="BF105" s="12">
        <v>61.9</v>
      </c>
      <c r="BG105" s="18" t="s">
        <v>1030</v>
      </c>
      <c r="BH105" s="18" t="s">
        <v>1031</v>
      </c>
    </row>
    <row r="106" spans="1:60" ht="15.75" customHeight="1" x14ac:dyDescent="0.2">
      <c r="A106" s="11">
        <v>105</v>
      </c>
      <c r="B106" s="12">
        <v>2384</v>
      </c>
      <c r="C106" s="13" t="s">
        <v>232</v>
      </c>
      <c r="D106" s="14" t="s">
        <v>233</v>
      </c>
      <c r="E106" s="23">
        <v>2015</v>
      </c>
      <c r="F106" s="23">
        <v>2017</v>
      </c>
      <c r="G106" s="13" t="s">
        <v>117</v>
      </c>
      <c r="H106" s="13"/>
      <c r="I106" s="13" t="s">
        <v>79</v>
      </c>
      <c r="J106" s="13" t="s">
        <v>234</v>
      </c>
      <c r="K106" s="14"/>
      <c r="L106" s="19" t="s">
        <v>41</v>
      </c>
      <c r="M106" s="20" t="s">
        <v>41</v>
      </c>
      <c r="N106" s="13" t="s">
        <v>42</v>
      </c>
      <c r="O106" s="14" t="s">
        <v>235</v>
      </c>
      <c r="P106" s="12">
        <f>IF(Q106="", 0, 1)</f>
        <v>1</v>
      </c>
      <c r="Q106" s="15">
        <v>55</v>
      </c>
      <c r="R106" s="55">
        <v>42.9</v>
      </c>
      <c r="S106" s="17"/>
      <c r="T106" s="17"/>
      <c r="U106" s="17"/>
      <c r="V106" s="17"/>
      <c r="W106" s="17"/>
      <c r="X106" s="17"/>
      <c r="Y106" s="17"/>
      <c r="Z106" s="17" t="str">
        <f>IF(T106="", "mean", "med")</f>
        <v>mean</v>
      </c>
      <c r="AA106" s="17">
        <f>IF(T106="", R106, T106)</f>
        <v>42.9</v>
      </c>
      <c r="AB106" s="12">
        <f>IF(AC106="", 0, 1)</f>
        <v>0</v>
      </c>
      <c r="AC106" s="13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>
        <f>IF(AO106="", 0, 1)</f>
        <v>0</v>
      </c>
      <c r="AO106" s="22"/>
      <c r="AP106" s="12"/>
      <c r="AQ106" s="12"/>
      <c r="AR106" s="22"/>
      <c r="AS106" s="12"/>
      <c r="AT106" s="12"/>
      <c r="AU106" s="12"/>
      <c r="AV106" s="12"/>
      <c r="AW106" s="12"/>
      <c r="AX106" s="12"/>
      <c r="AY106" s="12"/>
      <c r="AZ106" s="12" t="s">
        <v>52</v>
      </c>
      <c r="BA106" s="12" t="str">
        <f>IF(AZ106="high","high","lower")</f>
        <v>high</v>
      </c>
      <c r="BB106" s="49">
        <v>0.93899999999999995</v>
      </c>
      <c r="BC106" s="12">
        <v>90.6</v>
      </c>
      <c r="BD106" s="12">
        <v>98</v>
      </c>
      <c r="BE106" s="12">
        <v>100</v>
      </c>
      <c r="BF106" s="12">
        <v>90</v>
      </c>
      <c r="BG106" s="18" t="s">
        <v>1030</v>
      </c>
      <c r="BH106" s="18" t="s">
        <v>1031</v>
      </c>
    </row>
    <row r="107" spans="1:60" ht="15.75" customHeight="1" x14ac:dyDescent="0.2">
      <c r="A107" s="11">
        <v>106</v>
      </c>
      <c r="B107" s="22">
        <v>2384</v>
      </c>
      <c r="C107" s="13" t="s">
        <v>232</v>
      </c>
      <c r="D107" s="14" t="s">
        <v>236</v>
      </c>
      <c r="E107" s="23">
        <v>2015</v>
      </c>
      <c r="F107" s="23">
        <v>2017</v>
      </c>
      <c r="G107" s="13" t="s">
        <v>117</v>
      </c>
      <c r="H107" s="13"/>
      <c r="I107" s="13" t="s">
        <v>79</v>
      </c>
      <c r="J107" s="31" t="s">
        <v>236</v>
      </c>
      <c r="K107" s="14"/>
      <c r="L107" s="19" t="s">
        <v>41</v>
      </c>
      <c r="M107" s="20" t="s">
        <v>41</v>
      </c>
      <c r="N107" s="13" t="s">
        <v>42</v>
      </c>
      <c r="O107" s="13" t="s">
        <v>235</v>
      </c>
      <c r="P107" s="12">
        <f>IF(Q107="", 0, 1)</f>
        <v>1</v>
      </c>
      <c r="Q107" s="15">
        <v>66</v>
      </c>
      <c r="R107" s="55">
        <v>52.9</v>
      </c>
      <c r="S107" s="17"/>
      <c r="T107" s="17"/>
      <c r="U107" s="17"/>
      <c r="V107" s="17"/>
      <c r="W107" s="17"/>
      <c r="X107" s="17"/>
      <c r="Y107" s="17"/>
      <c r="Z107" s="17" t="str">
        <f>IF(T107="", "mean", "med")</f>
        <v>mean</v>
      </c>
      <c r="AA107" s="17">
        <f>IF(T107="", R107, T107)</f>
        <v>52.9</v>
      </c>
      <c r="AB107" s="12">
        <f>IF(AC107="", 0, 1)</f>
        <v>0</v>
      </c>
      <c r="AC107" s="13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>
        <f>IF(AO107="", 0, 1)</f>
        <v>0</v>
      </c>
      <c r="AO107" s="22"/>
      <c r="AP107" s="12"/>
      <c r="AQ107" s="12"/>
      <c r="AR107" s="22"/>
      <c r="AS107" s="12"/>
      <c r="AT107" s="12"/>
      <c r="AU107" s="12"/>
      <c r="AV107" s="12"/>
      <c r="AW107" s="12"/>
      <c r="AX107" s="12"/>
      <c r="AY107" s="12"/>
      <c r="AZ107" s="12" t="s">
        <v>52</v>
      </c>
      <c r="BA107" s="12" t="str">
        <f>IF(AZ107="high","high","lower")</f>
        <v>high</v>
      </c>
      <c r="BB107" s="49">
        <v>0.93899999999999995</v>
      </c>
      <c r="BC107" s="12">
        <v>90.6</v>
      </c>
      <c r="BD107" s="12">
        <v>98</v>
      </c>
      <c r="BE107" s="12">
        <v>100</v>
      </c>
      <c r="BF107" s="12">
        <v>90</v>
      </c>
      <c r="BG107" s="18" t="s">
        <v>1030</v>
      </c>
      <c r="BH107" s="18" t="s">
        <v>1031</v>
      </c>
    </row>
    <row r="108" spans="1:60" ht="15.75" customHeight="1" x14ac:dyDescent="0.2">
      <c r="A108" s="11">
        <v>107</v>
      </c>
      <c r="B108" s="12">
        <v>2384</v>
      </c>
      <c r="C108" s="13" t="s">
        <v>232</v>
      </c>
      <c r="D108" s="14" t="s">
        <v>237</v>
      </c>
      <c r="E108" s="23">
        <v>2015</v>
      </c>
      <c r="F108" s="23">
        <v>2017</v>
      </c>
      <c r="G108" s="13" t="s">
        <v>117</v>
      </c>
      <c r="H108" s="13"/>
      <c r="I108" s="13" t="s">
        <v>79</v>
      </c>
      <c r="J108" s="13" t="s">
        <v>238</v>
      </c>
      <c r="K108" s="14"/>
      <c r="L108" s="19" t="s">
        <v>41</v>
      </c>
      <c r="M108" s="20" t="s">
        <v>41</v>
      </c>
      <c r="N108" s="13" t="s">
        <v>42</v>
      </c>
      <c r="O108" s="13" t="s">
        <v>235</v>
      </c>
      <c r="P108" s="12">
        <f>IF(Q108="", 0, 1)</f>
        <v>1</v>
      </c>
      <c r="Q108" s="15">
        <v>67</v>
      </c>
      <c r="R108" s="55">
        <v>52</v>
      </c>
      <c r="S108" s="17"/>
      <c r="T108" s="17"/>
      <c r="U108" s="17"/>
      <c r="V108" s="17"/>
      <c r="W108" s="17"/>
      <c r="X108" s="17"/>
      <c r="Y108" s="17"/>
      <c r="Z108" s="17" t="str">
        <f>IF(T108="", "mean", "med")</f>
        <v>mean</v>
      </c>
      <c r="AA108" s="17">
        <f>IF(T108="", R108, T108)</f>
        <v>52</v>
      </c>
      <c r="AB108" s="12">
        <f>IF(AC108="", 0, 1)</f>
        <v>0</v>
      </c>
      <c r="AC108" s="13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>
        <f>IF(AO108="", 0, 1)</f>
        <v>0</v>
      </c>
      <c r="AO108" s="22"/>
      <c r="AP108" s="12"/>
      <c r="AQ108" s="12"/>
      <c r="AR108" s="22"/>
      <c r="AS108" s="12"/>
      <c r="AT108" s="12"/>
      <c r="AU108" s="12"/>
      <c r="AV108" s="12"/>
      <c r="AW108" s="12"/>
      <c r="AX108" s="12"/>
      <c r="AY108" s="12"/>
      <c r="AZ108" s="12" t="s">
        <v>52</v>
      </c>
      <c r="BA108" s="12" t="str">
        <f>IF(AZ108="high","high","lower")</f>
        <v>high</v>
      </c>
      <c r="BB108" s="49">
        <v>0.93899999999999995</v>
      </c>
      <c r="BC108" s="12">
        <v>90.6</v>
      </c>
      <c r="BD108" s="12">
        <v>98</v>
      </c>
      <c r="BE108" s="12">
        <v>100</v>
      </c>
      <c r="BF108" s="12">
        <v>90</v>
      </c>
      <c r="BG108" s="18" t="s">
        <v>1030</v>
      </c>
      <c r="BH108" s="18" t="s">
        <v>1031</v>
      </c>
    </row>
    <row r="109" spans="1:60" ht="15.75" customHeight="1" x14ac:dyDescent="0.2">
      <c r="A109" s="11">
        <v>108</v>
      </c>
      <c r="B109" s="12">
        <v>2384</v>
      </c>
      <c r="C109" s="13" t="s">
        <v>232</v>
      </c>
      <c r="D109" s="13" t="s">
        <v>70</v>
      </c>
      <c r="E109" s="23">
        <v>2015</v>
      </c>
      <c r="F109" s="23">
        <v>2017</v>
      </c>
      <c r="G109" s="13" t="s">
        <v>117</v>
      </c>
      <c r="H109" s="13"/>
      <c r="I109" s="13" t="s">
        <v>79</v>
      </c>
      <c r="J109" s="13" t="s">
        <v>70</v>
      </c>
      <c r="K109" s="13"/>
      <c r="L109" s="15" t="s">
        <v>41</v>
      </c>
      <c r="M109" s="16" t="s">
        <v>41</v>
      </c>
      <c r="N109" s="13" t="s">
        <v>42</v>
      </c>
      <c r="O109" s="13" t="s">
        <v>235</v>
      </c>
      <c r="P109" s="12">
        <f>IF(Q109="", 0, 1)</f>
        <v>1</v>
      </c>
      <c r="Q109" s="15">
        <v>58</v>
      </c>
      <c r="R109" s="55">
        <v>51.7</v>
      </c>
      <c r="S109" s="17"/>
      <c r="T109" s="17"/>
      <c r="U109" s="17"/>
      <c r="V109" s="17"/>
      <c r="W109" s="21"/>
      <c r="X109" s="17"/>
      <c r="Y109" s="17"/>
      <c r="Z109" s="17" t="str">
        <f>IF(T109="", "mean", "med")</f>
        <v>mean</v>
      </c>
      <c r="AA109" s="17">
        <f>IF(T109="", R109, T109)</f>
        <v>51.7</v>
      </c>
      <c r="AB109" s="12">
        <f>IF(AC109="", 0, 1)</f>
        <v>0</v>
      </c>
      <c r="AC109" s="13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>
        <f>IF(AO109="", 0, 1)</f>
        <v>0</v>
      </c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 t="s">
        <v>52</v>
      </c>
      <c r="BA109" s="12" t="str">
        <f>IF(AZ109="high","high","lower")</f>
        <v>high</v>
      </c>
      <c r="BB109" s="49">
        <v>0.93899999999999995</v>
      </c>
      <c r="BC109" s="12">
        <v>90.6</v>
      </c>
      <c r="BD109" s="12">
        <v>98</v>
      </c>
      <c r="BE109" s="12">
        <v>100</v>
      </c>
      <c r="BF109" s="12">
        <v>90</v>
      </c>
      <c r="BG109" s="18" t="s">
        <v>1030</v>
      </c>
      <c r="BH109" s="18" t="s">
        <v>1031</v>
      </c>
    </row>
    <row r="110" spans="1:60" ht="15.75" customHeight="1" x14ac:dyDescent="0.2">
      <c r="A110" s="11">
        <v>109</v>
      </c>
      <c r="B110" s="12">
        <v>2386</v>
      </c>
      <c r="C110" s="13" t="s">
        <v>239</v>
      </c>
      <c r="D110" s="14" t="s">
        <v>241</v>
      </c>
      <c r="E110" s="23">
        <v>2014</v>
      </c>
      <c r="F110" s="23">
        <v>2017</v>
      </c>
      <c r="G110" s="13" t="s">
        <v>242</v>
      </c>
      <c r="H110" s="13"/>
      <c r="I110" s="13" t="s">
        <v>40</v>
      </c>
      <c r="J110" s="13" t="s">
        <v>40</v>
      </c>
      <c r="K110" s="14"/>
      <c r="L110" s="15">
        <v>100</v>
      </c>
      <c r="M110" s="16" t="s">
        <v>41</v>
      </c>
      <c r="N110" s="13" t="s">
        <v>42</v>
      </c>
      <c r="O110" s="14"/>
      <c r="P110" s="12">
        <f>IF(Q110="", 0, 1)</f>
        <v>0</v>
      </c>
      <c r="Q110" s="15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2">
        <f>IF(AC110="", 0, 1)</f>
        <v>1</v>
      </c>
      <c r="AC110" s="13">
        <v>96</v>
      </c>
      <c r="AD110" s="12"/>
      <c r="AE110" s="12"/>
      <c r="AF110" s="12">
        <f>2*30</f>
        <v>60</v>
      </c>
      <c r="AG110" s="12">
        <f>0.5*30</f>
        <v>15</v>
      </c>
      <c r="AH110" s="12">
        <f>7*30</f>
        <v>210</v>
      </c>
      <c r="AI110" s="12"/>
      <c r="AJ110" s="12"/>
      <c r="AK110" s="12"/>
      <c r="AL110" s="12" t="str">
        <f>IF(AF110="", "mean", "med")</f>
        <v>med</v>
      </c>
      <c r="AM110" s="12">
        <f>IF(AF110="", AD110, AF110)</f>
        <v>60</v>
      </c>
      <c r="AN110" s="12">
        <f>IF(AO110="", 0, 1)</f>
        <v>1</v>
      </c>
      <c r="AO110" s="12">
        <v>96</v>
      </c>
      <c r="AP110" s="12"/>
      <c r="AQ110" s="12"/>
      <c r="AR110" s="12">
        <f>1.3*30</f>
        <v>39</v>
      </c>
      <c r="AS110" s="12">
        <f>0.2*30</f>
        <v>6</v>
      </c>
      <c r="AT110" s="12">
        <f>6.2*30</f>
        <v>186</v>
      </c>
      <c r="AU110" s="12"/>
      <c r="AV110" s="12"/>
      <c r="AW110" s="12"/>
      <c r="AX110" s="12" t="str">
        <f>IF(AR110="", "mean", "med")</f>
        <v>med</v>
      </c>
      <c r="AY110" s="12">
        <f>IF(AR110="", AP110, AR110)</f>
        <v>39</v>
      </c>
      <c r="AZ110" s="49" t="s">
        <v>43</v>
      </c>
      <c r="BA110" s="49" t="str">
        <f>IF(AZ110="high","high","lower")</f>
        <v>lower</v>
      </c>
      <c r="BB110" s="49">
        <v>0.63800000000000001</v>
      </c>
      <c r="BC110" s="49"/>
      <c r="BD110" s="49"/>
      <c r="BE110" s="49"/>
      <c r="BF110" s="49"/>
      <c r="BG110" s="18" t="s">
        <v>1030</v>
      </c>
      <c r="BH110" s="18" t="s">
        <v>1031</v>
      </c>
    </row>
    <row r="111" spans="1:60" ht="15.75" customHeight="1" x14ac:dyDescent="0.2">
      <c r="A111" s="11">
        <v>110</v>
      </c>
      <c r="B111" s="12">
        <v>2386</v>
      </c>
      <c r="C111" s="13" t="s">
        <v>239</v>
      </c>
      <c r="D111" s="13" t="s">
        <v>243</v>
      </c>
      <c r="E111" s="23">
        <v>2014</v>
      </c>
      <c r="F111" s="23">
        <v>2017</v>
      </c>
      <c r="G111" s="13" t="s">
        <v>243</v>
      </c>
      <c r="H111" s="13"/>
      <c r="I111" s="13" t="s">
        <v>40</v>
      </c>
      <c r="J111" s="13" t="s">
        <v>40</v>
      </c>
      <c r="K111" s="14"/>
      <c r="L111" s="15">
        <v>100</v>
      </c>
      <c r="M111" s="16" t="s">
        <v>41</v>
      </c>
      <c r="N111" s="13" t="s">
        <v>42</v>
      </c>
      <c r="O111" s="13"/>
      <c r="P111" s="12">
        <f>IF(Q111="", 0, 1)</f>
        <v>0</v>
      </c>
      <c r="Q111" s="15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2">
        <f>IF(AC111="", 0, 1)</f>
        <v>1</v>
      </c>
      <c r="AC111" s="13">
        <v>165</v>
      </c>
      <c r="AD111" s="12"/>
      <c r="AE111" s="12"/>
      <c r="AF111" s="12">
        <f>2.6*30</f>
        <v>78</v>
      </c>
      <c r="AG111" s="12">
        <f>1.1*30</f>
        <v>33</v>
      </c>
      <c r="AH111" s="12">
        <f>7.9*30</f>
        <v>237</v>
      </c>
      <c r="AI111" s="12"/>
      <c r="AJ111" s="12"/>
      <c r="AK111" s="12"/>
      <c r="AL111" s="12" t="str">
        <f>IF(AF111="", "mean", "med")</f>
        <v>med</v>
      </c>
      <c r="AM111" s="12">
        <f>IF(AF111="", AD111, AF111)</f>
        <v>78</v>
      </c>
      <c r="AN111" s="12">
        <f>IF(AO111="", 0, 1)</f>
        <v>1</v>
      </c>
      <c r="AO111" s="12">
        <v>165</v>
      </c>
      <c r="AP111" s="12"/>
      <c r="AQ111" s="12"/>
      <c r="AR111" s="12">
        <f>1.1*30</f>
        <v>33</v>
      </c>
      <c r="AS111" s="12">
        <f>0.2*30</f>
        <v>6</v>
      </c>
      <c r="AT111" s="12">
        <f>9.1*30</f>
        <v>273</v>
      </c>
      <c r="AU111" s="12"/>
      <c r="AV111" s="12"/>
      <c r="AW111" s="12"/>
      <c r="AX111" s="12" t="str">
        <f>IF(AR111="", "mean", "med")</f>
        <v>med</v>
      </c>
      <c r="AY111" s="12">
        <f>IF(AR111="", AP111, AR111)</f>
        <v>33</v>
      </c>
      <c r="AZ111" s="49" t="s">
        <v>46</v>
      </c>
      <c r="BA111" s="49" t="str">
        <f>IF(AZ111="high","high","lower")</f>
        <v>lower</v>
      </c>
      <c r="BB111" s="49">
        <v>0.56999999999999995</v>
      </c>
      <c r="BC111" s="49"/>
      <c r="BD111" s="49"/>
      <c r="BE111" s="49"/>
      <c r="BF111" s="49"/>
      <c r="BG111" s="18" t="s">
        <v>1030</v>
      </c>
      <c r="BH111" s="18" t="s">
        <v>1031</v>
      </c>
    </row>
    <row r="112" spans="1:60" ht="15.75" customHeight="1" x14ac:dyDescent="0.2">
      <c r="A112" s="11">
        <v>111</v>
      </c>
      <c r="B112" s="12">
        <v>2386</v>
      </c>
      <c r="C112" s="13" t="s">
        <v>239</v>
      </c>
      <c r="D112" s="13" t="s">
        <v>244</v>
      </c>
      <c r="E112" s="23">
        <v>2014</v>
      </c>
      <c r="F112" s="23">
        <v>2017</v>
      </c>
      <c r="G112" s="13" t="s">
        <v>242</v>
      </c>
      <c r="H112" s="13"/>
      <c r="I112" s="13" t="s">
        <v>40</v>
      </c>
      <c r="J112" s="13" t="s">
        <v>40</v>
      </c>
      <c r="K112" s="14"/>
      <c r="L112" s="15">
        <v>100</v>
      </c>
      <c r="M112" s="16" t="s">
        <v>41</v>
      </c>
      <c r="N112" s="13" t="s">
        <v>42</v>
      </c>
      <c r="O112" s="14"/>
      <c r="P112" s="12">
        <f>IF(Q112="", 0, 1)</f>
        <v>0</v>
      </c>
      <c r="Q112" s="15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2">
        <f>IF(AC112="", 0, 1)</f>
        <v>1</v>
      </c>
      <c r="AC112" s="13">
        <v>371</v>
      </c>
      <c r="AD112" s="12"/>
      <c r="AE112" s="12"/>
      <c r="AF112" s="12">
        <f>0.7*30</f>
        <v>21</v>
      </c>
      <c r="AG112" s="12">
        <f>0.2*30</f>
        <v>6</v>
      </c>
      <c r="AH112" s="12">
        <f>2*30</f>
        <v>60</v>
      </c>
      <c r="AI112" s="12"/>
      <c r="AJ112" s="12"/>
      <c r="AK112" s="12"/>
      <c r="AL112" s="12" t="str">
        <f>IF(AF112="", "mean", "med")</f>
        <v>med</v>
      </c>
      <c r="AM112" s="12">
        <f>IF(AF112="", AD112, AF112)</f>
        <v>21</v>
      </c>
      <c r="AN112" s="12">
        <f>IF(AO112="", 0, 1)</f>
        <v>1</v>
      </c>
      <c r="AO112" s="12">
        <v>371</v>
      </c>
      <c r="AP112" s="12"/>
      <c r="AQ112" s="12"/>
      <c r="AR112" s="12">
        <f>0.3*30</f>
        <v>9</v>
      </c>
      <c r="AS112" s="12">
        <v>0</v>
      </c>
      <c r="AT112" s="12">
        <f>2.1*30</f>
        <v>63</v>
      </c>
      <c r="AU112" s="12"/>
      <c r="AV112" s="12"/>
      <c r="AW112" s="12"/>
      <c r="AX112" s="12" t="str">
        <f>IF(AR112="", "mean", "med")</f>
        <v>med</v>
      </c>
      <c r="AY112" s="12">
        <f>IF(AR112="", AP112, AR112)</f>
        <v>9</v>
      </c>
      <c r="AZ112" s="49" t="s">
        <v>43</v>
      </c>
      <c r="BA112" s="49" t="str">
        <f>IF(AZ112="high","high","lower")</f>
        <v>lower</v>
      </c>
      <c r="BB112" s="49">
        <v>0.63800000000000001</v>
      </c>
      <c r="BC112" s="49"/>
      <c r="BD112" s="49"/>
      <c r="BE112" s="49"/>
      <c r="BF112" s="49"/>
      <c r="BG112" s="18" t="s">
        <v>1030</v>
      </c>
      <c r="BH112" s="18" t="s">
        <v>1031</v>
      </c>
    </row>
    <row r="113" spans="1:60" ht="15.75" customHeight="1" x14ac:dyDescent="0.2">
      <c r="A113" s="11">
        <v>112</v>
      </c>
      <c r="B113" s="12">
        <v>2386</v>
      </c>
      <c r="C113" s="13" t="s">
        <v>239</v>
      </c>
      <c r="D113" s="13" t="s">
        <v>62</v>
      </c>
      <c r="E113" s="23">
        <v>2014</v>
      </c>
      <c r="F113" s="23">
        <v>2017</v>
      </c>
      <c r="G113" s="13" t="s">
        <v>62</v>
      </c>
      <c r="H113" s="13"/>
      <c r="I113" s="13" t="s">
        <v>40</v>
      </c>
      <c r="J113" s="13" t="s">
        <v>40</v>
      </c>
      <c r="K113" s="14"/>
      <c r="L113" s="15">
        <v>100</v>
      </c>
      <c r="M113" s="16" t="s">
        <v>41</v>
      </c>
      <c r="N113" s="13" t="s">
        <v>42</v>
      </c>
      <c r="O113" s="13"/>
      <c r="P113" s="12">
        <f>IF(Q113="", 0, 1)</f>
        <v>0</v>
      </c>
      <c r="Q113" s="15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2">
        <f>IF(AC113="", 0, 1)</f>
        <v>1</v>
      </c>
      <c r="AC113" s="13">
        <v>397</v>
      </c>
      <c r="AD113" s="12"/>
      <c r="AE113" s="12"/>
      <c r="AF113" s="12">
        <f>0.2*30</f>
        <v>6</v>
      </c>
      <c r="AG113" s="12">
        <v>0</v>
      </c>
      <c r="AH113" s="12">
        <f>3*30</f>
        <v>90</v>
      </c>
      <c r="AI113" s="12"/>
      <c r="AJ113" s="12"/>
      <c r="AK113" s="12"/>
      <c r="AL113" s="12" t="str">
        <f>IF(AF113="", "mean", "med")</f>
        <v>med</v>
      </c>
      <c r="AM113" s="12">
        <f>IF(AF113="", AD113, AF113)</f>
        <v>6</v>
      </c>
      <c r="AN113" s="12">
        <f>IF(AO113="", 0, 1)</f>
        <v>1</v>
      </c>
      <c r="AO113" s="12">
        <v>397</v>
      </c>
      <c r="AP113" s="12"/>
      <c r="AQ113" s="12"/>
      <c r="AR113" s="12">
        <f>3.7*30</f>
        <v>111</v>
      </c>
      <c r="AS113" s="12">
        <f>30</f>
        <v>30</v>
      </c>
      <c r="AT113" s="12">
        <f>8.1*30</f>
        <v>243</v>
      </c>
      <c r="AU113" s="12"/>
      <c r="AV113" s="12"/>
      <c r="AW113" s="12"/>
      <c r="AX113" s="12" t="str">
        <f>IF(AR113="", "mean", "med")</f>
        <v>med</v>
      </c>
      <c r="AY113" s="12">
        <f>IF(AR113="", AP113, AR113)</f>
        <v>111</v>
      </c>
      <c r="AZ113" s="49" t="s">
        <v>46</v>
      </c>
      <c r="BA113" s="49" t="str">
        <f>IF(AZ113="high","high","lower")</f>
        <v>lower</v>
      </c>
      <c r="BB113" s="49">
        <v>0.52700000000000002</v>
      </c>
      <c r="BC113" s="49"/>
      <c r="BD113" s="49"/>
      <c r="BE113" s="49"/>
      <c r="BF113" s="49"/>
      <c r="BG113" s="18" t="s">
        <v>1030</v>
      </c>
      <c r="BH113" s="18" t="s">
        <v>1031</v>
      </c>
    </row>
    <row r="114" spans="1:60" ht="15.75" customHeight="1" x14ac:dyDescent="0.2">
      <c r="A114" s="11">
        <v>113</v>
      </c>
      <c r="B114" s="12">
        <v>2386</v>
      </c>
      <c r="C114" s="13" t="s">
        <v>239</v>
      </c>
      <c r="D114" s="13" t="s">
        <v>245</v>
      </c>
      <c r="E114" s="23">
        <v>2014</v>
      </c>
      <c r="F114" s="23">
        <v>2017</v>
      </c>
      <c r="G114" s="13" t="s">
        <v>245</v>
      </c>
      <c r="H114" s="13"/>
      <c r="I114" s="13" t="s">
        <v>40</v>
      </c>
      <c r="J114" s="13" t="s">
        <v>40</v>
      </c>
      <c r="K114" s="14"/>
      <c r="L114" s="15">
        <v>100</v>
      </c>
      <c r="M114" s="16" t="s">
        <v>41</v>
      </c>
      <c r="N114" s="13" t="s">
        <v>42</v>
      </c>
      <c r="O114" s="14"/>
      <c r="P114" s="12">
        <f>IF(Q114="", 0, 1)</f>
        <v>0</v>
      </c>
      <c r="Q114" s="15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2">
        <f>IF(AC114="", 0, 1)</f>
        <v>1</v>
      </c>
      <c r="AC114" s="13">
        <v>400</v>
      </c>
      <c r="AD114" s="12"/>
      <c r="AE114" s="12"/>
      <c r="AF114" s="12">
        <f>4.7*30</f>
        <v>141</v>
      </c>
      <c r="AG114" s="12">
        <f>1.3*30</f>
        <v>39</v>
      </c>
      <c r="AH114" s="12">
        <f>11.8*30</f>
        <v>354</v>
      </c>
      <c r="AI114" s="12"/>
      <c r="AJ114" s="12"/>
      <c r="AK114" s="12"/>
      <c r="AL114" s="12" t="str">
        <f>IF(AF114="", "mean", "med")</f>
        <v>med</v>
      </c>
      <c r="AM114" s="12">
        <f>IF(AF114="", AD114, AF114)</f>
        <v>141</v>
      </c>
      <c r="AN114" s="12">
        <f>IF(AO114="", 0, 1)</f>
        <v>1</v>
      </c>
      <c r="AO114" s="12">
        <v>400</v>
      </c>
      <c r="AP114" s="12"/>
      <c r="AQ114" s="12"/>
      <c r="AR114" s="12">
        <f>3.5*30</f>
        <v>105</v>
      </c>
      <c r="AS114" s="12">
        <v>30</v>
      </c>
      <c r="AT114" s="12">
        <f>9.9*30</f>
        <v>297</v>
      </c>
      <c r="AU114" s="12"/>
      <c r="AV114" s="12"/>
      <c r="AW114" s="12"/>
      <c r="AX114" s="12" t="str">
        <f>IF(AR114="", "mean", "med")</f>
        <v>med</v>
      </c>
      <c r="AY114" s="12">
        <f>IF(AR114="", AP114, AR114)</f>
        <v>105</v>
      </c>
      <c r="AZ114" s="49" t="s">
        <v>146</v>
      </c>
      <c r="BA114" s="49" t="str">
        <f>IF(AZ114="high","high","lower")</f>
        <v>lower</v>
      </c>
      <c r="BB114" s="49">
        <v>0.52600000000000002</v>
      </c>
      <c r="BC114" s="49"/>
      <c r="BD114" s="49"/>
      <c r="BE114" s="49"/>
      <c r="BF114" s="49"/>
      <c r="BG114" s="18" t="s">
        <v>1030</v>
      </c>
      <c r="BH114" s="18" t="s">
        <v>1031</v>
      </c>
    </row>
    <row r="115" spans="1:60" ht="15.75" customHeight="1" x14ac:dyDescent="0.2">
      <c r="A115" s="11">
        <v>114</v>
      </c>
      <c r="B115" s="12">
        <v>2393</v>
      </c>
      <c r="C115" s="13" t="s">
        <v>246</v>
      </c>
      <c r="D115" s="13" t="s">
        <v>38</v>
      </c>
      <c r="E115" s="23">
        <v>2006</v>
      </c>
      <c r="F115" s="23">
        <v>2009</v>
      </c>
      <c r="G115" s="13" t="s">
        <v>77</v>
      </c>
      <c r="H115" s="13"/>
      <c r="I115" s="13" t="s">
        <v>57</v>
      </c>
      <c r="J115" s="13" t="s">
        <v>58</v>
      </c>
      <c r="K115" s="13"/>
      <c r="L115" s="19">
        <f>(6611/14692)*100</f>
        <v>44.997277429893821</v>
      </c>
      <c r="M115" s="16" t="s">
        <v>41</v>
      </c>
      <c r="N115" s="13" t="s">
        <v>99</v>
      </c>
      <c r="O115" s="13" t="s">
        <v>247</v>
      </c>
      <c r="P115" s="12">
        <f>IF(Q115="", 0, 1)</f>
        <v>1</v>
      </c>
      <c r="Q115" s="53">
        <v>14692</v>
      </c>
      <c r="R115" s="55"/>
      <c r="S115" s="17"/>
      <c r="T115" s="17">
        <v>35</v>
      </c>
      <c r="U115" s="17">
        <v>21</v>
      </c>
      <c r="V115" s="17">
        <v>55</v>
      </c>
      <c r="W115" s="17"/>
      <c r="X115" s="17"/>
      <c r="Y115" s="17"/>
      <c r="Z115" s="17" t="str">
        <f>IF(T115="", "mean", "med")</f>
        <v>med</v>
      </c>
      <c r="AA115" s="17">
        <f>IF(T115="", R115, T115)</f>
        <v>35</v>
      </c>
      <c r="AB115" s="12">
        <f>IF(AC115="", 0, 1)</f>
        <v>0</v>
      </c>
      <c r="AC115" s="13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>
        <f>IF(AO115="", 0, 1)</f>
        <v>0</v>
      </c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 t="s">
        <v>52</v>
      </c>
      <c r="BA115" s="12" t="str">
        <f>IF(AZ115="high","high","lower")</f>
        <v>high</v>
      </c>
      <c r="BB115" s="49">
        <v>0.90100000000000002</v>
      </c>
      <c r="BC115" s="12">
        <v>85.3</v>
      </c>
      <c r="BD115" s="12">
        <v>96.3</v>
      </c>
      <c r="BE115" s="12">
        <v>91.7</v>
      </c>
      <c r="BF115" s="12">
        <v>80</v>
      </c>
      <c r="BG115" s="18" t="s">
        <v>1034</v>
      </c>
      <c r="BH115" s="18" t="s">
        <v>1031</v>
      </c>
    </row>
    <row r="116" spans="1:60" ht="15.75" customHeight="1" x14ac:dyDescent="0.2">
      <c r="A116" s="11">
        <v>115</v>
      </c>
      <c r="B116" s="12">
        <v>2399</v>
      </c>
      <c r="C116" s="13" t="s">
        <v>248</v>
      </c>
      <c r="D116" s="13" t="s">
        <v>38</v>
      </c>
      <c r="E116" s="23">
        <v>2006</v>
      </c>
      <c r="F116" s="23">
        <v>2012</v>
      </c>
      <c r="G116" s="13" t="s">
        <v>249</v>
      </c>
      <c r="H116" s="13"/>
      <c r="I116" s="13" t="s">
        <v>59</v>
      </c>
      <c r="J116" s="13" t="s">
        <v>60</v>
      </c>
      <c r="K116" s="13"/>
      <c r="L116" s="15">
        <v>0</v>
      </c>
      <c r="M116" s="16">
        <v>66</v>
      </c>
      <c r="N116" s="13" t="s">
        <v>42</v>
      </c>
      <c r="O116" s="13" t="s">
        <v>250</v>
      </c>
      <c r="P116" s="12">
        <f>IF(Q116="", 0, 1)</f>
        <v>1</v>
      </c>
      <c r="Q116" s="15">
        <v>2653</v>
      </c>
      <c r="R116" s="17"/>
      <c r="S116" s="17"/>
      <c r="T116" s="17">
        <f>2.8*30</f>
        <v>84</v>
      </c>
      <c r="U116" s="17">
        <f>1.6*30</f>
        <v>48</v>
      </c>
      <c r="V116" s="17">
        <f>4.6*30</f>
        <v>138</v>
      </c>
      <c r="W116" s="17"/>
      <c r="X116" s="17"/>
      <c r="Y116" s="17"/>
      <c r="Z116" s="17" t="str">
        <f>IF(T116="", "mean", "med")</f>
        <v>med</v>
      </c>
      <c r="AA116" s="17">
        <f>IF(T116="", R116, T116)</f>
        <v>84</v>
      </c>
      <c r="AB116" s="12">
        <f>IF(AC116="", 0, 1)</f>
        <v>0</v>
      </c>
      <c r="AC116" s="13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>
        <f>IF(AO116="", 0, 1)</f>
        <v>0</v>
      </c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 t="s">
        <v>52</v>
      </c>
      <c r="BA116" s="12" t="str">
        <f>IF(AZ116="high","high","lower")</f>
        <v>high</v>
      </c>
      <c r="BB116" s="49">
        <v>0.877</v>
      </c>
      <c r="BC116" s="12">
        <v>79.900000000000006</v>
      </c>
      <c r="BD116" s="12">
        <v>85.9</v>
      </c>
      <c r="BE116" s="12">
        <v>70.8</v>
      </c>
      <c r="BF116" s="12">
        <v>84.7</v>
      </c>
      <c r="BG116" s="18" t="s">
        <v>1030</v>
      </c>
      <c r="BH116" s="18" t="s">
        <v>1031</v>
      </c>
    </row>
    <row r="117" spans="1:60" ht="15.75" customHeight="1" x14ac:dyDescent="0.2">
      <c r="A117" s="11">
        <v>116</v>
      </c>
      <c r="B117" s="12">
        <v>2401</v>
      </c>
      <c r="C117" s="13" t="s">
        <v>251</v>
      </c>
      <c r="D117" s="14" t="s">
        <v>38</v>
      </c>
      <c r="E117" s="13">
        <v>2000</v>
      </c>
      <c r="F117" s="13">
        <v>2000</v>
      </c>
      <c r="G117" s="13" t="s">
        <v>252</v>
      </c>
      <c r="H117" s="13"/>
      <c r="I117" s="13" t="s">
        <v>40</v>
      </c>
      <c r="J117" s="13" t="s">
        <v>40</v>
      </c>
      <c r="K117" s="13"/>
      <c r="L117" s="15">
        <v>100</v>
      </c>
      <c r="M117" s="16">
        <v>43.3</v>
      </c>
      <c r="N117" s="13" t="s">
        <v>50</v>
      </c>
      <c r="O117" s="13" t="s">
        <v>253</v>
      </c>
      <c r="P117" s="12">
        <f>IF(Q117="", 0, 1)</f>
        <v>1</v>
      </c>
      <c r="Q117" s="15">
        <v>70</v>
      </c>
      <c r="R117" s="17">
        <f>3.1*7</f>
        <v>21.7</v>
      </c>
      <c r="S117" s="17">
        <f>2.8*7</f>
        <v>19.599999999999998</v>
      </c>
      <c r="T117" s="17"/>
      <c r="U117" s="17"/>
      <c r="V117" s="17"/>
      <c r="W117" s="17"/>
      <c r="X117" s="17">
        <v>7</v>
      </c>
      <c r="Y117" s="17">
        <f>24*7</f>
        <v>168</v>
      </c>
      <c r="Z117" s="17" t="str">
        <f>IF(T117="", "mean", "med")</f>
        <v>mean</v>
      </c>
      <c r="AA117" s="17">
        <f>IF(T117="", R117, T117)</f>
        <v>21.7</v>
      </c>
      <c r="AB117" s="12">
        <f>IF(AC117="", 0, 1)</f>
        <v>0</v>
      </c>
      <c r="AC117" s="13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>
        <f>IF(AO117="", 0, 1)</f>
        <v>1</v>
      </c>
      <c r="AO117" s="12">
        <v>70</v>
      </c>
      <c r="AP117" s="12">
        <f>4.6*7</f>
        <v>32.199999999999996</v>
      </c>
      <c r="AQ117" s="12"/>
      <c r="AR117" s="12"/>
      <c r="AS117" s="12"/>
      <c r="AT117" s="12"/>
      <c r="AU117" s="12"/>
      <c r="AV117" s="12">
        <v>7</v>
      </c>
      <c r="AW117" s="12">
        <f>72*7</f>
        <v>504</v>
      </c>
      <c r="AX117" s="12" t="str">
        <f>IF(AR117="", "mean", "med")</f>
        <v>mean</v>
      </c>
      <c r="AY117" s="12">
        <f>IF(AR117="", AP117, AR117)</f>
        <v>32.199999999999996</v>
      </c>
      <c r="AZ117" s="49" t="s">
        <v>38</v>
      </c>
      <c r="BA117" s="49" t="str">
        <f>IF(AZ117="high","high","lower")</f>
        <v>lower</v>
      </c>
      <c r="BB117" s="47"/>
      <c r="BC117" s="49"/>
      <c r="BD117" s="49"/>
      <c r="BE117" s="49"/>
      <c r="BF117" s="49"/>
      <c r="BG117" s="18" t="s">
        <v>1032</v>
      </c>
      <c r="BH117" s="18" t="s">
        <v>1033</v>
      </c>
    </row>
    <row r="118" spans="1:60" ht="15.75" customHeight="1" x14ac:dyDescent="0.2">
      <c r="A118" s="11">
        <v>117</v>
      </c>
      <c r="B118" s="22">
        <v>2410</v>
      </c>
      <c r="C118" s="13" t="s">
        <v>254</v>
      </c>
      <c r="D118" s="13" t="s">
        <v>38</v>
      </c>
      <c r="E118" s="23">
        <v>1992</v>
      </c>
      <c r="F118" s="23">
        <v>2001</v>
      </c>
      <c r="G118" s="13" t="s">
        <v>49</v>
      </c>
      <c r="H118" s="13"/>
      <c r="I118" s="13" t="s">
        <v>94</v>
      </c>
      <c r="J118" s="13" t="s">
        <v>255</v>
      </c>
      <c r="K118" s="13"/>
      <c r="L118" s="19">
        <f>((940+1113)/(940+1113+973+805))*100</f>
        <v>53.589141216392591</v>
      </c>
      <c r="M118" s="16" t="s">
        <v>256</v>
      </c>
      <c r="N118" s="13" t="s">
        <v>42</v>
      </c>
      <c r="O118" s="13"/>
      <c r="P118" s="12">
        <f>IF(Q118="", 0, 1)</f>
        <v>0</v>
      </c>
      <c r="Q118" s="15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2">
        <f>IF(AC118="", 0, 1)</f>
        <v>1</v>
      </c>
      <c r="AC118" s="13">
        <v>3831</v>
      </c>
      <c r="AD118" s="12">
        <v>137</v>
      </c>
      <c r="AE118" s="12">
        <v>120</v>
      </c>
      <c r="AF118" s="12">
        <v>99</v>
      </c>
      <c r="AG118" s="12">
        <v>27</v>
      </c>
      <c r="AH118" s="22">
        <v>252</v>
      </c>
      <c r="AI118" s="12"/>
      <c r="AJ118" s="12">
        <v>1</v>
      </c>
      <c r="AK118" s="12">
        <v>365</v>
      </c>
      <c r="AL118" s="12" t="str">
        <f>IF(AF118="", "mean", "med")</f>
        <v>med</v>
      </c>
      <c r="AM118" s="12">
        <f>IF(AF118="", AD118, AF118)</f>
        <v>99</v>
      </c>
      <c r="AN118" s="12">
        <f>IF(AO118="", 0, 1)</f>
        <v>0</v>
      </c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 t="s">
        <v>52</v>
      </c>
      <c r="BA118" s="12" t="str">
        <f>IF(AZ118="high","high","lower")</f>
        <v>high</v>
      </c>
      <c r="BB118" s="49">
        <v>0.88400000000000001</v>
      </c>
      <c r="BC118" s="12">
        <v>84</v>
      </c>
      <c r="BD118" s="12">
        <v>88</v>
      </c>
      <c r="BE118" s="12">
        <v>100</v>
      </c>
      <c r="BF118" s="12">
        <v>84.2</v>
      </c>
      <c r="BG118" s="18" t="s">
        <v>1030</v>
      </c>
      <c r="BH118" s="18" t="s">
        <v>1031</v>
      </c>
    </row>
    <row r="119" spans="1:60" ht="15.75" customHeight="1" x14ac:dyDescent="0.2">
      <c r="A119" s="11">
        <v>118</v>
      </c>
      <c r="B119" s="12">
        <v>2420</v>
      </c>
      <c r="C119" s="13" t="s">
        <v>257</v>
      </c>
      <c r="D119" s="13" t="s">
        <v>38</v>
      </c>
      <c r="E119" s="23">
        <v>1998</v>
      </c>
      <c r="F119" s="23">
        <v>2011</v>
      </c>
      <c r="G119" s="13" t="s">
        <v>49</v>
      </c>
      <c r="H119" s="13"/>
      <c r="I119" s="13" t="s">
        <v>79</v>
      </c>
      <c r="J119" s="31" t="s">
        <v>236</v>
      </c>
      <c r="K119" s="14"/>
      <c r="L119" s="15">
        <v>40.1</v>
      </c>
      <c r="M119" s="16">
        <v>62.2</v>
      </c>
      <c r="N119" s="13" t="s">
        <v>42</v>
      </c>
      <c r="O119" s="13" t="s">
        <v>90</v>
      </c>
      <c r="P119" s="12">
        <f>IF(Q119="", 0, 1)</f>
        <v>1</v>
      </c>
      <c r="Q119" s="15">
        <v>4868</v>
      </c>
      <c r="R119" s="17"/>
      <c r="S119" s="17">
        <v>29.3</v>
      </c>
      <c r="T119" s="17">
        <v>30</v>
      </c>
      <c r="U119" s="17"/>
      <c r="V119" s="17"/>
      <c r="W119" s="17"/>
      <c r="X119" s="17">
        <v>1</v>
      </c>
      <c r="Y119" s="17">
        <v>731</v>
      </c>
      <c r="Z119" s="17" t="str">
        <f>IF(T119="", "mean", "med")</f>
        <v>med</v>
      </c>
      <c r="AA119" s="17">
        <f>IF(T119="", R119, T119)</f>
        <v>30</v>
      </c>
      <c r="AB119" s="12">
        <f>IF(AC119="", 0, 1)</f>
        <v>0</v>
      </c>
      <c r="AC119" s="13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>
        <f>IF(AO119="", 0, 1)</f>
        <v>0</v>
      </c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 t="s">
        <v>52</v>
      </c>
      <c r="BA119" s="12" t="str">
        <f>IF(AZ119="high","high","lower")</f>
        <v>high</v>
      </c>
      <c r="BB119" s="49">
        <v>0.9</v>
      </c>
      <c r="BC119" s="12">
        <v>84</v>
      </c>
      <c r="BD119" s="12">
        <v>88</v>
      </c>
      <c r="BE119" s="12">
        <v>100</v>
      </c>
      <c r="BF119" s="12">
        <v>84.2</v>
      </c>
      <c r="BG119" s="18" t="s">
        <v>1030</v>
      </c>
      <c r="BH119" s="18" t="s">
        <v>1031</v>
      </c>
    </row>
    <row r="120" spans="1:60" ht="15.75" customHeight="1" x14ac:dyDescent="0.2">
      <c r="A120" s="11">
        <v>119</v>
      </c>
      <c r="B120" s="22">
        <v>2421</v>
      </c>
      <c r="C120" s="13" t="s">
        <v>258</v>
      </c>
      <c r="D120" s="14" t="s">
        <v>38</v>
      </c>
      <c r="E120" s="23">
        <v>2007</v>
      </c>
      <c r="F120" s="23">
        <v>2011</v>
      </c>
      <c r="G120" s="13" t="s">
        <v>259</v>
      </c>
      <c r="H120" s="13"/>
      <c r="I120" s="14" t="s">
        <v>54</v>
      </c>
      <c r="J120" s="13" t="s">
        <v>226</v>
      </c>
      <c r="K120" s="14"/>
      <c r="L120" s="19">
        <f>((74+72+51)/(74+72+51+111+146+102))*100</f>
        <v>35.431654676258994</v>
      </c>
      <c r="M120" s="20" t="s">
        <v>41</v>
      </c>
      <c r="N120" s="13" t="s">
        <v>42</v>
      </c>
      <c r="O120" s="13" t="s">
        <v>260</v>
      </c>
      <c r="P120" s="12">
        <f>IF(Q120="", 0, 1)</f>
        <v>1</v>
      </c>
      <c r="Q120" s="15">
        <v>556</v>
      </c>
      <c r="R120" s="17"/>
      <c r="S120" s="17"/>
      <c r="T120" s="17">
        <v>72</v>
      </c>
      <c r="U120" s="17"/>
      <c r="V120" s="17"/>
      <c r="W120" s="17"/>
      <c r="X120" s="17"/>
      <c r="Y120" s="17"/>
      <c r="Z120" s="17" t="str">
        <f>IF(T120="", "mean", "med")</f>
        <v>med</v>
      </c>
      <c r="AA120" s="17">
        <f>IF(T120="", R120, T120)</f>
        <v>72</v>
      </c>
      <c r="AB120" s="12">
        <f>IF(AC120="", 0, 1)</f>
        <v>0</v>
      </c>
      <c r="AC120" s="13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>
        <f>IF(AO120="", 0, 1)</f>
        <v>0</v>
      </c>
      <c r="AO120" s="22"/>
      <c r="AP120" s="12"/>
      <c r="AQ120" s="12"/>
      <c r="AR120" s="22"/>
      <c r="AS120" s="12"/>
      <c r="AT120" s="12"/>
      <c r="AU120" s="12"/>
      <c r="AV120" s="12"/>
      <c r="AW120" s="12"/>
      <c r="AX120" s="12"/>
      <c r="AY120" s="12"/>
      <c r="AZ120" s="12" t="s">
        <v>52</v>
      </c>
      <c r="BA120" s="12" t="str">
        <f>IF(AZ120="high","high","lower")</f>
        <v>high</v>
      </c>
      <c r="BB120" s="49">
        <v>0.88500000000000001</v>
      </c>
      <c r="BC120" s="12">
        <v>83.2</v>
      </c>
      <c r="BD120" s="12">
        <v>83.1</v>
      </c>
      <c r="BE120" s="12">
        <v>100</v>
      </c>
      <c r="BF120" s="12">
        <v>96.6</v>
      </c>
      <c r="BG120" s="18" t="s">
        <v>1030</v>
      </c>
      <c r="BH120" s="18" t="s">
        <v>1031</v>
      </c>
    </row>
    <row r="121" spans="1:60" ht="15.75" customHeight="1" x14ac:dyDescent="0.2">
      <c r="A121" s="11">
        <v>120</v>
      </c>
      <c r="B121" s="12">
        <v>2436</v>
      </c>
      <c r="C121" s="13" t="s">
        <v>261</v>
      </c>
      <c r="D121" s="13" t="s">
        <v>38</v>
      </c>
      <c r="E121" s="23">
        <v>2010</v>
      </c>
      <c r="F121" s="23">
        <v>2012</v>
      </c>
      <c r="G121" s="13" t="s">
        <v>145</v>
      </c>
      <c r="H121" s="13"/>
      <c r="I121" s="13" t="s">
        <v>40</v>
      </c>
      <c r="J121" s="13" t="s">
        <v>40</v>
      </c>
      <c r="K121" s="13"/>
      <c r="L121" s="15">
        <v>100</v>
      </c>
      <c r="M121" s="20" t="s">
        <v>41</v>
      </c>
      <c r="N121" s="13" t="s">
        <v>50</v>
      </c>
      <c r="O121" s="13"/>
      <c r="P121" s="12">
        <f>IF(Q121="", 0, 1)</f>
        <v>0</v>
      </c>
      <c r="Q121" s="15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2">
        <f>IF(AC121="", 0, 1)</f>
        <v>0</v>
      </c>
      <c r="AC121" s="13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>
        <f>IF(AO121="", 0, 1)</f>
        <v>1</v>
      </c>
      <c r="AO121" s="12">
        <v>212</v>
      </c>
      <c r="AP121" s="12">
        <f>8*30</f>
        <v>240</v>
      </c>
      <c r="AQ121" s="12"/>
      <c r="AR121" s="12"/>
      <c r="AS121" s="12"/>
      <c r="AT121" s="12"/>
      <c r="AU121" s="12"/>
      <c r="AV121" s="12">
        <v>0</v>
      </c>
      <c r="AW121" s="12">
        <f>150*7</f>
        <v>1050</v>
      </c>
      <c r="AX121" s="12" t="str">
        <f>IF(AR121="", "mean", "med")</f>
        <v>mean</v>
      </c>
      <c r="AY121" s="12">
        <f>IF(AR121="", AP121, AR121)</f>
        <v>240</v>
      </c>
      <c r="AZ121" s="12" t="s">
        <v>46</v>
      </c>
      <c r="BA121" s="12" t="str">
        <f>IF(AZ121="high","high","lower")</f>
        <v>lower</v>
      </c>
      <c r="BB121" s="49">
        <v>0.58799999999999997</v>
      </c>
      <c r="BC121" s="12">
        <v>64.900000000000006</v>
      </c>
      <c r="BD121" s="12">
        <v>80.8</v>
      </c>
      <c r="BE121" s="12">
        <v>58.3</v>
      </c>
      <c r="BF121" s="12">
        <v>61.3</v>
      </c>
      <c r="BG121" s="18" t="s">
        <v>1030</v>
      </c>
      <c r="BH121" s="18" t="s">
        <v>1031</v>
      </c>
    </row>
    <row r="122" spans="1:60" ht="15.75" customHeight="1" x14ac:dyDescent="0.2">
      <c r="A122" s="11">
        <v>121</v>
      </c>
      <c r="B122" s="12">
        <v>2438</v>
      </c>
      <c r="C122" s="13" t="s">
        <v>262</v>
      </c>
      <c r="D122" s="14" t="s">
        <v>38</v>
      </c>
      <c r="E122" s="23">
        <v>2005</v>
      </c>
      <c r="F122" s="23">
        <v>2006</v>
      </c>
      <c r="G122" s="13" t="s">
        <v>264</v>
      </c>
      <c r="H122" s="13"/>
      <c r="I122" s="13" t="s">
        <v>79</v>
      </c>
      <c r="J122" s="31" t="s">
        <v>236</v>
      </c>
      <c r="K122" s="14"/>
      <c r="L122" s="15">
        <f>(45/102)*100</f>
        <v>44.117647058823529</v>
      </c>
      <c r="M122" s="16">
        <v>59</v>
      </c>
      <c r="N122" s="13" t="s">
        <v>50</v>
      </c>
      <c r="O122" s="14"/>
      <c r="P122" s="12">
        <f>IF(Q122="", 0, 1)</f>
        <v>0</v>
      </c>
      <c r="Q122" s="15"/>
      <c r="R122" s="21"/>
      <c r="S122" s="17"/>
      <c r="T122" s="17"/>
      <c r="U122" s="21"/>
      <c r="V122" s="17"/>
      <c r="W122" s="17"/>
      <c r="X122" s="17"/>
      <c r="Y122" s="17"/>
      <c r="Z122" s="17"/>
      <c r="AA122" s="17"/>
      <c r="AB122" s="12">
        <f>IF(AC122="", 0, 1)</f>
        <v>1</v>
      </c>
      <c r="AC122" s="13">
        <v>102</v>
      </c>
      <c r="AD122" s="12"/>
      <c r="AE122" s="12"/>
      <c r="AF122" s="12">
        <f>7*7</f>
        <v>49</v>
      </c>
      <c r="AG122" s="12"/>
      <c r="AH122" s="12"/>
      <c r="AI122" s="12"/>
      <c r="AJ122" s="12">
        <v>7</v>
      </c>
      <c r="AK122" s="12">
        <f>367*7</f>
        <v>2569</v>
      </c>
      <c r="AL122" s="12" t="str">
        <f>IF(AF122="", "mean", "med")</f>
        <v>med</v>
      </c>
      <c r="AM122" s="12">
        <f>IF(AF122="", AD122, AF122)</f>
        <v>49</v>
      </c>
      <c r="AN122" s="12">
        <f>IF(AO122="", 0, 1)</f>
        <v>1</v>
      </c>
      <c r="AO122" s="12">
        <v>102</v>
      </c>
      <c r="AP122" s="12"/>
      <c r="AQ122" s="12"/>
      <c r="AR122" s="12">
        <f>7*7</f>
        <v>49</v>
      </c>
      <c r="AS122" s="12"/>
      <c r="AT122" s="12"/>
      <c r="AU122" s="12"/>
      <c r="AV122" s="12">
        <v>7</v>
      </c>
      <c r="AW122" s="12">
        <f>7*355</f>
        <v>2485</v>
      </c>
      <c r="AX122" s="12" t="str">
        <f>IF(AR122="", "mean", "med")</f>
        <v>med</v>
      </c>
      <c r="AY122" s="12">
        <f>IF(AR122="", AP122, AR122)</f>
        <v>49</v>
      </c>
      <c r="AZ122" s="12" t="s">
        <v>46</v>
      </c>
      <c r="BA122" s="12" t="str">
        <f>IF(AZ122="high","high","lower")</f>
        <v>lower</v>
      </c>
      <c r="BB122" s="49">
        <v>0.64700000000000002</v>
      </c>
      <c r="BC122" s="12">
        <v>64.5</v>
      </c>
      <c r="BD122" s="12">
        <v>73.099999999999994</v>
      </c>
      <c r="BE122" s="12">
        <v>50</v>
      </c>
      <c r="BF122" s="12">
        <v>61.3</v>
      </c>
      <c r="BG122" s="18" t="s">
        <v>1030</v>
      </c>
      <c r="BH122" s="18" t="s">
        <v>1031</v>
      </c>
    </row>
    <row r="123" spans="1:60" ht="15.75" customHeight="1" x14ac:dyDescent="0.2">
      <c r="A123" s="11">
        <v>122</v>
      </c>
      <c r="B123" s="12">
        <v>2452</v>
      </c>
      <c r="C123" s="13" t="s">
        <v>265</v>
      </c>
      <c r="D123" s="13" t="s">
        <v>38</v>
      </c>
      <c r="E123" s="23">
        <v>2006</v>
      </c>
      <c r="F123" s="23">
        <v>2018</v>
      </c>
      <c r="G123" s="13" t="s">
        <v>115</v>
      </c>
      <c r="H123" s="13"/>
      <c r="I123" s="13" t="s">
        <v>94</v>
      </c>
      <c r="J123" s="13" t="s">
        <v>95</v>
      </c>
      <c r="K123" s="14" t="s">
        <v>266</v>
      </c>
      <c r="L123" s="15">
        <v>50</v>
      </c>
      <c r="M123" s="16">
        <v>68</v>
      </c>
      <c r="N123" s="13" t="s">
        <v>42</v>
      </c>
      <c r="O123" s="14" t="s">
        <v>41</v>
      </c>
      <c r="P123" s="12">
        <f>IF(Q123="", 0, 1)</f>
        <v>1</v>
      </c>
      <c r="Q123" s="19">
        <v>226</v>
      </c>
      <c r="R123" s="17"/>
      <c r="S123" s="17"/>
      <c r="T123" s="17">
        <v>22</v>
      </c>
      <c r="U123" s="17"/>
      <c r="V123" s="17"/>
      <c r="W123" s="17"/>
      <c r="X123" s="17">
        <v>0</v>
      </c>
      <c r="Y123" s="17">
        <v>183</v>
      </c>
      <c r="Z123" s="17" t="str">
        <f>IF(T123="", "mean", "med")</f>
        <v>med</v>
      </c>
      <c r="AA123" s="17">
        <f>IF(T123="", R123, T123)</f>
        <v>22</v>
      </c>
      <c r="AB123" s="12">
        <f>IF(AC123="", 0, 1)</f>
        <v>0</v>
      </c>
      <c r="AC123" s="13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>
        <f>IF(AO123="", 0, 1)</f>
        <v>0</v>
      </c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 t="s">
        <v>52</v>
      </c>
      <c r="BA123" s="12" t="str">
        <f>IF(AZ123="high","high","lower")</f>
        <v>high</v>
      </c>
      <c r="BB123" s="49">
        <v>0.88500000000000001</v>
      </c>
      <c r="BC123" s="12">
        <v>87.5</v>
      </c>
      <c r="BD123" s="12">
        <v>93.8</v>
      </c>
      <c r="BE123" s="12">
        <v>100</v>
      </c>
      <c r="BF123" s="12">
        <v>86.9</v>
      </c>
      <c r="BG123" s="18" t="s">
        <v>1032</v>
      </c>
      <c r="BH123" s="18" t="s">
        <v>1033</v>
      </c>
    </row>
    <row r="124" spans="1:60" ht="15.75" customHeight="1" x14ac:dyDescent="0.2">
      <c r="A124" s="11">
        <v>123</v>
      </c>
      <c r="B124" s="12">
        <v>2455</v>
      </c>
      <c r="C124" s="13" t="s">
        <v>267</v>
      </c>
      <c r="D124" s="13" t="s">
        <v>38</v>
      </c>
      <c r="E124" s="23">
        <v>2017</v>
      </c>
      <c r="F124" s="23">
        <v>2018</v>
      </c>
      <c r="G124" s="13" t="s">
        <v>268</v>
      </c>
      <c r="H124" s="13"/>
      <c r="I124" s="13" t="s">
        <v>40</v>
      </c>
      <c r="J124" s="13" t="s">
        <v>40</v>
      </c>
      <c r="K124" s="13"/>
      <c r="L124" s="15">
        <v>100</v>
      </c>
      <c r="M124" s="16">
        <v>44.4</v>
      </c>
      <c r="N124" s="13" t="s">
        <v>42</v>
      </c>
      <c r="O124" s="13"/>
      <c r="P124" s="12">
        <f>IF(Q124="", 0, 1)</f>
        <v>0</v>
      </c>
      <c r="Q124" s="15"/>
      <c r="R124" s="21"/>
      <c r="S124" s="17"/>
      <c r="T124" s="17"/>
      <c r="U124" s="17"/>
      <c r="V124" s="17"/>
      <c r="W124" s="17"/>
      <c r="X124" s="17"/>
      <c r="Y124" s="17"/>
      <c r="Z124" s="17"/>
      <c r="AA124" s="17"/>
      <c r="AB124" s="12">
        <f>IF(AC124="", 0, 1)</f>
        <v>1</v>
      </c>
      <c r="AC124" s="13">
        <v>441</v>
      </c>
      <c r="AD124" s="12"/>
      <c r="AE124" s="12"/>
      <c r="AF124" s="12">
        <v>69</v>
      </c>
      <c r="AG124" s="12">
        <v>22</v>
      </c>
      <c r="AH124" s="12">
        <v>213</v>
      </c>
      <c r="AI124" s="12"/>
      <c r="AJ124" s="12"/>
      <c r="AK124" s="12"/>
      <c r="AL124" s="12" t="str">
        <f>IF(AF124="", "mean", "med")</f>
        <v>med</v>
      </c>
      <c r="AM124" s="12">
        <f>IF(AF124="", AD124, AF124)</f>
        <v>69</v>
      </c>
      <c r="AN124" s="12">
        <f>IF(AO124="", 0, 1)</f>
        <v>1</v>
      </c>
      <c r="AO124" s="12">
        <v>441</v>
      </c>
      <c r="AP124" s="12"/>
      <c r="AQ124" s="12"/>
      <c r="AR124" s="12">
        <v>30</v>
      </c>
      <c r="AS124" s="12">
        <v>6</v>
      </c>
      <c r="AT124" s="12">
        <v>132</v>
      </c>
      <c r="AU124" s="12"/>
      <c r="AV124" s="12"/>
      <c r="AW124" s="12"/>
      <c r="AX124" s="12" t="str">
        <f>IF(AR124="", "mean", "med")</f>
        <v>med</v>
      </c>
      <c r="AY124" s="12">
        <f>IF(AR124="", AP124, AR124)</f>
        <v>30</v>
      </c>
      <c r="AZ124" s="49" t="s">
        <v>146</v>
      </c>
      <c r="BA124" s="49" t="str">
        <f>IF(AZ124="high","high","lower")</f>
        <v>lower</v>
      </c>
      <c r="BB124" s="49">
        <v>0.47599999999999998</v>
      </c>
      <c r="BC124" s="49"/>
      <c r="BD124" s="49"/>
      <c r="BE124" s="49"/>
      <c r="BF124" s="49"/>
      <c r="BG124" s="18" t="s">
        <v>1030</v>
      </c>
      <c r="BH124" s="18" t="s">
        <v>1031</v>
      </c>
    </row>
    <row r="125" spans="1:60" ht="15.75" customHeight="1" x14ac:dyDescent="0.2">
      <c r="A125" s="11">
        <v>124</v>
      </c>
      <c r="B125" s="12">
        <v>2459</v>
      </c>
      <c r="C125" s="13" t="s">
        <v>269</v>
      </c>
      <c r="D125" s="13" t="s">
        <v>270</v>
      </c>
      <c r="E125" s="23">
        <v>2005</v>
      </c>
      <c r="F125" s="23">
        <v>2010</v>
      </c>
      <c r="G125" s="13" t="s">
        <v>49</v>
      </c>
      <c r="H125" s="13"/>
      <c r="I125" s="13" t="s">
        <v>40</v>
      </c>
      <c r="J125" s="13" t="s">
        <v>40</v>
      </c>
      <c r="K125" s="13"/>
      <c r="L125" s="15">
        <v>100</v>
      </c>
      <c r="M125" s="16" t="s">
        <v>41</v>
      </c>
      <c r="N125" s="13" t="s">
        <v>42</v>
      </c>
      <c r="O125" s="13" t="s">
        <v>271</v>
      </c>
      <c r="P125" s="12">
        <f>IF(Q125="", 0, 1)</f>
        <v>1</v>
      </c>
      <c r="Q125" s="15">
        <v>271</v>
      </c>
      <c r="R125" s="21"/>
      <c r="S125" s="17"/>
      <c r="T125" s="17">
        <v>32</v>
      </c>
      <c r="U125" s="17"/>
      <c r="V125" s="17"/>
      <c r="W125" s="17"/>
      <c r="X125" s="17"/>
      <c r="Y125" s="17"/>
      <c r="Z125" s="17" t="str">
        <f>IF(T125="", "mean", "med")</f>
        <v>med</v>
      </c>
      <c r="AA125" s="17">
        <f>IF(T125="", R125, T125)</f>
        <v>32</v>
      </c>
      <c r="AB125" s="12">
        <f>IF(AC125="", 0, 1)</f>
        <v>0</v>
      </c>
      <c r="AC125" s="13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>
        <f>IF(AO125="", 0, 1)</f>
        <v>0</v>
      </c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 t="s">
        <v>52</v>
      </c>
      <c r="BA125" s="12" t="str">
        <f>IF(AZ125="high","high","lower")</f>
        <v>high</v>
      </c>
      <c r="BB125" s="49">
        <v>0.90800000000000003</v>
      </c>
      <c r="BC125" s="12">
        <v>84</v>
      </c>
      <c r="BD125" s="12">
        <v>88</v>
      </c>
      <c r="BE125" s="12">
        <v>100</v>
      </c>
      <c r="BF125" s="12">
        <v>84.2</v>
      </c>
      <c r="BG125" s="18" t="s">
        <v>1030</v>
      </c>
      <c r="BH125" s="18" t="s">
        <v>1031</v>
      </c>
    </row>
    <row r="126" spans="1:60" ht="15.75" customHeight="1" x14ac:dyDescent="0.2">
      <c r="A126" s="11">
        <v>125</v>
      </c>
      <c r="B126" s="12">
        <v>2459</v>
      </c>
      <c r="C126" s="13" t="s">
        <v>269</v>
      </c>
      <c r="D126" s="13" t="s">
        <v>272</v>
      </c>
      <c r="E126" s="23">
        <v>2005</v>
      </c>
      <c r="F126" s="23">
        <v>2010</v>
      </c>
      <c r="G126" s="13" t="s">
        <v>49</v>
      </c>
      <c r="H126" s="13"/>
      <c r="I126" s="13" t="s">
        <v>40</v>
      </c>
      <c r="J126" s="13" t="s">
        <v>40</v>
      </c>
      <c r="K126" s="13"/>
      <c r="L126" s="15">
        <v>100</v>
      </c>
      <c r="M126" s="16" t="s">
        <v>41</v>
      </c>
      <c r="N126" s="13" t="s">
        <v>42</v>
      </c>
      <c r="O126" s="13" t="s">
        <v>271</v>
      </c>
      <c r="P126" s="12">
        <f>IF(Q126="", 0, 1)</f>
        <v>1</v>
      </c>
      <c r="Q126" s="15">
        <v>304</v>
      </c>
      <c r="R126" s="21"/>
      <c r="S126" s="17"/>
      <c r="T126" s="17">
        <v>29</v>
      </c>
      <c r="U126" s="17"/>
      <c r="V126" s="17"/>
      <c r="W126" s="17"/>
      <c r="X126" s="17"/>
      <c r="Y126" s="17"/>
      <c r="Z126" s="17" t="str">
        <f>IF(T126="", "mean", "med")</f>
        <v>med</v>
      </c>
      <c r="AA126" s="17">
        <f>IF(T126="", R126, T126)</f>
        <v>29</v>
      </c>
      <c r="AB126" s="12">
        <f>IF(AC126="", 0, 1)</f>
        <v>0</v>
      </c>
      <c r="AC126" s="13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>
        <f>IF(AO126="", 0, 1)</f>
        <v>0</v>
      </c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 t="s">
        <v>52</v>
      </c>
      <c r="BA126" s="12" t="str">
        <f>IF(AZ126="high","high","lower")</f>
        <v>high</v>
      </c>
      <c r="BB126" s="49">
        <v>0.90800000000000003</v>
      </c>
      <c r="BC126" s="12">
        <v>84</v>
      </c>
      <c r="BD126" s="12">
        <v>88</v>
      </c>
      <c r="BE126" s="12">
        <v>100</v>
      </c>
      <c r="BF126" s="12">
        <v>84.2</v>
      </c>
      <c r="BG126" s="18" t="s">
        <v>1030</v>
      </c>
      <c r="BH126" s="18" t="s">
        <v>1031</v>
      </c>
    </row>
    <row r="127" spans="1:60" ht="15.75" customHeight="1" x14ac:dyDescent="0.2">
      <c r="A127" s="11">
        <v>126</v>
      </c>
      <c r="B127" s="22">
        <v>2473</v>
      </c>
      <c r="C127" s="13" t="s">
        <v>273</v>
      </c>
      <c r="D127" s="13" t="s">
        <v>38</v>
      </c>
      <c r="E127" s="23">
        <v>2013</v>
      </c>
      <c r="F127" s="23">
        <v>2013</v>
      </c>
      <c r="G127" s="13" t="s">
        <v>49</v>
      </c>
      <c r="H127" s="13"/>
      <c r="I127" s="13" t="s">
        <v>79</v>
      </c>
      <c r="J127" s="13" t="s">
        <v>238</v>
      </c>
      <c r="K127" s="14"/>
      <c r="L127" s="15">
        <f>100-84.9</f>
        <v>15.099999999999994</v>
      </c>
      <c r="M127" s="16">
        <v>61.7</v>
      </c>
      <c r="N127" s="13" t="s">
        <v>99</v>
      </c>
      <c r="O127" s="14"/>
      <c r="P127" s="12">
        <f>IF(Q127="", 0, 1)</f>
        <v>0</v>
      </c>
      <c r="Q127" s="15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2">
        <f>IF(AC127="", 0, 1)</f>
        <v>0</v>
      </c>
      <c r="AC127" s="13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>
        <f>IF(AO127="", 0, 1)</f>
        <v>1</v>
      </c>
      <c r="AO127" s="12">
        <v>152</v>
      </c>
      <c r="AP127" s="12"/>
      <c r="AQ127" s="12"/>
      <c r="AR127" s="12">
        <f>7*3</f>
        <v>21</v>
      </c>
      <c r="AS127" s="12">
        <f>7</f>
        <v>7</v>
      </c>
      <c r="AT127" s="12">
        <f>8*7</f>
        <v>56</v>
      </c>
      <c r="AU127" s="12"/>
      <c r="AV127" s="12"/>
      <c r="AW127" s="12"/>
      <c r="AX127" s="12" t="str">
        <f>IF(AR127="", "mean", "med")</f>
        <v>med</v>
      </c>
      <c r="AY127" s="12">
        <f>IF(AR127="", AP127, AR127)</f>
        <v>21</v>
      </c>
      <c r="AZ127" s="12" t="s">
        <v>52</v>
      </c>
      <c r="BA127" s="12" t="str">
        <f>IF(AZ127="high","high","lower")</f>
        <v>high</v>
      </c>
      <c r="BB127" s="49">
        <v>0.91800000000000004</v>
      </c>
      <c r="BC127" s="12">
        <v>84</v>
      </c>
      <c r="BD127" s="12">
        <v>88</v>
      </c>
      <c r="BE127" s="12">
        <v>100</v>
      </c>
      <c r="BF127" s="12">
        <v>84.2</v>
      </c>
      <c r="BG127" s="18" t="s">
        <v>1030</v>
      </c>
      <c r="BH127" s="18" t="s">
        <v>1031</v>
      </c>
    </row>
    <row r="128" spans="1:60" ht="15.75" customHeight="1" x14ac:dyDescent="0.2">
      <c r="A128" s="11">
        <v>127</v>
      </c>
      <c r="B128" s="22">
        <v>2486</v>
      </c>
      <c r="C128" s="13" t="s">
        <v>274</v>
      </c>
      <c r="D128" s="44" t="s">
        <v>38</v>
      </c>
      <c r="E128" s="23">
        <v>2010</v>
      </c>
      <c r="F128" s="23">
        <v>2014</v>
      </c>
      <c r="G128" s="14" t="s">
        <v>49</v>
      </c>
      <c r="H128" s="14"/>
      <c r="I128" s="13" t="s">
        <v>79</v>
      </c>
      <c r="J128" s="13" t="s">
        <v>238</v>
      </c>
      <c r="K128" s="13"/>
      <c r="L128" s="15">
        <f>100-82.7</f>
        <v>17.299999999999997</v>
      </c>
      <c r="M128" s="16">
        <v>57</v>
      </c>
      <c r="N128" s="13" t="s">
        <v>99</v>
      </c>
      <c r="O128" s="33" t="s">
        <v>90</v>
      </c>
      <c r="P128" s="12">
        <f>IF(Q128="", 0, 1)</f>
        <v>1</v>
      </c>
      <c r="Q128" s="15">
        <v>3550</v>
      </c>
      <c r="R128" s="17"/>
      <c r="S128" s="17"/>
      <c r="T128" s="17">
        <v>26</v>
      </c>
      <c r="U128" s="17">
        <v>14</v>
      </c>
      <c r="V128" s="17">
        <v>39</v>
      </c>
      <c r="W128" s="17"/>
      <c r="X128" s="17"/>
      <c r="Y128" s="17"/>
      <c r="Z128" s="17" t="str">
        <f>IF(T128="", "mean", "med")</f>
        <v>med</v>
      </c>
      <c r="AA128" s="17">
        <f>IF(T128="", R128, T128)</f>
        <v>26</v>
      </c>
      <c r="AB128" s="12">
        <f>IF(AC128="", 0, 1)</f>
        <v>0</v>
      </c>
      <c r="AC128" s="13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>
        <f>IF(AO128="", 0, 1)</f>
        <v>0</v>
      </c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 t="s">
        <v>52</v>
      </c>
      <c r="BA128" s="12" t="str">
        <f>IF(AZ128="high","high","lower")</f>
        <v>high</v>
      </c>
      <c r="BB128" s="49">
        <v>0.91900000000000004</v>
      </c>
      <c r="BC128" s="12">
        <v>84</v>
      </c>
      <c r="BD128" s="12">
        <v>88</v>
      </c>
      <c r="BE128" s="12">
        <v>100</v>
      </c>
      <c r="BF128" s="12">
        <v>84.2</v>
      </c>
      <c r="BG128" s="18" t="s">
        <v>1030</v>
      </c>
      <c r="BH128" s="18" t="s">
        <v>1031</v>
      </c>
    </row>
    <row r="129" spans="1:60" ht="15.75" customHeight="1" x14ac:dyDescent="0.2">
      <c r="A129" s="11">
        <v>128</v>
      </c>
      <c r="B129" s="12">
        <v>2508</v>
      </c>
      <c r="C129" s="13" t="s">
        <v>275</v>
      </c>
      <c r="D129" s="13" t="s">
        <v>38</v>
      </c>
      <c r="E129" s="23">
        <v>2004</v>
      </c>
      <c r="F129" s="23">
        <v>2013</v>
      </c>
      <c r="G129" s="13" t="s">
        <v>49</v>
      </c>
      <c r="H129" s="13"/>
      <c r="I129" s="13" t="s">
        <v>54</v>
      </c>
      <c r="J129" s="13" t="s">
        <v>89</v>
      </c>
      <c r="K129" s="14"/>
      <c r="L129" s="15">
        <v>52</v>
      </c>
      <c r="M129" s="16">
        <v>69</v>
      </c>
      <c r="N129" s="13" t="s">
        <v>99</v>
      </c>
      <c r="O129" s="13" t="s">
        <v>276</v>
      </c>
      <c r="P129" s="12">
        <f>IF(Q129="", 0, 1)</f>
        <v>1</v>
      </c>
      <c r="Q129" s="15">
        <v>118504</v>
      </c>
      <c r="R129" s="17"/>
      <c r="S129" s="17"/>
      <c r="T129" s="17">
        <v>24</v>
      </c>
      <c r="U129" s="17">
        <v>16</v>
      </c>
      <c r="V129" s="17">
        <v>36</v>
      </c>
      <c r="W129" s="17"/>
      <c r="X129" s="17"/>
      <c r="Y129" s="17"/>
      <c r="Z129" s="17" t="str">
        <f>IF(T129="", "mean", "med")</f>
        <v>med</v>
      </c>
      <c r="AA129" s="17">
        <f>IF(T129="", R129, T129)</f>
        <v>24</v>
      </c>
      <c r="AB129" s="12">
        <f>IF(AC129="", 0, 1)</f>
        <v>0</v>
      </c>
      <c r="AC129" s="13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>
        <f>IF(AO129="", 0, 1)</f>
        <v>0</v>
      </c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 t="s">
        <v>52</v>
      </c>
      <c r="BA129" s="12" t="str">
        <f>IF(AZ129="high","high","lower")</f>
        <v>high</v>
      </c>
      <c r="BB129" s="49">
        <v>0.91</v>
      </c>
      <c r="BC129" s="12">
        <v>84</v>
      </c>
      <c r="BD129" s="12">
        <v>88</v>
      </c>
      <c r="BE129" s="12">
        <v>100</v>
      </c>
      <c r="BF129" s="12">
        <v>84.2</v>
      </c>
      <c r="BG129" s="18" t="s">
        <v>1030</v>
      </c>
      <c r="BH129" s="18" t="s">
        <v>1031</v>
      </c>
    </row>
    <row r="130" spans="1:60" ht="15.75" customHeight="1" x14ac:dyDescent="0.2">
      <c r="A130" s="11">
        <v>129</v>
      </c>
      <c r="B130" s="12">
        <v>2519</v>
      </c>
      <c r="C130" s="13" t="s">
        <v>277</v>
      </c>
      <c r="D130" s="13" t="s">
        <v>38</v>
      </c>
      <c r="E130" s="23">
        <v>1991</v>
      </c>
      <c r="F130" s="23">
        <v>2007</v>
      </c>
      <c r="G130" s="13" t="s">
        <v>131</v>
      </c>
      <c r="H130" s="13"/>
      <c r="I130" s="44" t="s">
        <v>54</v>
      </c>
      <c r="J130" s="13" t="s">
        <v>229</v>
      </c>
      <c r="K130" s="13" t="s">
        <v>224</v>
      </c>
      <c r="L130" s="15">
        <v>18.737270875</v>
      </c>
      <c r="M130" s="16">
        <v>65</v>
      </c>
      <c r="N130" s="13" t="s">
        <v>42</v>
      </c>
      <c r="O130" s="44"/>
      <c r="P130" s="12">
        <f>IF(Q130="", 0, 1)</f>
        <v>0</v>
      </c>
      <c r="Q130" s="15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2">
        <f>IF(AC130="", 0, 1)</f>
        <v>1</v>
      </c>
      <c r="AC130" s="13">
        <v>491</v>
      </c>
      <c r="AD130" s="12"/>
      <c r="AE130" s="12"/>
      <c r="AF130" s="12">
        <v>49</v>
      </c>
      <c r="AG130" s="12"/>
      <c r="AH130" s="12"/>
      <c r="AI130" s="12"/>
      <c r="AJ130" s="12">
        <v>5</v>
      </c>
      <c r="AK130" s="12">
        <v>175</v>
      </c>
      <c r="AL130" s="12" t="str">
        <f>IF(AF130="", "mean", "med")</f>
        <v>med</v>
      </c>
      <c r="AM130" s="12">
        <f>IF(AF130="", AD130, AF130)</f>
        <v>49</v>
      </c>
      <c r="AN130" s="12">
        <f>IF(AO130="", 0, 1)</f>
        <v>0</v>
      </c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 t="s">
        <v>52</v>
      </c>
      <c r="BA130" s="12" t="str">
        <f>IF(AZ130="high","high","lower")</f>
        <v>high</v>
      </c>
      <c r="BB130" s="49">
        <v>0.877</v>
      </c>
      <c r="BC130" s="12">
        <v>89.9</v>
      </c>
      <c r="BD130" s="12">
        <v>94</v>
      </c>
      <c r="BE130" s="12">
        <v>100</v>
      </c>
      <c r="BF130" s="12">
        <v>92.1</v>
      </c>
      <c r="BG130" s="18" t="s">
        <v>1030</v>
      </c>
      <c r="BH130" s="18" t="s">
        <v>1031</v>
      </c>
    </row>
    <row r="131" spans="1:60" ht="15.75" customHeight="1" x14ac:dyDescent="0.2">
      <c r="A131" s="11">
        <v>130</v>
      </c>
      <c r="B131" s="12">
        <v>2529</v>
      </c>
      <c r="C131" s="13" t="s">
        <v>278</v>
      </c>
      <c r="D131" s="13" t="s">
        <v>279</v>
      </c>
      <c r="E131" s="23">
        <v>2008</v>
      </c>
      <c r="F131" s="23">
        <v>2010</v>
      </c>
      <c r="G131" s="13" t="s">
        <v>115</v>
      </c>
      <c r="H131" s="13"/>
      <c r="I131" s="13" t="s">
        <v>79</v>
      </c>
      <c r="J131" s="13" t="s">
        <v>79</v>
      </c>
      <c r="K131" s="13"/>
      <c r="L131" s="19">
        <f>100-83.4</f>
        <v>16.599999999999994</v>
      </c>
      <c r="M131" s="20">
        <v>58</v>
      </c>
      <c r="N131" s="13" t="s">
        <v>42</v>
      </c>
      <c r="O131" s="13" t="s">
        <v>41</v>
      </c>
      <c r="P131" s="12">
        <f>IF(Q131="", 0, 1)</f>
        <v>1</v>
      </c>
      <c r="Q131" s="12">
        <v>1519</v>
      </c>
      <c r="R131" s="17"/>
      <c r="S131" s="17"/>
      <c r="T131" s="17">
        <v>35</v>
      </c>
      <c r="U131" s="17">
        <v>21</v>
      </c>
      <c r="V131" s="17">
        <v>54</v>
      </c>
      <c r="W131" s="17"/>
      <c r="X131" s="17"/>
      <c r="Y131" s="17"/>
      <c r="Z131" s="17" t="str">
        <f>IF(T131="", "mean", "med")</f>
        <v>med</v>
      </c>
      <c r="AA131" s="17">
        <f>IF(T131="", R131, T131)</f>
        <v>35</v>
      </c>
      <c r="AB131" s="12">
        <f>IF(AC131="", 0, 1)</f>
        <v>0</v>
      </c>
      <c r="AC131" s="13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>
        <f>IF(AO131="", 0, 1)</f>
        <v>0</v>
      </c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 t="s">
        <v>52</v>
      </c>
      <c r="BA131" s="12" t="str">
        <f>IF(AZ131="high","high","lower")</f>
        <v>high</v>
      </c>
      <c r="BB131" s="49">
        <v>0.877</v>
      </c>
      <c r="BC131" s="12">
        <v>87.5</v>
      </c>
      <c r="BD131" s="12">
        <v>93.8</v>
      </c>
      <c r="BE131" s="12">
        <v>100</v>
      </c>
      <c r="BF131" s="12">
        <v>86.9</v>
      </c>
      <c r="BG131" s="18" t="s">
        <v>1030</v>
      </c>
      <c r="BH131" s="18" t="s">
        <v>1031</v>
      </c>
    </row>
    <row r="132" spans="1:60" ht="15.75" customHeight="1" x14ac:dyDescent="0.2">
      <c r="A132" s="11">
        <v>131</v>
      </c>
      <c r="B132" s="12">
        <v>2531</v>
      </c>
      <c r="C132" s="13" t="s">
        <v>280</v>
      </c>
      <c r="D132" s="13" t="s">
        <v>38</v>
      </c>
      <c r="E132" s="23">
        <v>2010</v>
      </c>
      <c r="F132" s="23">
        <v>2010</v>
      </c>
      <c r="G132" s="13" t="s">
        <v>205</v>
      </c>
      <c r="H132" s="13"/>
      <c r="I132" s="13" t="s">
        <v>57</v>
      </c>
      <c r="J132" s="13" t="s">
        <v>58</v>
      </c>
      <c r="K132" s="13"/>
      <c r="L132" s="15">
        <f>194/(194+248)*100</f>
        <v>43.891402714932127</v>
      </c>
      <c r="M132" s="16" t="s">
        <v>41</v>
      </c>
      <c r="N132" s="13" t="s">
        <v>99</v>
      </c>
      <c r="O132" s="14"/>
      <c r="P132" s="12">
        <f>IF(Q132="", 0, 1)</f>
        <v>0</v>
      </c>
      <c r="Q132" s="19"/>
      <c r="R132" s="21"/>
      <c r="S132" s="17"/>
      <c r="T132" s="17"/>
      <c r="U132" s="17"/>
      <c r="V132" s="17"/>
      <c r="W132" s="17"/>
      <c r="X132" s="17"/>
      <c r="Y132" s="17"/>
      <c r="Z132" s="17"/>
      <c r="AA132" s="17"/>
      <c r="AB132" s="12">
        <f>IF(AC132="", 0, 1)</f>
        <v>1</v>
      </c>
      <c r="AC132" s="13">
        <v>442</v>
      </c>
      <c r="AD132" s="12"/>
      <c r="AE132" s="12"/>
      <c r="AF132" s="12">
        <v>29</v>
      </c>
      <c r="AG132" s="12">
        <v>12</v>
      </c>
      <c r="AH132" s="12">
        <v>69</v>
      </c>
      <c r="AI132" s="12"/>
      <c r="AJ132" s="12"/>
      <c r="AK132" s="12"/>
      <c r="AL132" s="12" t="str">
        <f>IF(AF132="", "mean", "med")</f>
        <v>med</v>
      </c>
      <c r="AM132" s="12">
        <f>IF(AF132="", AD132, AF132)</f>
        <v>29</v>
      </c>
      <c r="AN132" s="12">
        <f>IF(AO132="", 0, 1)</f>
        <v>0</v>
      </c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49" t="s">
        <v>52</v>
      </c>
      <c r="BA132" s="49" t="str">
        <f>IF(AZ132="high","high","lower")</f>
        <v>high</v>
      </c>
      <c r="BB132" s="49">
        <v>0.91700000000000004</v>
      </c>
      <c r="BC132" s="49"/>
      <c r="BD132" s="49"/>
      <c r="BE132" s="49"/>
      <c r="BF132" s="49"/>
      <c r="BG132" s="18" t="s">
        <v>1030</v>
      </c>
      <c r="BH132" s="18" t="s">
        <v>1031</v>
      </c>
    </row>
    <row r="133" spans="1:60" ht="15.75" customHeight="1" x14ac:dyDescent="0.2">
      <c r="A133" s="11">
        <v>132</v>
      </c>
      <c r="B133" s="12">
        <v>2533</v>
      </c>
      <c r="C133" s="13" t="s">
        <v>281</v>
      </c>
      <c r="D133" s="13" t="s">
        <v>38</v>
      </c>
      <c r="E133" s="13">
        <v>2009</v>
      </c>
      <c r="F133" s="23">
        <v>2009</v>
      </c>
      <c r="G133" s="13" t="s">
        <v>49</v>
      </c>
      <c r="H133" s="13"/>
      <c r="I133" s="13" t="s">
        <v>40</v>
      </c>
      <c r="J133" s="13" t="s">
        <v>40</v>
      </c>
      <c r="K133" s="13"/>
      <c r="L133" s="15">
        <v>100</v>
      </c>
      <c r="M133" s="16">
        <v>54</v>
      </c>
      <c r="N133" s="13" t="s">
        <v>50</v>
      </c>
      <c r="O133" s="13"/>
      <c r="P133" s="12">
        <f>IF(Q133="", 0, 1)</f>
        <v>0</v>
      </c>
      <c r="Q133" s="15"/>
      <c r="R133" s="21"/>
      <c r="S133" s="21"/>
      <c r="T133" s="17"/>
      <c r="U133" s="17"/>
      <c r="V133" s="17"/>
      <c r="W133" s="17"/>
      <c r="X133" s="17"/>
      <c r="Y133" s="17"/>
      <c r="Z133" s="17"/>
      <c r="AA133" s="17"/>
      <c r="AB133" s="12">
        <f>IF(AC133="", 0, 1)</f>
        <v>0</v>
      </c>
      <c r="AC133" s="13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>
        <f>IF(AO133="", 0, 1)</f>
        <v>1</v>
      </c>
      <c r="AO133" s="12">
        <v>129</v>
      </c>
      <c r="AP133" s="12"/>
      <c r="AQ133" s="12">
        <f>4.5*30</f>
        <v>135</v>
      </c>
      <c r="AR133" s="12">
        <f>4*30</f>
        <v>120</v>
      </c>
      <c r="AS133" s="12"/>
      <c r="AT133" s="12"/>
      <c r="AU133" s="12"/>
      <c r="AV133" s="12">
        <v>15</v>
      </c>
      <c r="AW133" s="12">
        <f>18*30</f>
        <v>540</v>
      </c>
      <c r="AX133" s="12" t="str">
        <f>IF(AR133="", "mean", "med")</f>
        <v>med</v>
      </c>
      <c r="AY133" s="12">
        <f>IF(AR133="", AP133, AR133)</f>
        <v>120</v>
      </c>
      <c r="AZ133" s="12" t="s">
        <v>52</v>
      </c>
      <c r="BA133" s="12" t="str">
        <f>IF(AZ133="high","high","lower")</f>
        <v>high</v>
      </c>
      <c r="BB133" s="47"/>
      <c r="BC133" s="12">
        <v>84</v>
      </c>
      <c r="BD133" s="12">
        <v>88</v>
      </c>
      <c r="BE133" s="12">
        <v>100</v>
      </c>
      <c r="BF133" s="12">
        <v>84.2</v>
      </c>
      <c r="BG133" s="18" t="s">
        <v>1030</v>
      </c>
      <c r="BH133" s="18" t="s">
        <v>1031</v>
      </c>
    </row>
    <row r="134" spans="1:60" ht="15.75" customHeight="1" x14ac:dyDescent="0.2">
      <c r="A134" s="11">
        <v>133</v>
      </c>
      <c r="B134" s="12">
        <v>2545</v>
      </c>
      <c r="C134" s="13" t="s">
        <v>282</v>
      </c>
      <c r="D134" s="14" t="s">
        <v>38</v>
      </c>
      <c r="E134" s="23">
        <v>2012</v>
      </c>
      <c r="F134" s="23">
        <v>2012</v>
      </c>
      <c r="G134" s="13" t="s">
        <v>283</v>
      </c>
      <c r="H134" s="13"/>
      <c r="I134" s="31" t="s">
        <v>104</v>
      </c>
      <c r="J134" s="13" t="s">
        <v>105</v>
      </c>
      <c r="K134" s="14"/>
      <c r="L134" s="19">
        <v>100</v>
      </c>
      <c r="M134" s="20">
        <v>51.5</v>
      </c>
      <c r="N134" s="13" t="s">
        <v>50</v>
      </c>
      <c r="O134" s="14"/>
      <c r="P134" s="12">
        <f>IF(Q134="", 0, 1)</f>
        <v>0</v>
      </c>
      <c r="Q134" s="15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2">
        <f>IF(AC134="", 0, 1)</f>
        <v>0</v>
      </c>
      <c r="AC134" s="13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>
        <f>IF(AO134="", 0, 1)</f>
        <v>1</v>
      </c>
      <c r="AO134" s="22">
        <v>110</v>
      </c>
      <c r="AP134" s="12"/>
      <c r="AQ134" s="12"/>
      <c r="AR134" s="22">
        <v>68.5</v>
      </c>
      <c r="AS134" s="12"/>
      <c r="AT134" s="12"/>
      <c r="AU134" s="12"/>
      <c r="AV134" s="12">
        <v>8</v>
      </c>
      <c r="AW134" s="12">
        <v>404</v>
      </c>
      <c r="AX134" s="12" t="str">
        <f>IF(AR134="", "mean", "med")</f>
        <v>med</v>
      </c>
      <c r="AY134" s="12">
        <f>IF(AR134="", AP134, AR134)</f>
        <v>68.5</v>
      </c>
      <c r="AZ134" s="49" t="s">
        <v>146</v>
      </c>
      <c r="BA134" s="49" t="str">
        <f>IF(AZ134="high","high","lower")</f>
        <v>lower</v>
      </c>
      <c r="BB134" s="49">
        <v>0.55900000000000005</v>
      </c>
      <c r="BC134" s="49"/>
      <c r="BD134" s="49"/>
      <c r="BE134" s="49"/>
      <c r="BF134" s="49"/>
      <c r="BG134" s="18" t="s">
        <v>1030</v>
      </c>
      <c r="BH134" s="18" t="s">
        <v>1031</v>
      </c>
    </row>
    <row r="135" spans="1:60" ht="15.75" customHeight="1" x14ac:dyDescent="0.2">
      <c r="A135" s="11">
        <v>134</v>
      </c>
      <c r="B135" s="12">
        <v>2568</v>
      </c>
      <c r="C135" s="13" t="s">
        <v>284</v>
      </c>
      <c r="D135" s="14" t="s">
        <v>82</v>
      </c>
      <c r="E135" s="23">
        <v>2004</v>
      </c>
      <c r="F135" s="23">
        <v>2005</v>
      </c>
      <c r="G135" s="13" t="s">
        <v>205</v>
      </c>
      <c r="H135" s="13"/>
      <c r="I135" s="14" t="s">
        <v>59</v>
      </c>
      <c r="J135" s="14" t="s">
        <v>82</v>
      </c>
      <c r="K135" s="14"/>
      <c r="L135" s="19" t="s">
        <v>41</v>
      </c>
      <c r="M135" s="20" t="s">
        <v>41</v>
      </c>
      <c r="N135" s="13" t="s">
        <v>50</v>
      </c>
      <c r="O135" s="14" t="s">
        <v>41</v>
      </c>
      <c r="P135" s="12">
        <f>IF(Q135="", 0, 1)</f>
        <v>1</v>
      </c>
      <c r="Q135" s="15">
        <v>43</v>
      </c>
      <c r="R135" s="17"/>
      <c r="S135" s="17"/>
      <c r="T135" s="17">
        <v>0</v>
      </c>
      <c r="U135" s="17">
        <v>0</v>
      </c>
      <c r="V135" s="17">
        <v>20</v>
      </c>
      <c r="W135" s="17"/>
      <c r="X135" s="17"/>
      <c r="Y135" s="17"/>
      <c r="Z135" s="17" t="str">
        <f>IF(T135="", "mean", "med")</f>
        <v>med</v>
      </c>
      <c r="AA135" s="17">
        <f>IF(T135="", R135, T135)</f>
        <v>0</v>
      </c>
      <c r="AB135" s="12">
        <f>IF(AC135="", 0, 1)</f>
        <v>0</v>
      </c>
      <c r="AC135" s="13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>
        <f>IF(AO135="", 0, 1)</f>
        <v>1</v>
      </c>
      <c r="AO135" s="22">
        <v>52</v>
      </c>
      <c r="AP135" s="12"/>
      <c r="AQ135" s="12"/>
      <c r="AR135" s="22">
        <v>14</v>
      </c>
      <c r="AS135" s="12">
        <v>0</v>
      </c>
      <c r="AT135" s="12">
        <v>28</v>
      </c>
      <c r="AU135" s="12"/>
      <c r="AV135" s="12"/>
      <c r="AW135" s="12"/>
      <c r="AX135" s="12" t="str">
        <f>IF(AR135="", "mean", "med")</f>
        <v>med</v>
      </c>
      <c r="AY135" s="12">
        <f>IF(AR135="", AP135, AR135)</f>
        <v>14</v>
      </c>
      <c r="AZ135" s="49" t="s">
        <v>52</v>
      </c>
      <c r="BA135" s="49" t="str">
        <f>IF(AZ135="high","high","lower")</f>
        <v>high</v>
      </c>
      <c r="BB135" s="49">
        <v>0.90800000000000003</v>
      </c>
      <c r="BC135" s="49"/>
      <c r="BD135" s="49"/>
      <c r="BE135" s="49"/>
      <c r="BF135" s="49"/>
      <c r="BG135" s="18" t="s">
        <v>1030</v>
      </c>
      <c r="BH135" s="18" t="s">
        <v>1031</v>
      </c>
    </row>
    <row r="136" spans="1:60" ht="15.75" customHeight="1" x14ac:dyDescent="0.2">
      <c r="A136" s="11">
        <v>135</v>
      </c>
      <c r="B136" s="12">
        <v>2568</v>
      </c>
      <c r="C136" s="13" t="s">
        <v>284</v>
      </c>
      <c r="D136" s="13" t="s">
        <v>101</v>
      </c>
      <c r="E136" s="23">
        <v>2004</v>
      </c>
      <c r="F136" s="23">
        <v>2005</v>
      </c>
      <c r="G136" s="13" t="s">
        <v>205</v>
      </c>
      <c r="H136" s="13"/>
      <c r="I136" s="13" t="s">
        <v>40</v>
      </c>
      <c r="J136" s="13" t="s">
        <v>40</v>
      </c>
      <c r="K136" s="14"/>
      <c r="L136" s="15" t="s">
        <v>41</v>
      </c>
      <c r="M136" s="16" t="s">
        <v>41</v>
      </c>
      <c r="N136" s="13" t="s">
        <v>50</v>
      </c>
      <c r="O136" s="13" t="s">
        <v>41</v>
      </c>
      <c r="P136" s="12">
        <f>IF(Q136="", 0, 1)</f>
        <v>1</v>
      </c>
      <c r="Q136" s="15">
        <v>266</v>
      </c>
      <c r="R136" s="17"/>
      <c r="S136" s="17"/>
      <c r="T136" s="17">
        <v>12</v>
      </c>
      <c r="U136" s="17">
        <v>4</v>
      </c>
      <c r="V136" s="17">
        <v>20</v>
      </c>
      <c r="W136" s="17"/>
      <c r="X136" s="17"/>
      <c r="Y136" s="17"/>
      <c r="Z136" s="17" t="str">
        <f>IF(T136="", "mean", "med")</f>
        <v>med</v>
      </c>
      <c r="AA136" s="17">
        <f>IF(T136="", R136, T136)</f>
        <v>12</v>
      </c>
      <c r="AB136" s="12">
        <f>IF(AC136="", 0, 1)</f>
        <v>0</v>
      </c>
      <c r="AC136" s="13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>
        <f>IF(AO136="", 0, 1)</f>
        <v>1</v>
      </c>
      <c r="AO136" s="12">
        <v>168</v>
      </c>
      <c r="AP136" s="12"/>
      <c r="AQ136" s="12"/>
      <c r="AR136" s="12">
        <v>14</v>
      </c>
      <c r="AS136" s="12">
        <v>0</v>
      </c>
      <c r="AT136" s="12">
        <v>56</v>
      </c>
      <c r="AU136" s="12"/>
      <c r="AV136" s="12"/>
      <c r="AW136" s="12"/>
      <c r="AX136" s="12" t="str">
        <f>IF(AR136="", "mean", "med")</f>
        <v>med</v>
      </c>
      <c r="AY136" s="12">
        <f>IF(AR136="", AP136, AR136)</f>
        <v>14</v>
      </c>
      <c r="AZ136" s="49" t="s">
        <v>52</v>
      </c>
      <c r="BA136" s="49" t="str">
        <f>IF(AZ136="high","high","lower")</f>
        <v>high</v>
      </c>
      <c r="BB136" s="49">
        <v>0.90800000000000003</v>
      </c>
      <c r="BC136" s="49"/>
      <c r="BD136" s="49"/>
      <c r="BE136" s="49"/>
      <c r="BF136" s="49"/>
      <c r="BG136" s="18" t="s">
        <v>1030</v>
      </c>
      <c r="BH136" s="18" t="s">
        <v>1031</v>
      </c>
    </row>
    <row r="137" spans="1:60" ht="15.75" customHeight="1" x14ac:dyDescent="0.2">
      <c r="A137" s="11">
        <v>136</v>
      </c>
      <c r="B137" s="12">
        <v>2568</v>
      </c>
      <c r="C137" s="13" t="s">
        <v>284</v>
      </c>
      <c r="D137" s="14" t="s">
        <v>285</v>
      </c>
      <c r="E137" s="23">
        <v>2004</v>
      </c>
      <c r="F137" s="23">
        <v>2005</v>
      </c>
      <c r="G137" s="13" t="s">
        <v>205</v>
      </c>
      <c r="H137" s="13"/>
      <c r="I137" s="13" t="s">
        <v>54</v>
      </c>
      <c r="J137" s="14" t="s">
        <v>55</v>
      </c>
      <c r="K137" s="14"/>
      <c r="L137" s="15" t="s">
        <v>41</v>
      </c>
      <c r="M137" s="16" t="s">
        <v>41</v>
      </c>
      <c r="N137" s="13" t="s">
        <v>50</v>
      </c>
      <c r="O137" s="13" t="s">
        <v>41</v>
      </c>
      <c r="P137" s="12">
        <f>IF(Q137="", 0, 1)</f>
        <v>1</v>
      </c>
      <c r="Q137" s="15">
        <v>215</v>
      </c>
      <c r="R137" s="17"/>
      <c r="S137" s="17"/>
      <c r="T137" s="17">
        <v>14</v>
      </c>
      <c r="U137" s="17">
        <v>0</v>
      </c>
      <c r="V137" s="17">
        <v>28</v>
      </c>
      <c r="W137" s="17"/>
      <c r="X137" s="17"/>
      <c r="Y137" s="17"/>
      <c r="Z137" s="17" t="str">
        <f>IF(T137="", "mean", "med")</f>
        <v>med</v>
      </c>
      <c r="AA137" s="17">
        <f>IF(T137="", R137, T137)</f>
        <v>14</v>
      </c>
      <c r="AB137" s="12">
        <f>IF(AC137="", 0, 1)</f>
        <v>0</v>
      </c>
      <c r="AC137" s="13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>
        <f>IF(AO137="", 0, 1)</f>
        <v>1</v>
      </c>
      <c r="AO137" s="12">
        <v>187</v>
      </c>
      <c r="AP137" s="12"/>
      <c r="AQ137" s="12"/>
      <c r="AR137" s="12">
        <v>28</v>
      </c>
      <c r="AS137" s="12">
        <v>14</v>
      </c>
      <c r="AT137" s="12">
        <v>56</v>
      </c>
      <c r="AU137" s="12"/>
      <c r="AV137" s="12"/>
      <c r="AW137" s="12"/>
      <c r="AX137" s="12" t="str">
        <f>IF(AR137="", "mean", "med")</f>
        <v>med</v>
      </c>
      <c r="AY137" s="12">
        <f>IF(AR137="", AP137, AR137)</f>
        <v>28</v>
      </c>
      <c r="AZ137" s="49" t="s">
        <v>52</v>
      </c>
      <c r="BA137" s="49" t="str">
        <f>IF(AZ137="high","high","lower")</f>
        <v>high</v>
      </c>
      <c r="BB137" s="49">
        <v>0.90800000000000003</v>
      </c>
      <c r="BC137" s="49"/>
      <c r="BD137" s="49"/>
      <c r="BE137" s="49"/>
      <c r="BF137" s="49"/>
      <c r="BG137" s="18" t="s">
        <v>1030</v>
      </c>
      <c r="BH137" s="18" t="s">
        <v>1031</v>
      </c>
    </row>
    <row r="138" spans="1:60" ht="15.75" customHeight="1" x14ac:dyDescent="0.2">
      <c r="A138" s="11">
        <v>137</v>
      </c>
      <c r="B138" s="12">
        <v>2568</v>
      </c>
      <c r="C138" s="13" t="s">
        <v>284</v>
      </c>
      <c r="D138" s="13" t="s">
        <v>203</v>
      </c>
      <c r="E138" s="23">
        <v>2004</v>
      </c>
      <c r="F138" s="23">
        <v>2005</v>
      </c>
      <c r="G138" s="13" t="s">
        <v>205</v>
      </c>
      <c r="H138" s="13"/>
      <c r="I138" s="13" t="s">
        <v>57</v>
      </c>
      <c r="J138" s="14" t="s">
        <v>58</v>
      </c>
      <c r="K138" s="14"/>
      <c r="L138" s="19" t="s">
        <v>41</v>
      </c>
      <c r="M138" s="16" t="s">
        <v>41</v>
      </c>
      <c r="N138" s="13" t="s">
        <v>50</v>
      </c>
      <c r="O138" s="13" t="s">
        <v>41</v>
      </c>
      <c r="P138" s="12">
        <f>IF(Q138="", 0, 1)</f>
        <v>1</v>
      </c>
      <c r="Q138" s="19">
        <v>182</v>
      </c>
      <c r="R138" s="21"/>
      <c r="S138" s="21"/>
      <c r="T138" s="17">
        <v>23</v>
      </c>
      <c r="U138" s="17">
        <v>8</v>
      </c>
      <c r="V138" s="17">
        <v>36</v>
      </c>
      <c r="W138" s="17"/>
      <c r="X138" s="17"/>
      <c r="Y138" s="17"/>
      <c r="Z138" s="17" t="str">
        <f>IF(T138="", "mean", "med")</f>
        <v>med</v>
      </c>
      <c r="AA138" s="17">
        <f>IF(T138="", R138, T138)</f>
        <v>23</v>
      </c>
      <c r="AB138" s="12">
        <f>IF(AC138="", 0, 1)</f>
        <v>0</v>
      </c>
      <c r="AC138" s="13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>
        <f>IF(AO138="", 0, 1)</f>
        <v>1</v>
      </c>
      <c r="AO138" s="12">
        <v>182</v>
      </c>
      <c r="AP138" s="12"/>
      <c r="AQ138" s="12"/>
      <c r="AR138" s="12">
        <v>28</v>
      </c>
      <c r="AS138" s="12">
        <v>7</v>
      </c>
      <c r="AT138" s="12">
        <v>56</v>
      </c>
      <c r="AU138" s="12"/>
      <c r="AV138" s="12"/>
      <c r="AW138" s="12"/>
      <c r="AX138" s="12" t="str">
        <f>IF(AR138="", "mean", "med")</f>
        <v>med</v>
      </c>
      <c r="AY138" s="12">
        <f>IF(AR138="", AP138, AR138)</f>
        <v>28</v>
      </c>
      <c r="AZ138" s="49" t="s">
        <v>52</v>
      </c>
      <c r="BA138" s="49" t="str">
        <f>IF(AZ138="high","high","lower")</f>
        <v>high</v>
      </c>
      <c r="BB138" s="49">
        <v>0.90800000000000003</v>
      </c>
      <c r="BC138" s="49"/>
      <c r="BD138" s="49"/>
      <c r="BE138" s="49"/>
      <c r="BF138" s="49"/>
      <c r="BG138" s="18" t="s">
        <v>1030</v>
      </c>
      <c r="BH138" s="18" t="s">
        <v>1031</v>
      </c>
    </row>
    <row r="139" spans="1:60" ht="15.75" customHeight="1" x14ac:dyDescent="0.2">
      <c r="A139" s="11">
        <v>138</v>
      </c>
      <c r="B139" s="22">
        <v>2568</v>
      </c>
      <c r="C139" s="13" t="s">
        <v>284</v>
      </c>
      <c r="D139" s="13" t="s">
        <v>286</v>
      </c>
      <c r="E139" s="23">
        <v>2004</v>
      </c>
      <c r="F139" s="23">
        <v>2005</v>
      </c>
      <c r="G139" s="13" t="s">
        <v>205</v>
      </c>
      <c r="H139" s="13"/>
      <c r="I139" s="13" t="s">
        <v>94</v>
      </c>
      <c r="J139" s="14" t="s">
        <v>95</v>
      </c>
      <c r="K139" s="14" t="s">
        <v>167</v>
      </c>
      <c r="L139" s="15" t="s">
        <v>41</v>
      </c>
      <c r="M139" s="16" t="s">
        <v>41</v>
      </c>
      <c r="N139" s="13" t="s">
        <v>50</v>
      </c>
      <c r="O139" s="14" t="s">
        <v>41</v>
      </c>
      <c r="P139" s="12">
        <f>IF(Q139="", 0, 1)</f>
        <v>1</v>
      </c>
      <c r="Q139" s="15">
        <v>34</v>
      </c>
      <c r="R139" s="17"/>
      <c r="S139" s="17"/>
      <c r="T139" s="17">
        <v>12</v>
      </c>
      <c r="U139" s="17">
        <v>5</v>
      </c>
      <c r="V139" s="17">
        <v>29</v>
      </c>
      <c r="W139" s="17"/>
      <c r="X139" s="17"/>
      <c r="Y139" s="17"/>
      <c r="Z139" s="17" t="str">
        <f>IF(T139="", "mean", "med")</f>
        <v>med</v>
      </c>
      <c r="AA139" s="17">
        <f>IF(T139="", R139, T139)</f>
        <v>12</v>
      </c>
      <c r="AB139" s="12">
        <f>IF(AC139="", 0, 1)</f>
        <v>0</v>
      </c>
      <c r="AC139" s="13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>
        <f>IF(AO139="", 0, 1)</f>
        <v>1</v>
      </c>
      <c r="AO139" s="12">
        <v>43</v>
      </c>
      <c r="AP139" s="12"/>
      <c r="AQ139" s="12"/>
      <c r="AR139" s="12">
        <v>21</v>
      </c>
      <c r="AS139" s="12">
        <v>7</v>
      </c>
      <c r="AT139" s="12">
        <v>42</v>
      </c>
      <c r="AU139" s="12"/>
      <c r="AV139" s="12"/>
      <c r="AW139" s="12"/>
      <c r="AX139" s="12" t="str">
        <f>IF(AR139="", "mean", "med")</f>
        <v>med</v>
      </c>
      <c r="AY139" s="12">
        <f>IF(AR139="", AP139, AR139)</f>
        <v>21</v>
      </c>
      <c r="AZ139" s="49" t="s">
        <v>52</v>
      </c>
      <c r="BA139" s="49" t="str">
        <f>IF(AZ139="high","high","lower")</f>
        <v>high</v>
      </c>
      <c r="BB139" s="49">
        <v>0.90800000000000003</v>
      </c>
      <c r="BC139" s="49"/>
      <c r="BD139" s="49"/>
      <c r="BE139" s="49"/>
      <c r="BF139" s="49"/>
      <c r="BG139" s="18" t="s">
        <v>1030</v>
      </c>
      <c r="BH139" s="18" t="s">
        <v>1031</v>
      </c>
    </row>
    <row r="140" spans="1:60" ht="15.75" customHeight="1" x14ac:dyDescent="0.2">
      <c r="A140" s="11">
        <v>139</v>
      </c>
      <c r="B140" s="12">
        <v>2568</v>
      </c>
      <c r="C140" s="13" t="s">
        <v>284</v>
      </c>
      <c r="D140" s="13" t="s">
        <v>119</v>
      </c>
      <c r="E140" s="23">
        <v>2004</v>
      </c>
      <c r="F140" s="23">
        <v>2005</v>
      </c>
      <c r="G140" s="13" t="s">
        <v>205</v>
      </c>
      <c r="H140" s="13"/>
      <c r="I140" s="13" t="s">
        <v>70</v>
      </c>
      <c r="J140" s="13" t="s">
        <v>119</v>
      </c>
      <c r="K140" s="13"/>
      <c r="L140" s="15" t="s">
        <v>41</v>
      </c>
      <c r="M140" s="16" t="s">
        <v>41</v>
      </c>
      <c r="N140" s="13" t="s">
        <v>50</v>
      </c>
      <c r="O140" s="13" t="s">
        <v>41</v>
      </c>
      <c r="P140" s="12">
        <f>IF(Q140="", 0, 1)</f>
        <v>1</v>
      </c>
      <c r="Q140" s="15">
        <v>110</v>
      </c>
      <c r="R140" s="17"/>
      <c r="S140" s="17"/>
      <c r="T140" s="17">
        <v>13</v>
      </c>
      <c r="U140" s="17">
        <v>0</v>
      </c>
      <c r="V140" s="17">
        <v>23</v>
      </c>
      <c r="W140" s="17"/>
      <c r="X140" s="17"/>
      <c r="Y140" s="17"/>
      <c r="Z140" s="17" t="str">
        <f>IF(T140="", "mean", "med")</f>
        <v>med</v>
      </c>
      <c r="AA140" s="17">
        <f>IF(T140="", R140, T140)</f>
        <v>13</v>
      </c>
      <c r="AB140" s="12">
        <f>IF(AC140="", 0, 1)</f>
        <v>0</v>
      </c>
      <c r="AC140" s="13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>
        <f>IF(AO140="", 0, 1)</f>
        <v>1</v>
      </c>
      <c r="AO140" s="12">
        <v>40</v>
      </c>
      <c r="AP140" s="12"/>
      <c r="AQ140" s="12"/>
      <c r="AR140" s="12">
        <v>70</v>
      </c>
      <c r="AS140" s="12">
        <v>28</v>
      </c>
      <c r="AT140" s="12">
        <v>196</v>
      </c>
      <c r="AU140" s="12"/>
      <c r="AV140" s="12"/>
      <c r="AW140" s="12"/>
      <c r="AX140" s="12" t="str">
        <f>IF(AR140="", "mean", "med")</f>
        <v>med</v>
      </c>
      <c r="AY140" s="12">
        <f>IF(AR140="", AP140, AR140)</f>
        <v>70</v>
      </c>
      <c r="AZ140" s="49" t="s">
        <v>52</v>
      </c>
      <c r="BA140" s="49" t="str">
        <f>IF(AZ140="high","high","lower")</f>
        <v>high</v>
      </c>
      <c r="BB140" s="49">
        <v>0.90800000000000003</v>
      </c>
      <c r="BC140" s="49"/>
      <c r="BD140" s="49"/>
      <c r="BE140" s="49"/>
      <c r="BF140" s="49"/>
      <c r="BG140" s="18" t="s">
        <v>1030</v>
      </c>
      <c r="BH140" s="18" t="s">
        <v>1031</v>
      </c>
    </row>
    <row r="141" spans="1:60" ht="15.75" customHeight="1" x14ac:dyDescent="0.2">
      <c r="A141" s="11">
        <v>140</v>
      </c>
      <c r="B141" s="12">
        <v>2568</v>
      </c>
      <c r="C141" s="13" t="s">
        <v>284</v>
      </c>
      <c r="D141" s="13" t="s">
        <v>206</v>
      </c>
      <c r="E141" s="23">
        <v>2004</v>
      </c>
      <c r="F141" s="23">
        <v>2005</v>
      </c>
      <c r="G141" s="13" t="s">
        <v>205</v>
      </c>
      <c r="H141" s="13"/>
      <c r="I141" s="31" t="s">
        <v>104</v>
      </c>
      <c r="J141" s="13" t="s">
        <v>206</v>
      </c>
      <c r="K141" s="13"/>
      <c r="L141" s="15" t="s">
        <v>41</v>
      </c>
      <c r="M141" s="16" t="s">
        <v>41</v>
      </c>
      <c r="N141" s="13" t="s">
        <v>50</v>
      </c>
      <c r="O141" s="14" t="s">
        <v>41</v>
      </c>
      <c r="P141" s="12">
        <f>IF(Q141="", 0, 1)</f>
        <v>1</v>
      </c>
      <c r="Q141" s="15">
        <v>39</v>
      </c>
      <c r="R141" s="17"/>
      <c r="S141" s="17"/>
      <c r="T141" s="17">
        <v>1</v>
      </c>
      <c r="U141" s="17">
        <v>0</v>
      </c>
      <c r="V141" s="17">
        <v>21</v>
      </c>
      <c r="W141" s="17"/>
      <c r="X141" s="17"/>
      <c r="Y141" s="17"/>
      <c r="Z141" s="17" t="str">
        <f>IF(T141="", "mean", "med")</f>
        <v>med</v>
      </c>
      <c r="AA141" s="17">
        <f>IF(T141="", R141, T141)</f>
        <v>1</v>
      </c>
      <c r="AB141" s="12">
        <f>IF(AC141="", 0, 1)</f>
        <v>0</v>
      </c>
      <c r="AC141" s="13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>
        <f>IF(AO141="", 0, 1)</f>
        <v>1</v>
      </c>
      <c r="AO141" s="12">
        <v>38</v>
      </c>
      <c r="AP141" s="12"/>
      <c r="AQ141" s="12"/>
      <c r="AR141" s="12">
        <v>21</v>
      </c>
      <c r="AS141" s="12">
        <v>0</v>
      </c>
      <c r="AT141" s="12">
        <v>35</v>
      </c>
      <c r="AU141" s="12"/>
      <c r="AV141" s="12"/>
      <c r="AW141" s="12"/>
      <c r="AX141" s="12" t="str">
        <f>IF(AR141="", "mean", "med")</f>
        <v>med</v>
      </c>
      <c r="AY141" s="12">
        <f>IF(AR141="", AP141, AR141)</f>
        <v>21</v>
      </c>
      <c r="AZ141" s="49" t="s">
        <v>52</v>
      </c>
      <c r="BA141" s="49" t="str">
        <f>IF(AZ141="high","high","lower")</f>
        <v>high</v>
      </c>
      <c r="BB141" s="49">
        <v>0.90800000000000003</v>
      </c>
      <c r="BC141" s="49"/>
      <c r="BD141" s="49"/>
      <c r="BE141" s="49"/>
      <c r="BF141" s="49"/>
      <c r="BG141" s="18" t="s">
        <v>1030</v>
      </c>
      <c r="BH141" s="18" t="s">
        <v>1031</v>
      </c>
    </row>
    <row r="142" spans="1:60" ht="15.75" customHeight="1" x14ac:dyDescent="0.2">
      <c r="A142" s="11">
        <v>141</v>
      </c>
      <c r="B142" s="12">
        <v>2568</v>
      </c>
      <c r="C142" s="13" t="s">
        <v>284</v>
      </c>
      <c r="D142" s="14" t="s">
        <v>287</v>
      </c>
      <c r="E142" s="23">
        <v>2004</v>
      </c>
      <c r="F142" s="23">
        <v>2005</v>
      </c>
      <c r="G142" s="13" t="s">
        <v>205</v>
      </c>
      <c r="H142" s="13"/>
      <c r="I142" s="13" t="s">
        <v>54</v>
      </c>
      <c r="J142" s="13" t="s">
        <v>229</v>
      </c>
      <c r="K142" s="14" t="s">
        <v>288</v>
      </c>
      <c r="L142" s="15" t="s">
        <v>41</v>
      </c>
      <c r="M142" s="16" t="s">
        <v>41</v>
      </c>
      <c r="N142" s="14" t="s">
        <v>50</v>
      </c>
      <c r="O142" s="13" t="s">
        <v>41</v>
      </c>
      <c r="P142" s="12">
        <f>IF(Q142="", 0, 1)</f>
        <v>1</v>
      </c>
      <c r="Q142" s="15">
        <v>27</v>
      </c>
      <c r="R142" s="17"/>
      <c r="S142" s="17"/>
      <c r="T142" s="17">
        <v>14</v>
      </c>
      <c r="U142" s="17">
        <v>0</v>
      </c>
      <c r="V142" s="17">
        <v>41</v>
      </c>
      <c r="W142" s="17"/>
      <c r="X142" s="17"/>
      <c r="Y142" s="17"/>
      <c r="Z142" s="17" t="str">
        <f>IF(T142="", "mean", "med")</f>
        <v>med</v>
      </c>
      <c r="AA142" s="17">
        <f>IF(T142="", R142, T142)</f>
        <v>14</v>
      </c>
      <c r="AB142" s="12">
        <f>IF(AC142="", 0, 1)</f>
        <v>0</v>
      </c>
      <c r="AC142" s="13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>
        <f>IF(AO142="", 0, 1)</f>
        <v>1</v>
      </c>
      <c r="AO142" s="12">
        <v>40</v>
      </c>
      <c r="AP142" s="12"/>
      <c r="AQ142" s="12"/>
      <c r="AR142" s="12">
        <v>14</v>
      </c>
      <c r="AS142" s="12">
        <v>7</v>
      </c>
      <c r="AT142" s="12">
        <v>42</v>
      </c>
      <c r="AU142" s="12"/>
      <c r="AV142" s="12"/>
      <c r="AW142" s="12"/>
      <c r="AX142" s="12" t="str">
        <f>IF(AR142="", "mean", "med")</f>
        <v>med</v>
      </c>
      <c r="AY142" s="12">
        <f>IF(AR142="", AP142, AR142)</f>
        <v>14</v>
      </c>
      <c r="AZ142" s="49" t="s">
        <v>52</v>
      </c>
      <c r="BA142" s="49" t="str">
        <f>IF(AZ142="high","high","lower")</f>
        <v>high</v>
      </c>
      <c r="BB142" s="49">
        <v>0.90800000000000003</v>
      </c>
      <c r="BC142" s="49"/>
      <c r="BD142" s="49"/>
      <c r="BE142" s="49"/>
      <c r="BF142" s="49"/>
      <c r="BG142" s="18" t="s">
        <v>1030</v>
      </c>
      <c r="BH142" s="18" t="s">
        <v>1031</v>
      </c>
    </row>
    <row r="143" spans="1:60" ht="15.75" customHeight="1" x14ac:dyDescent="0.2">
      <c r="A143" s="11">
        <v>142</v>
      </c>
      <c r="B143" s="12">
        <v>2568</v>
      </c>
      <c r="C143" s="13" t="s">
        <v>284</v>
      </c>
      <c r="D143" s="13" t="s">
        <v>60</v>
      </c>
      <c r="E143" s="23">
        <v>2004</v>
      </c>
      <c r="F143" s="23">
        <v>2005</v>
      </c>
      <c r="G143" s="13" t="s">
        <v>205</v>
      </c>
      <c r="H143" s="13"/>
      <c r="I143" s="13" t="s">
        <v>59</v>
      </c>
      <c r="J143" s="13" t="s">
        <v>60</v>
      </c>
      <c r="K143" s="13"/>
      <c r="L143" s="19" t="s">
        <v>41</v>
      </c>
      <c r="M143" s="16" t="s">
        <v>41</v>
      </c>
      <c r="N143" s="13" t="s">
        <v>50</v>
      </c>
      <c r="O143" s="13" t="s">
        <v>41</v>
      </c>
      <c r="P143" s="12">
        <f>IF(Q143="", 0, 1)</f>
        <v>1</v>
      </c>
      <c r="Q143" s="19">
        <v>114</v>
      </c>
      <c r="R143" s="17"/>
      <c r="S143" s="17"/>
      <c r="T143" s="17">
        <v>9</v>
      </c>
      <c r="U143" s="17">
        <v>0</v>
      </c>
      <c r="V143" s="17">
        <v>29</v>
      </c>
      <c r="W143" s="17"/>
      <c r="X143" s="17"/>
      <c r="Y143" s="17"/>
      <c r="Z143" s="17" t="str">
        <f>IF(T143="", "mean", "med")</f>
        <v>med</v>
      </c>
      <c r="AA143" s="17">
        <f>IF(T143="", R143, T143)</f>
        <v>9</v>
      </c>
      <c r="AB143" s="12">
        <f>IF(AC143="", 0, 1)</f>
        <v>0</v>
      </c>
      <c r="AC143" s="13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>
        <f>IF(AO143="", 0, 1)</f>
        <v>1</v>
      </c>
      <c r="AO143" s="12">
        <v>110</v>
      </c>
      <c r="AP143" s="12"/>
      <c r="AQ143" s="12"/>
      <c r="AR143" s="12">
        <v>28</v>
      </c>
      <c r="AS143" s="12">
        <v>0</v>
      </c>
      <c r="AT143" s="12">
        <v>112</v>
      </c>
      <c r="AU143" s="12"/>
      <c r="AV143" s="12"/>
      <c r="AW143" s="12"/>
      <c r="AX143" s="12" t="str">
        <f>IF(AR143="", "mean", "med")</f>
        <v>med</v>
      </c>
      <c r="AY143" s="12">
        <f>IF(AR143="", AP143, AR143)</f>
        <v>28</v>
      </c>
      <c r="AZ143" s="49" t="s">
        <v>52</v>
      </c>
      <c r="BA143" s="49" t="str">
        <f>IF(AZ143="high","high","lower")</f>
        <v>high</v>
      </c>
      <c r="BB143" s="49">
        <v>0.90800000000000003</v>
      </c>
      <c r="BC143" s="49"/>
      <c r="BD143" s="49"/>
      <c r="BE143" s="49"/>
      <c r="BF143" s="49"/>
      <c r="BG143" s="18" t="s">
        <v>1030</v>
      </c>
      <c r="BH143" s="18" t="s">
        <v>1031</v>
      </c>
    </row>
    <row r="144" spans="1:60" ht="15.75" customHeight="1" x14ac:dyDescent="0.2">
      <c r="A144" s="11">
        <v>143</v>
      </c>
      <c r="B144" s="22">
        <v>2568</v>
      </c>
      <c r="C144" s="13" t="s">
        <v>284</v>
      </c>
      <c r="D144" s="13" t="s">
        <v>289</v>
      </c>
      <c r="E144" s="23">
        <v>2004</v>
      </c>
      <c r="F144" s="23">
        <v>2005</v>
      </c>
      <c r="G144" s="13" t="s">
        <v>205</v>
      </c>
      <c r="H144" s="13"/>
      <c r="I144" s="31" t="s">
        <v>104</v>
      </c>
      <c r="J144" s="13" t="s">
        <v>289</v>
      </c>
      <c r="K144" s="13"/>
      <c r="L144" s="15" t="s">
        <v>41</v>
      </c>
      <c r="M144" s="16" t="s">
        <v>41</v>
      </c>
      <c r="N144" s="13" t="s">
        <v>50</v>
      </c>
      <c r="O144" s="13" t="s">
        <v>41</v>
      </c>
      <c r="P144" s="12">
        <f>IF(Q144="", 0, 1)</f>
        <v>1</v>
      </c>
      <c r="Q144" s="15">
        <v>39</v>
      </c>
      <c r="R144" s="17"/>
      <c r="S144" s="17"/>
      <c r="T144" s="17">
        <v>7</v>
      </c>
      <c r="U144" s="17">
        <v>0</v>
      </c>
      <c r="V144" s="17">
        <v>14</v>
      </c>
      <c r="W144" s="17"/>
      <c r="X144" s="17"/>
      <c r="Y144" s="17"/>
      <c r="Z144" s="17" t="str">
        <f>IF(T144="", "mean", "med")</f>
        <v>med</v>
      </c>
      <c r="AA144" s="17">
        <f>IF(T144="", R144, T144)</f>
        <v>7</v>
      </c>
      <c r="AB144" s="12">
        <f>IF(AC144="", 0, 1)</f>
        <v>0</v>
      </c>
      <c r="AC144" s="13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>
        <f>IF(AO144="", 0, 1)</f>
        <v>1</v>
      </c>
      <c r="AO144" s="12">
        <v>35</v>
      </c>
      <c r="AP144" s="12"/>
      <c r="AQ144" s="12"/>
      <c r="AR144" s="12">
        <v>21</v>
      </c>
      <c r="AS144" s="12">
        <v>0</v>
      </c>
      <c r="AT144" s="12">
        <v>140</v>
      </c>
      <c r="AU144" s="12"/>
      <c r="AV144" s="12"/>
      <c r="AW144" s="12"/>
      <c r="AX144" s="12" t="str">
        <f>IF(AR144="", "mean", "med")</f>
        <v>med</v>
      </c>
      <c r="AY144" s="12">
        <f>IF(AR144="", AP144, AR144)</f>
        <v>21</v>
      </c>
      <c r="AZ144" s="49" t="s">
        <v>52</v>
      </c>
      <c r="BA144" s="49" t="str">
        <f>IF(AZ144="high","high","lower")</f>
        <v>high</v>
      </c>
      <c r="BB144" s="49">
        <v>0.90800000000000003</v>
      </c>
      <c r="BC144" s="49"/>
      <c r="BD144" s="49"/>
      <c r="BE144" s="49"/>
      <c r="BF144" s="49"/>
      <c r="BG144" s="18" t="s">
        <v>1030</v>
      </c>
      <c r="BH144" s="18" t="s">
        <v>1031</v>
      </c>
    </row>
    <row r="145" spans="1:60" ht="15.75" customHeight="1" x14ac:dyDescent="0.2">
      <c r="A145" s="11">
        <v>144</v>
      </c>
      <c r="B145" s="12">
        <v>2585</v>
      </c>
      <c r="C145" s="13" t="s">
        <v>290</v>
      </c>
      <c r="D145" s="14" t="s">
        <v>38</v>
      </c>
      <c r="E145" s="23">
        <v>2012</v>
      </c>
      <c r="F145" s="23">
        <v>2012</v>
      </c>
      <c r="G145" s="13" t="s">
        <v>245</v>
      </c>
      <c r="H145" s="13"/>
      <c r="I145" s="13" t="s">
        <v>291</v>
      </c>
      <c r="J145" s="13" t="s">
        <v>292</v>
      </c>
      <c r="K145" s="14"/>
      <c r="L145" s="19">
        <v>31.1</v>
      </c>
      <c r="M145" s="20">
        <v>34</v>
      </c>
      <c r="N145" s="13" t="s">
        <v>42</v>
      </c>
      <c r="O145" s="13" t="s">
        <v>41</v>
      </c>
      <c r="P145" s="12">
        <f>IF(Q145="", 0, 1)</f>
        <v>1</v>
      </c>
      <c r="Q145" s="15">
        <v>161</v>
      </c>
      <c r="R145" s="17">
        <v>42.7</v>
      </c>
      <c r="S145" s="17">
        <v>53.1</v>
      </c>
      <c r="T145" s="17">
        <v>23</v>
      </c>
      <c r="U145" s="17">
        <v>11</v>
      </c>
      <c r="V145" s="17">
        <v>47</v>
      </c>
      <c r="W145" s="17"/>
      <c r="X145" s="17"/>
      <c r="Y145" s="17"/>
      <c r="Z145" s="17" t="str">
        <f>IF(T145="", "mean", "med")</f>
        <v>med</v>
      </c>
      <c r="AA145" s="17">
        <f>IF(T145="", R145, T145)</f>
        <v>23</v>
      </c>
      <c r="AB145" s="12">
        <f>IF(AC145="", 0, 1)</f>
        <v>0</v>
      </c>
      <c r="AC145" s="13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>
        <f>IF(AO145="", 0, 1)</f>
        <v>0</v>
      </c>
      <c r="AO145" s="22"/>
      <c r="AP145" s="12"/>
      <c r="AQ145" s="12"/>
      <c r="AR145" s="22"/>
      <c r="AS145" s="12"/>
      <c r="AT145" s="12"/>
      <c r="AU145" s="12"/>
      <c r="AV145" s="12"/>
      <c r="AW145" s="12"/>
      <c r="AX145" s="12"/>
      <c r="AY145" s="12"/>
      <c r="AZ145" s="49" t="s">
        <v>146</v>
      </c>
      <c r="BA145" s="49" t="str">
        <f>IF(AZ145="high","high","lower")</f>
        <v>lower</v>
      </c>
      <c r="BB145" s="49">
        <v>0.50700000000000001</v>
      </c>
      <c r="BC145" s="49"/>
      <c r="BD145" s="49"/>
      <c r="BE145" s="49"/>
      <c r="BF145" s="49"/>
      <c r="BG145" s="18" t="s">
        <v>1030</v>
      </c>
      <c r="BH145" s="18" t="s">
        <v>1031</v>
      </c>
    </row>
    <row r="146" spans="1:60" ht="15.75" customHeight="1" x14ac:dyDescent="0.2">
      <c r="A146" s="11">
        <v>145</v>
      </c>
      <c r="B146" s="12">
        <v>2587</v>
      </c>
      <c r="C146" s="13" t="s">
        <v>293</v>
      </c>
      <c r="D146" s="13" t="s">
        <v>38</v>
      </c>
      <c r="E146" s="23">
        <v>2007</v>
      </c>
      <c r="F146" s="23">
        <v>2010</v>
      </c>
      <c r="G146" s="13" t="s">
        <v>294</v>
      </c>
      <c r="H146" s="13"/>
      <c r="I146" s="13" t="s">
        <v>57</v>
      </c>
      <c r="J146" s="13" t="s">
        <v>58</v>
      </c>
      <c r="K146" s="13"/>
      <c r="L146" s="15">
        <v>25.9</v>
      </c>
      <c r="M146" s="16" t="s">
        <v>41</v>
      </c>
      <c r="N146" s="13" t="s">
        <v>42</v>
      </c>
      <c r="O146" s="13"/>
      <c r="P146" s="12">
        <f>IF(Q146="", 0, 1)</f>
        <v>0</v>
      </c>
      <c r="Q146" s="15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2">
        <f>IF(AC146="", 0, 1)</f>
        <v>0</v>
      </c>
      <c r="AC146" s="13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>
        <f>IF(AO146="", 0, 1)</f>
        <v>1</v>
      </c>
      <c r="AO146" s="12">
        <v>54</v>
      </c>
      <c r="AP146" s="12">
        <v>24.3</v>
      </c>
      <c r="AQ146" s="12">
        <v>32.799999999999997</v>
      </c>
      <c r="AR146" s="12"/>
      <c r="AS146" s="12"/>
      <c r="AT146" s="12"/>
      <c r="AU146" s="12"/>
      <c r="AV146" s="12"/>
      <c r="AW146" s="12"/>
      <c r="AX146" s="12" t="str">
        <f>IF(AR146="", "mean", "med")</f>
        <v>mean</v>
      </c>
      <c r="AY146" s="12">
        <f>IF(AR146="", AP146, AR146)</f>
        <v>24.3</v>
      </c>
      <c r="AZ146" s="49" t="s">
        <v>43</v>
      </c>
      <c r="BA146" s="49" t="str">
        <f>IF(AZ146="high","high","lower")</f>
        <v>lower</v>
      </c>
      <c r="BB146" s="49">
        <v>0.78</v>
      </c>
      <c r="BC146" s="49"/>
      <c r="BD146" s="49"/>
      <c r="BE146" s="49"/>
      <c r="BF146" s="49"/>
      <c r="BG146" s="18" t="s">
        <v>1030</v>
      </c>
      <c r="BH146" s="18" t="s">
        <v>1031</v>
      </c>
    </row>
    <row r="147" spans="1:60" ht="15.75" customHeight="1" x14ac:dyDescent="0.2">
      <c r="A147" s="11">
        <v>146</v>
      </c>
      <c r="B147" s="12">
        <v>2597</v>
      </c>
      <c r="C147" s="13" t="s">
        <v>295</v>
      </c>
      <c r="D147" s="13" t="s">
        <v>38</v>
      </c>
      <c r="E147" s="23">
        <v>2017</v>
      </c>
      <c r="F147" s="23">
        <v>2018</v>
      </c>
      <c r="G147" s="13" t="s">
        <v>268</v>
      </c>
      <c r="H147" s="13"/>
      <c r="I147" s="33" t="s">
        <v>104</v>
      </c>
      <c r="J147" s="13" t="s">
        <v>105</v>
      </c>
      <c r="K147" s="13"/>
      <c r="L147" s="15">
        <v>100</v>
      </c>
      <c r="M147" s="16">
        <v>52.6</v>
      </c>
      <c r="N147" s="13" t="s">
        <v>42</v>
      </c>
      <c r="O147" s="14"/>
      <c r="P147" s="12">
        <f>IF(Q147="", 0, 1)</f>
        <v>0</v>
      </c>
      <c r="Q147" s="15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2">
        <f>IF(AC147="", 0, 1)</f>
        <v>1</v>
      </c>
      <c r="AC147" s="13">
        <v>231</v>
      </c>
      <c r="AD147" s="12"/>
      <c r="AE147" s="12"/>
      <c r="AF147" s="12">
        <v>97</v>
      </c>
      <c r="AG147" s="12"/>
      <c r="AH147" s="12"/>
      <c r="AI147" s="12"/>
      <c r="AJ147" s="12"/>
      <c r="AK147" s="12"/>
      <c r="AL147" s="12" t="str">
        <f>IF(AF147="", "mean", "med")</f>
        <v>med</v>
      </c>
      <c r="AM147" s="12">
        <f>IF(AF147="", AD147, AF147)</f>
        <v>97</v>
      </c>
      <c r="AN147" s="12">
        <f>IF(AO147="", 0, 1)</f>
        <v>1</v>
      </c>
      <c r="AO147" s="12">
        <v>231</v>
      </c>
      <c r="AP147" s="12"/>
      <c r="AQ147" s="12"/>
      <c r="AR147" s="12">
        <v>10</v>
      </c>
      <c r="AS147" s="12"/>
      <c r="AT147" s="12"/>
      <c r="AU147" s="12"/>
      <c r="AV147" s="12"/>
      <c r="AW147" s="12"/>
      <c r="AX147" s="12" t="str">
        <f>IF(AR147="", "mean", "med")</f>
        <v>med</v>
      </c>
      <c r="AY147" s="12">
        <f>IF(AR147="", AP147, AR147)</f>
        <v>10</v>
      </c>
      <c r="AZ147" s="49" t="s">
        <v>146</v>
      </c>
      <c r="BA147" s="49" t="str">
        <f>IF(AZ147="high","high","lower")</f>
        <v>lower</v>
      </c>
      <c r="BB147" s="49">
        <v>0.47599999999999998</v>
      </c>
      <c r="BC147" s="49"/>
      <c r="BD147" s="49"/>
      <c r="BE147" s="49"/>
      <c r="BF147" s="49"/>
      <c r="BG147" s="18" t="s">
        <v>1030</v>
      </c>
      <c r="BH147" s="18" t="s">
        <v>1031</v>
      </c>
    </row>
    <row r="148" spans="1:60" ht="15.75" customHeight="1" x14ac:dyDescent="0.2">
      <c r="A148" s="11">
        <v>147</v>
      </c>
      <c r="B148" s="22">
        <v>2606</v>
      </c>
      <c r="C148" s="13" t="s">
        <v>296</v>
      </c>
      <c r="D148" s="14" t="s">
        <v>38</v>
      </c>
      <c r="E148" s="23">
        <v>2005</v>
      </c>
      <c r="F148" s="23">
        <v>2007</v>
      </c>
      <c r="G148" s="13" t="s">
        <v>134</v>
      </c>
      <c r="H148" s="13"/>
      <c r="I148" s="13" t="s">
        <v>57</v>
      </c>
      <c r="J148" s="14" t="s">
        <v>58</v>
      </c>
      <c r="K148" s="14"/>
      <c r="L148" s="19" t="s">
        <v>41</v>
      </c>
      <c r="M148" s="16" t="s">
        <v>41</v>
      </c>
      <c r="N148" s="13" t="s">
        <v>42</v>
      </c>
      <c r="O148" s="13" t="s">
        <v>41</v>
      </c>
      <c r="P148" s="12">
        <f>IF(Q148="", 0, 1)</f>
        <v>1</v>
      </c>
      <c r="Q148" s="19">
        <v>480</v>
      </c>
      <c r="R148" s="17"/>
      <c r="S148" s="17"/>
      <c r="T148" s="17">
        <v>62</v>
      </c>
      <c r="U148" s="17">
        <v>30</v>
      </c>
      <c r="V148" s="17">
        <v>108</v>
      </c>
      <c r="W148" s="17"/>
      <c r="X148" s="17"/>
      <c r="Y148" s="17"/>
      <c r="Z148" s="17" t="str">
        <f>IF(T148="", "mean", "med")</f>
        <v>med</v>
      </c>
      <c r="AA148" s="17">
        <f>IF(T148="", R148, T148)</f>
        <v>62</v>
      </c>
      <c r="AB148" s="12">
        <f>IF(AC148="", 0, 1)</f>
        <v>0</v>
      </c>
      <c r="AC148" s="13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>
        <f>IF(AO148="", 0, 1)</f>
        <v>0</v>
      </c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 t="s">
        <v>52</v>
      </c>
      <c r="BA148" s="12" t="str">
        <f>IF(AZ148="high","high","lower")</f>
        <v>high</v>
      </c>
      <c r="BB148" s="49">
        <v>0.89600000000000002</v>
      </c>
      <c r="BC148" s="12">
        <v>84.8</v>
      </c>
      <c r="BD148" s="12">
        <v>94</v>
      </c>
      <c r="BE148" s="12">
        <v>100</v>
      </c>
      <c r="BF148" s="12">
        <v>82.2</v>
      </c>
      <c r="BG148" s="18" t="s">
        <v>1030</v>
      </c>
      <c r="BH148" s="18" t="s">
        <v>1031</v>
      </c>
    </row>
    <row r="149" spans="1:60" ht="15.75" customHeight="1" x14ac:dyDescent="0.2">
      <c r="A149" s="11">
        <v>148</v>
      </c>
      <c r="B149" s="22">
        <v>2615</v>
      </c>
      <c r="C149" s="13" t="s">
        <v>297</v>
      </c>
      <c r="D149" s="13" t="s">
        <v>92</v>
      </c>
      <c r="E149" s="23">
        <v>2007</v>
      </c>
      <c r="F149" s="23">
        <v>2010</v>
      </c>
      <c r="G149" s="13" t="s">
        <v>77</v>
      </c>
      <c r="H149" s="13"/>
      <c r="I149" s="13" t="s">
        <v>59</v>
      </c>
      <c r="J149" s="13" t="s">
        <v>82</v>
      </c>
      <c r="K149" s="13"/>
      <c r="L149" s="15">
        <v>26</v>
      </c>
      <c r="M149" s="16">
        <v>74</v>
      </c>
      <c r="N149" s="13" t="s">
        <v>99</v>
      </c>
      <c r="O149" s="13"/>
      <c r="P149" s="12">
        <f>IF(Q149="", 0, 1)</f>
        <v>0</v>
      </c>
      <c r="Q149" s="15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2">
        <f>IF(AC149="", 0, 1)</f>
        <v>1</v>
      </c>
      <c r="AC149" s="13">
        <v>1519</v>
      </c>
      <c r="AD149" s="12">
        <v>119</v>
      </c>
      <c r="AE149" s="12">
        <v>102.6</v>
      </c>
      <c r="AF149" s="12">
        <v>80</v>
      </c>
      <c r="AG149" s="12">
        <v>40</v>
      </c>
      <c r="AH149" s="12">
        <v>179</v>
      </c>
      <c r="AI149" s="12"/>
      <c r="AJ149" s="12"/>
      <c r="AK149" s="12"/>
      <c r="AL149" s="12" t="str">
        <f>IF(AF149="", "mean", "med")</f>
        <v>med</v>
      </c>
      <c r="AM149" s="12">
        <f>IF(AF149="", AD149, AF149)</f>
        <v>80</v>
      </c>
      <c r="AN149" s="12">
        <f>IF(AO149="", 0, 1)</f>
        <v>0</v>
      </c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 t="s">
        <v>52</v>
      </c>
      <c r="BA149" s="12" t="str">
        <f>IF(AZ149="high","high","lower")</f>
        <v>high</v>
      </c>
      <c r="BB149" s="49">
        <v>0.90500000000000003</v>
      </c>
      <c r="BC149" s="12">
        <v>85.3</v>
      </c>
      <c r="BD149" s="12">
        <v>96.3</v>
      </c>
      <c r="BE149" s="12">
        <v>91.7</v>
      </c>
      <c r="BF149" s="12">
        <v>80</v>
      </c>
      <c r="BG149" s="18" t="s">
        <v>1034</v>
      </c>
      <c r="BH149" s="18" t="s">
        <v>1031</v>
      </c>
    </row>
    <row r="150" spans="1:60" ht="15.75" customHeight="1" x14ac:dyDescent="0.2">
      <c r="A150" s="11">
        <v>149</v>
      </c>
      <c r="B150" s="12">
        <v>2615</v>
      </c>
      <c r="C150" s="13" t="s">
        <v>297</v>
      </c>
      <c r="D150" s="13" t="s">
        <v>92</v>
      </c>
      <c r="E150" s="23">
        <v>2007</v>
      </c>
      <c r="F150" s="23">
        <v>2010</v>
      </c>
      <c r="G150" s="13" t="s">
        <v>77</v>
      </c>
      <c r="H150" s="13"/>
      <c r="I150" s="13" t="s">
        <v>40</v>
      </c>
      <c r="J150" s="13" t="s">
        <v>40</v>
      </c>
      <c r="K150" s="13"/>
      <c r="L150" s="15">
        <v>100</v>
      </c>
      <c r="M150" s="16">
        <v>66</v>
      </c>
      <c r="N150" s="13" t="s">
        <v>99</v>
      </c>
      <c r="O150" s="14"/>
      <c r="P150" s="12">
        <f>IF(Q150="", 0, 1)</f>
        <v>0</v>
      </c>
      <c r="Q150" s="15"/>
      <c r="R150" s="21"/>
      <c r="S150" s="17"/>
      <c r="T150" s="17"/>
      <c r="U150" s="17"/>
      <c r="V150" s="17"/>
      <c r="W150" s="17"/>
      <c r="X150" s="17"/>
      <c r="Y150" s="17"/>
      <c r="Z150" s="17"/>
      <c r="AA150" s="17"/>
      <c r="AB150" s="12">
        <f>IF(AC150="", 0, 1)</f>
        <v>1</v>
      </c>
      <c r="AC150" s="13">
        <v>1620</v>
      </c>
      <c r="AD150" s="12">
        <v>63.3</v>
      </c>
      <c r="AE150" s="12">
        <v>86.3</v>
      </c>
      <c r="AF150" s="12">
        <v>27</v>
      </c>
      <c r="AG150" s="12">
        <v>15</v>
      </c>
      <c r="AH150" s="12">
        <v>62</v>
      </c>
      <c r="AI150" s="12"/>
      <c r="AJ150" s="12"/>
      <c r="AK150" s="12"/>
      <c r="AL150" s="12" t="str">
        <f>IF(AF150="", "mean", "med")</f>
        <v>med</v>
      </c>
      <c r="AM150" s="12">
        <f>IF(AF150="", AD150, AF150)</f>
        <v>27</v>
      </c>
      <c r="AN150" s="12">
        <f>IF(AO150="", 0, 1)</f>
        <v>0</v>
      </c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 t="s">
        <v>52</v>
      </c>
      <c r="BA150" s="12" t="str">
        <f>IF(AZ150="high","high","lower")</f>
        <v>high</v>
      </c>
      <c r="BB150" s="49">
        <v>0.90500000000000003</v>
      </c>
      <c r="BC150" s="12">
        <v>85.3</v>
      </c>
      <c r="BD150" s="12">
        <v>96.3</v>
      </c>
      <c r="BE150" s="12">
        <v>91.7</v>
      </c>
      <c r="BF150" s="12">
        <v>80</v>
      </c>
      <c r="BG150" s="18" t="s">
        <v>1034</v>
      </c>
      <c r="BH150" s="18" t="s">
        <v>1031</v>
      </c>
    </row>
    <row r="151" spans="1:60" ht="15.75" customHeight="1" x14ac:dyDescent="0.2">
      <c r="A151" s="11">
        <v>150</v>
      </c>
      <c r="B151" s="12">
        <v>2615</v>
      </c>
      <c r="C151" s="13" t="s">
        <v>297</v>
      </c>
      <c r="D151" s="13" t="s">
        <v>92</v>
      </c>
      <c r="E151" s="23">
        <v>2007</v>
      </c>
      <c r="F151" s="23">
        <v>2010</v>
      </c>
      <c r="G151" s="13" t="s">
        <v>77</v>
      </c>
      <c r="H151" s="13"/>
      <c r="I151" s="31" t="s">
        <v>104</v>
      </c>
      <c r="J151" s="13" t="s">
        <v>105</v>
      </c>
      <c r="K151" s="13"/>
      <c r="L151" s="15">
        <v>100</v>
      </c>
      <c r="M151" s="16">
        <v>57</v>
      </c>
      <c r="N151" s="13" t="s">
        <v>99</v>
      </c>
      <c r="O151" s="14"/>
      <c r="P151" s="12">
        <f>IF(Q151="", 0, 1)</f>
        <v>0</v>
      </c>
      <c r="Q151" s="19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2">
        <f>IF(AC151="", 0, 1)</f>
        <v>1</v>
      </c>
      <c r="AC151" s="13">
        <v>150</v>
      </c>
      <c r="AD151" s="12">
        <v>98.8</v>
      </c>
      <c r="AE151" s="12">
        <v>89.6</v>
      </c>
      <c r="AF151" s="12">
        <v>67</v>
      </c>
      <c r="AG151" s="12">
        <v>30</v>
      </c>
      <c r="AH151" s="12">
        <v>145</v>
      </c>
      <c r="AI151" s="12"/>
      <c r="AJ151" s="12"/>
      <c r="AK151" s="12"/>
      <c r="AL151" s="12" t="str">
        <f>IF(AF151="", "mean", "med")</f>
        <v>med</v>
      </c>
      <c r="AM151" s="12">
        <f>IF(AF151="", AD151, AF151)</f>
        <v>67</v>
      </c>
      <c r="AN151" s="12">
        <f>IF(AO151="", 0, 1)</f>
        <v>0</v>
      </c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 t="s">
        <v>52</v>
      </c>
      <c r="BA151" s="12" t="str">
        <f>IF(AZ151="high","high","lower")</f>
        <v>high</v>
      </c>
      <c r="BB151" s="49">
        <v>0.90500000000000003</v>
      </c>
      <c r="BC151" s="12">
        <v>85.3</v>
      </c>
      <c r="BD151" s="12">
        <v>96.3</v>
      </c>
      <c r="BE151" s="12">
        <v>91.7</v>
      </c>
      <c r="BF151" s="12">
        <v>80</v>
      </c>
      <c r="BG151" s="18" t="s">
        <v>1034</v>
      </c>
      <c r="BH151" s="18" t="s">
        <v>1031</v>
      </c>
    </row>
    <row r="152" spans="1:60" ht="15.75" customHeight="1" x14ac:dyDescent="0.2">
      <c r="A152" s="11">
        <v>151</v>
      </c>
      <c r="B152" s="12">
        <v>2615</v>
      </c>
      <c r="C152" s="13" t="s">
        <v>297</v>
      </c>
      <c r="D152" s="13" t="s">
        <v>92</v>
      </c>
      <c r="E152" s="23">
        <v>2007</v>
      </c>
      <c r="F152" s="23">
        <v>2010</v>
      </c>
      <c r="G152" s="13" t="s">
        <v>77</v>
      </c>
      <c r="H152" s="13"/>
      <c r="I152" s="31" t="s">
        <v>104</v>
      </c>
      <c r="J152" s="13" t="s">
        <v>298</v>
      </c>
      <c r="K152" s="13"/>
      <c r="L152" s="19">
        <v>100</v>
      </c>
      <c r="M152" s="16">
        <v>66</v>
      </c>
      <c r="N152" s="14" t="s">
        <v>99</v>
      </c>
      <c r="O152" s="13"/>
      <c r="P152" s="12">
        <f>IF(Q152="", 0, 1)</f>
        <v>0</v>
      </c>
      <c r="Q152" s="19"/>
      <c r="R152" s="21"/>
      <c r="S152" s="17"/>
      <c r="T152" s="17"/>
      <c r="U152" s="17"/>
      <c r="V152" s="17"/>
      <c r="W152" s="17"/>
      <c r="X152" s="17"/>
      <c r="Y152" s="17"/>
      <c r="Z152" s="17"/>
      <c r="AA152" s="17"/>
      <c r="AB152" s="12">
        <f>IF(AC152="", 0, 1)</f>
        <v>1</v>
      </c>
      <c r="AC152" s="13">
        <v>757</v>
      </c>
      <c r="AD152" s="12">
        <v>100</v>
      </c>
      <c r="AE152" s="12">
        <v>86.5</v>
      </c>
      <c r="AF152" s="12">
        <v>67</v>
      </c>
      <c r="AG152" s="12">
        <v>36</v>
      </c>
      <c r="AH152" s="12">
        <v>138</v>
      </c>
      <c r="AI152" s="12"/>
      <c r="AJ152" s="12"/>
      <c r="AK152" s="12"/>
      <c r="AL152" s="12" t="str">
        <f>IF(AF152="", "mean", "med")</f>
        <v>med</v>
      </c>
      <c r="AM152" s="12">
        <f>IF(AF152="", AD152, AF152)</f>
        <v>67</v>
      </c>
      <c r="AN152" s="12">
        <f>IF(AO152="", 0, 1)</f>
        <v>0</v>
      </c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 t="s">
        <v>52</v>
      </c>
      <c r="BA152" s="12" t="str">
        <f>IF(AZ152="high","high","lower")</f>
        <v>high</v>
      </c>
      <c r="BB152" s="49">
        <v>0.90500000000000003</v>
      </c>
      <c r="BC152" s="12">
        <v>85.3</v>
      </c>
      <c r="BD152" s="12">
        <v>96.3</v>
      </c>
      <c r="BE152" s="12">
        <v>91.7</v>
      </c>
      <c r="BF152" s="12">
        <v>80</v>
      </c>
      <c r="BG152" s="18" t="s">
        <v>1034</v>
      </c>
      <c r="BH152" s="18" t="s">
        <v>1031</v>
      </c>
    </row>
    <row r="153" spans="1:60" ht="15.75" customHeight="1" x14ac:dyDescent="0.2">
      <c r="A153" s="11">
        <v>152</v>
      </c>
      <c r="B153" s="22">
        <v>2615</v>
      </c>
      <c r="C153" s="13" t="s">
        <v>297</v>
      </c>
      <c r="D153" s="13" t="s">
        <v>92</v>
      </c>
      <c r="E153" s="23">
        <v>2007</v>
      </c>
      <c r="F153" s="23">
        <v>2010</v>
      </c>
      <c r="G153" s="13" t="s">
        <v>77</v>
      </c>
      <c r="H153" s="13"/>
      <c r="I153" s="13" t="s">
        <v>54</v>
      </c>
      <c r="J153" s="13" t="s">
        <v>226</v>
      </c>
      <c r="K153" s="13"/>
      <c r="L153" s="15">
        <v>35.5</v>
      </c>
      <c r="M153" s="16">
        <v>74</v>
      </c>
      <c r="N153" s="13" t="s">
        <v>99</v>
      </c>
      <c r="O153" s="13"/>
      <c r="P153" s="12">
        <f>IF(Q153="", 0, 1)</f>
        <v>0</v>
      </c>
      <c r="Q153" s="15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2">
        <f>IF(AC153="", 0, 1)</f>
        <v>1</v>
      </c>
      <c r="AC153" s="13">
        <v>1118</v>
      </c>
      <c r="AD153" s="12">
        <v>125</v>
      </c>
      <c r="AE153" s="12">
        <v>107.8</v>
      </c>
      <c r="AF153" s="12">
        <v>84</v>
      </c>
      <c r="AG153" s="12">
        <v>35</v>
      </c>
      <c r="AH153" s="12">
        <v>199</v>
      </c>
      <c r="AI153" s="12"/>
      <c r="AJ153" s="12"/>
      <c r="AK153" s="12"/>
      <c r="AL153" s="12" t="str">
        <f>IF(AF153="", "mean", "med")</f>
        <v>med</v>
      </c>
      <c r="AM153" s="12">
        <f>IF(AF153="", AD153, AF153)</f>
        <v>84</v>
      </c>
      <c r="AN153" s="12">
        <f>IF(AO153="", 0, 1)</f>
        <v>0</v>
      </c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 t="s">
        <v>52</v>
      </c>
      <c r="BA153" s="12" t="str">
        <f>IF(AZ153="high","high","lower")</f>
        <v>high</v>
      </c>
      <c r="BB153" s="49">
        <v>0.90500000000000003</v>
      </c>
      <c r="BC153" s="12">
        <v>85.3</v>
      </c>
      <c r="BD153" s="12">
        <v>96.3</v>
      </c>
      <c r="BE153" s="12">
        <v>91.7</v>
      </c>
      <c r="BF153" s="12">
        <v>80</v>
      </c>
      <c r="BG153" s="18" t="s">
        <v>1034</v>
      </c>
      <c r="BH153" s="18" t="s">
        <v>1031</v>
      </c>
    </row>
    <row r="154" spans="1:60" ht="15.75" customHeight="1" x14ac:dyDescent="0.2">
      <c r="A154" s="11">
        <v>153</v>
      </c>
      <c r="B154" s="12">
        <v>2615</v>
      </c>
      <c r="C154" s="13" t="s">
        <v>297</v>
      </c>
      <c r="D154" s="13" t="s">
        <v>92</v>
      </c>
      <c r="E154" s="23">
        <v>2007</v>
      </c>
      <c r="F154" s="23">
        <v>2010</v>
      </c>
      <c r="G154" s="13" t="s">
        <v>77</v>
      </c>
      <c r="H154" s="13"/>
      <c r="I154" s="13" t="s">
        <v>79</v>
      </c>
      <c r="J154" s="13" t="s">
        <v>79</v>
      </c>
      <c r="K154" s="14"/>
      <c r="L154" s="15">
        <v>20.7</v>
      </c>
      <c r="M154" s="16">
        <v>69</v>
      </c>
      <c r="N154" s="13" t="s">
        <v>99</v>
      </c>
      <c r="O154" s="13"/>
      <c r="P154" s="12">
        <f>IF(Q154="", 0, 1)</f>
        <v>0</v>
      </c>
      <c r="Q154" s="19"/>
      <c r="R154" s="21"/>
      <c r="S154" s="17"/>
      <c r="T154" s="17"/>
      <c r="U154" s="17"/>
      <c r="V154" s="17"/>
      <c r="W154" s="17"/>
      <c r="X154" s="17"/>
      <c r="Y154" s="17"/>
      <c r="Z154" s="17"/>
      <c r="AA154" s="17"/>
      <c r="AB154" s="12">
        <f>IF(AC154="", 0, 1)</f>
        <v>1</v>
      </c>
      <c r="AC154" s="13">
        <v>328</v>
      </c>
      <c r="AD154" s="12">
        <v>121.3</v>
      </c>
      <c r="AE154" s="12">
        <v>94.4</v>
      </c>
      <c r="AF154" s="12">
        <v>87</v>
      </c>
      <c r="AG154" s="12">
        <v>51</v>
      </c>
      <c r="AH154" s="12">
        <v>177</v>
      </c>
      <c r="AI154" s="12"/>
      <c r="AJ154" s="12"/>
      <c r="AK154" s="12"/>
      <c r="AL154" s="12" t="str">
        <f>IF(AF154="", "mean", "med")</f>
        <v>med</v>
      </c>
      <c r="AM154" s="12">
        <f>IF(AF154="", AD154, AF154)</f>
        <v>87</v>
      </c>
      <c r="AN154" s="12">
        <f>IF(AO154="", 0, 1)</f>
        <v>0</v>
      </c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 t="s">
        <v>52</v>
      </c>
      <c r="BA154" s="12" t="str">
        <f>IF(AZ154="high","high","lower")</f>
        <v>high</v>
      </c>
      <c r="BB154" s="49">
        <v>0.90500000000000003</v>
      </c>
      <c r="BC154" s="12">
        <v>85.3</v>
      </c>
      <c r="BD154" s="12">
        <v>96.3</v>
      </c>
      <c r="BE154" s="12">
        <v>91.7</v>
      </c>
      <c r="BF154" s="12">
        <v>80</v>
      </c>
      <c r="BG154" s="18" t="s">
        <v>1034</v>
      </c>
      <c r="BH154" s="18" t="s">
        <v>1031</v>
      </c>
    </row>
    <row r="155" spans="1:60" ht="15.75" customHeight="1" x14ac:dyDescent="0.2">
      <c r="A155" s="11">
        <v>154</v>
      </c>
      <c r="B155" s="12">
        <v>2615</v>
      </c>
      <c r="C155" s="13" t="s">
        <v>297</v>
      </c>
      <c r="D155" s="13" t="s">
        <v>92</v>
      </c>
      <c r="E155" s="23">
        <v>2007</v>
      </c>
      <c r="F155" s="23">
        <v>2010</v>
      </c>
      <c r="G155" s="13" t="s">
        <v>77</v>
      </c>
      <c r="H155" s="13"/>
      <c r="I155" s="13" t="s">
        <v>59</v>
      </c>
      <c r="J155" s="13" t="s">
        <v>320</v>
      </c>
      <c r="K155" s="13"/>
      <c r="L155" s="15">
        <v>34.200000000000003</v>
      </c>
      <c r="M155" s="16">
        <v>70</v>
      </c>
      <c r="N155" s="13" t="s">
        <v>99</v>
      </c>
      <c r="O155" s="13"/>
      <c r="P155" s="12">
        <f>IF(Q155="", 0, 1)</f>
        <v>0</v>
      </c>
      <c r="Q155" s="15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2">
        <f>IF(AC155="", 0, 1)</f>
        <v>1</v>
      </c>
      <c r="AC155" s="13">
        <v>503</v>
      </c>
      <c r="AD155" s="12">
        <v>119</v>
      </c>
      <c r="AE155" s="12">
        <v>99.8</v>
      </c>
      <c r="AF155" s="12">
        <v>84</v>
      </c>
      <c r="AG155" s="12">
        <v>42</v>
      </c>
      <c r="AH155" s="12">
        <v>175</v>
      </c>
      <c r="AI155" s="12"/>
      <c r="AJ155" s="12"/>
      <c r="AK155" s="12"/>
      <c r="AL155" s="12" t="str">
        <f>IF(AF155="", "mean", "med")</f>
        <v>med</v>
      </c>
      <c r="AM155" s="12">
        <f>IF(AF155="", AD155, AF155)</f>
        <v>84</v>
      </c>
      <c r="AN155" s="12">
        <f>IF(AO155="", 0, 1)</f>
        <v>0</v>
      </c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 t="s">
        <v>52</v>
      </c>
      <c r="BA155" s="12" t="str">
        <f>IF(AZ155="high","high","lower")</f>
        <v>high</v>
      </c>
      <c r="BB155" s="49">
        <v>0.90500000000000003</v>
      </c>
      <c r="BC155" s="12">
        <v>85.3</v>
      </c>
      <c r="BD155" s="12">
        <v>96.3</v>
      </c>
      <c r="BE155" s="12">
        <v>91.7</v>
      </c>
      <c r="BF155" s="12">
        <v>80</v>
      </c>
      <c r="BG155" s="18" t="s">
        <v>1034</v>
      </c>
      <c r="BH155" s="18" t="s">
        <v>1031</v>
      </c>
    </row>
    <row r="156" spans="1:60" ht="15.75" customHeight="1" x14ac:dyDescent="0.2">
      <c r="A156" s="11">
        <v>155</v>
      </c>
      <c r="B156" s="22">
        <v>2615</v>
      </c>
      <c r="C156" s="13" t="s">
        <v>297</v>
      </c>
      <c r="D156" s="13" t="s">
        <v>92</v>
      </c>
      <c r="E156" s="23">
        <v>2007</v>
      </c>
      <c r="F156" s="23">
        <v>2010</v>
      </c>
      <c r="G156" s="13" t="s">
        <v>77</v>
      </c>
      <c r="H156" s="13"/>
      <c r="I156" s="13" t="s">
        <v>94</v>
      </c>
      <c r="J156" s="13" t="s">
        <v>299</v>
      </c>
      <c r="K156" s="13"/>
      <c r="L156" s="15">
        <v>48.3</v>
      </c>
      <c r="M156" s="16">
        <v>72</v>
      </c>
      <c r="N156" s="13" t="s">
        <v>99</v>
      </c>
      <c r="O156" s="14"/>
      <c r="P156" s="12">
        <f>IF(Q156="", 0, 1)</f>
        <v>0</v>
      </c>
      <c r="Q156" s="15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2">
        <f>IF(AC156="", 0, 1)</f>
        <v>1</v>
      </c>
      <c r="AC156" s="13">
        <v>383</v>
      </c>
      <c r="AD156" s="12">
        <v>133.5</v>
      </c>
      <c r="AE156" s="12">
        <v>113.9</v>
      </c>
      <c r="AF156" s="12">
        <v>102</v>
      </c>
      <c r="AG156" s="12">
        <v>28</v>
      </c>
      <c r="AH156" s="12">
        <v>230</v>
      </c>
      <c r="AI156" s="12"/>
      <c r="AJ156" s="12"/>
      <c r="AK156" s="12"/>
      <c r="AL156" s="12" t="str">
        <f>IF(AF156="", "mean", "med")</f>
        <v>med</v>
      </c>
      <c r="AM156" s="12">
        <f>IF(AF156="", AD156, AF156)</f>
        <v>102</v>
      </c>
      <c r="AN156" s="12">
        <f>IF(AO156="", 0, 1)</f>
        <v>0</v>
      </c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 t="s">
        <v>52</v>
      </c>
      <c r="BA156" s="12" t="str">
        <f>IF(AZ156="high","high","lower")</f>
        <v>high</v>
      </c>
      <c r="BB156" s="49">
        <v>0.90500000000000003</v>
      </c>
      <c r="BC156" s="12">
        <v>85.3</v>
      </c>
      <c r="BD156" s="12">
        <v>96.3</v>
      </c>
      <c r="BE156" s="12">
        <v>91.7</v>
      </c>
      <c r="BF156" s="12">
        <v>80</v>
      </c>
      <c r="BG156" s="18" t="s">
        <v>1034</v>
      </c>
      <c r="BH156" s="18" t="s">
        <v>1031</v>
      </c>
    </row>
    <row r="157" spans="1:60" ht="15.75" customHeight="1" x14ac:dyDescent="0.2">
      <c r="A157" s="11">
        <v>156</v>
      </c>
      <c r="B157" s="22">
        <v>2615</v>
      </c>
      <c r="C157" s="13" t="s">
        <v>297</v>
      </c>
      <c r="D157" s="13" t="s">
        <v>92</v>
      </c>
      <c r="E157" s="23">
        <v>2007</v>
      </c>
      <c r="F157" s="23">
        <v>2010</v>
      </c>
      <c r="G157" s="13" t="s">
        <v>77</v>
      </c>
      <c r="H157" s="13"/>
      <c r="I157" s="13" t="s">
        <v>57</v>
      </c>
      <c r="J157" s="13" t="s">
        <v>58</v>
      </c>
      <c r="K157" s="13"/>
      <c r="L157" s="15">
        <v>42.8</v>
      </c>
      <c r="M157" s="16">
        <v>73</v>
      </c>
      <c r="N157" s="13" t="s">
        <v>99</v>
      </c>
      <c r="O157" s="13"/>
      <c r="P157" s="12">
        <f>IF(Q157="", 0, 1)</f>
        <v>0</v>
      </c>
      <c r="Q157" s="15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2">
        <f>IF(AC157="", 0, 1)</f>
        <v>1</v>
      </c>
      <c r="AC157" s="13">
        <v>4253</v>
      </c>
      <c r="AD157" s="12">
        <v>147.4</v>
      </c>
      <c r="AE157" s="12">
        <v>113.5</v>
      </c>
      <c r="AF157" s="12">
        <v>113</v>
      </c>
      <c r="AG157" s="12">
        <v>45</v>
      </c>
      <c r="AH157" s="12">
        <v>249</v>
      </c>
      <c r="AI157" s="12"/>
      <c r="AJ157" s="12"/>
      <c r="AK157" s="12"/>
      <c r="AL157" s="12" t="str">
        <f>IF(AF157="", "mean", "med")</f>
        <v>med</v>
      </c>
      <c r="AM157" s="12">
        <f>IF(AF157="", AD157, AF157)</f>
        <v>113</v>
      </c>
      <c r="AN157" s="12">
        <f>IF(AO157="", 0, 1)</f>
        <v>0</v>
      </c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 t="s">
        <v>52</v>
      </c>
      <c r="BA157" s="12" t="str">
        <f>IF(AZ157="high","high","lower")</f>
        <v>high</v>
      </c>
      <c r="BB157" s="49">
        <v>0.90500000000000003</v>
      </c>
      <c r="BC157" s="12">
        <v>85.3</v>
      </c>
      <c r="BD157" s="12">
        <v>96.3</v>
      </c>
      <c r="BE157" s="12">
        <v>91.7</v>
      </c>
      <c r="BF157" s="12">
        <v>80</v>
      </c>
      <c r="BG157" s="18" t="s">
        <v>1034</v>
      </c>
      <c r="BH157" s="18" t="s">
        <v>1031</v>
      </c>
    </row>
    <row r="158" spans="1:60" ht="15.75" customHeight="1" x14ac:dyDescent="0.2">
      <c r="A158" s="11">
        <v>157</v>
      </c>
      <c r="B158" s="12">
        <v>2615</v>
      </c>
      <c r="C158" s="13" t="s">
        <v>297</v>
      </c>
      <c r="D158" s="13" t="s">
        <v>92</v>
      </c>
      <c r="E158" s="23">
        <v>2007</v>
      </c>
      <c r="F158" s="23">
        <v>2010</v>
      </c>
      <c r="G158" s="13" t="s">
        <v>77</v>
      </c>
      <c r="H158" s="13"/>
      <c r="I158" s="13" t="s">
        <v>94</v>
      </c>
      <c r="J158" s="13" t="s">
        <v>95</v>
      </c>
      <c r="K158" s="13"/>
      <c r="L158" s="19">
        <v>50.1</v>
      </c>
      <c r="M158" s="16">
        <v>70</v>
      </c>
      <c r="N158" s="13" t="s">
        <v>99</v>
      </c>
      <c r="O158" s="14"/>
      <c r="P158" s="12">
        <f>IF(Q158="", 0, 1)</f>
        <v>0</v>
      </c>
      <c r="Q158" s="15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2">
        <f>IF(AC158="", 0, 1)</f>
        <v>1</v>
      </c>
      <c r="AC158" s="13">
        <v>685</v>
      </c>
      <c r="AD158" s="12">
        <v>130</v>
      </c>
      <c r="AE158" s="12">
        <v>103.3</v>
      </c>
      <c r="AF158" s="12">
        <v>99</v>
      </c>
      <c r="AG158" s="12">
        <v>44</v>
      </c>
      <c r="AH158" s="12">
        <v>209</v>
      </c>
      <c r="AI158" s="12"/>
      <c r="AJ158" s="12"/>
      <c r="AK158" s="12"/>
      <c r="AL158" s="12" t="str">
        <f>IF(AF158="", "mean", "med")</f>
        <v>med</v>
      </c>
      <c r="AM158" s="12">
        <f>IF(AF158="", AD158, AF158)</f>
        <v>99</v>
      </c>
      <c r="AN158" s="12">
        <f>IF(AO158="", 0, 1)</f>
        <v>0</v>
      </c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 t="s">
        <v>52</v>
      </c>
      <c r="BA158" s="12" t="str">
        <f>IF(AZ158="high","high","lower")</f>
        <v>high</v>
      </c>
      <c r="BB158" s="49">
        <v>0.90500000000000003</v>
      </c>
      <c r="BC158" s="12">
        <v>85.3</v>
      </c>
      <c r="BD158" s="12">
        <v>96.3</v>
      </c>
      <c r="BE158" s="12">
        <v>91.7</v>
      </c>
      <c r="BF158" s="12">
        <v>80</v>
      </c>
      <c r="BG158" s="18" t="s">
        <v>1034</v>
      </c>
      <c r="BH158" s="18" t="s">
        <v>1031</v>
      </c>
    </row>
    <row r="159" spans="1:60" ht="15.75" customHeight="1" x14ac:dyDescent="0.2">
      <c r="A159" s="11">
        <v>158</v>
      </c>
      <c r="B159" s="12">
        <v>2615</v>
      </c>
      <c r="C159" s="13" t="s">
        <v>297</v>
      </c>
      <c r="D159" s="13" t="s">
        <v>92</v>
      </c>
      <c r="E159" s="23">
        <v>2007</v>
      </c>
      <c r="F159" s="23">
        <v>2010</v>
      </c>
      <c r="G159" s="13" t="s">
        <v>77</v>
      </c>
      <c r="H159" s="13"/>
      <c r="I159" s="13" t="s">
        <v>94</v>
      </c>
      <c r="J159" s="13" t="s">
        <v>255</v>
      </c>
      <c r="K159" s="13"/>
      <c r="L159" s="15">
        <v>43.6</v>
      </c>
      <c r="M159" s="16">
        <v>72</v>
      </c>
      <c r="N159" s="13" t="s">
        <v>99</v>
      </c>
      <c r="O159" s="14"/>
      <c r="P159" s="12">
        <f>IF(Q159="", 0, 1)</f>
        <v>0</v>
      </c>
      <c r="Q159" s="19"/>
      <c r="R159" s="21"/>
      <c r="S159" s="21"/>
      <c r="T159" s="17"/>
      <c r="U159" s="17"/>
      <c r="V159" s="17"/>
      <c r="W159" s="17"/>
      <c r="X159" s="17"/>
      <c r="Y159" s="17"/>
      <c r="Z159" s="17"/>
      <c r="AA159" s="17"/>
      <c r="AB159" s="12">
        <f>IF(AC159="", 0, 1)</f>
        <v>1</v>
      </c>
      <c r="AC159" s="13">
        <v>500</v>
      </c>
      <c r="AD159" s="12">
        <v>161.80000000000001</v>
      </c>
      <c r="AE159" s="12">
        <v>114</v>
      </c>
      <c r="AF159" s="12">
        <v>149</v>
      </c>
      <c r="AG159" s="12">
        <v>54</v>
      </c>
      <c r="AH159" s="12">
        <v>263</v>
      </c>
      <c r="AI159" s="12"/>
      <c r="AJ159" s="12"/>
      <c r="AK159" s="12"/>
      <c r="AL159" s="12" t="str">
        <f>IF(AF159="", "mean", "med")</f>
        <v>med</v>
      </c>
      <c r="AM159" s="12">
        <f>IF(AF159="", AD159, AF159)</f>
        <v>149</v>
      </c>
      <c r="AN159" s="12">
        <f>IF(AO159="", 0, 1)</f>
        <v>0</v>
      </c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 t="s">
        <v>52</v>
      </c>
      <c r="BA159" s="12" t="str">
        <f>IF(AZ159="high","high","lower")</f>
        <v>high</v>
      </c>
      <c r="BB159" s="49">
        <v>0.90500000000000003</v>
      </c>
      <c r="BC159" s="12">
        <v>85.3</v>
      </c>
      <c r="BD159" s="12">
        <v>96.3</v>
      </c>
      <c r="BE159" s="12">
        <v>91.7</v>
      </c>
      <c r="BF159" s="12">
        <v>80</v>
      </c>
      <c r="BG159" s="18" t="s">
        <v>1034</v>
      </c>
      <c r="BH159" s="18" t="s">
        <v>1031</v>
      </c>
    </row>
    <row r="160" spans="1:60" ht="15.75" customHeight="1" x14ac:dyDescent="0.2">
      <c r="A160" s="11">
        <v>159</v>
      </c>
      <c r="B160" s="12">
        <v>2615</v>
      </c>
      <c r="C160" s="13" t="s">
        <v>297</v>
      </c>
      <c r="D160" s="13" t="s">
        <v>92</v>
      </c>
      <c r="E160" s="23">
        <v>2007</v>
      </c>
      <c r="F160" s="23">
        <v>2010</v>
      </c>
      <c r="G160" s="13" t="s">
        <v>77</v>
      </c>
      <c r="H160" s="13"/>
      <c r="I160" s="13" t="s">
        <v>54</v>
      </c>
      <c r="J160" s="13" t="s">
        <v>229</v>
      </c>
      <c r="K160" s="14" t="s">
        <v>288</v>
      </c>
      <c r="L160" s="15">
        <v>53.4</v>
      </c>
      <c r="M160" s="16">
        <v>73</v>
      </c>
      <c r="N160" s="13" t="s">
        <v>99</v>
      </c>
      <c r="O160" s="13"/>
      <c r="P160" s="12">
        <f>IF(Q160="", 0, 1)</f>
        <v>0</v>
      </c>
      <c r="Q160" s="15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2">
        <f>IF(AC160="", 0, 1)</f>
        <v>1</v>
      </c>
      <c r="AC160" s="13">
        <v>946</v>
      </c>
      <c r="AD160" s="12">
        <v>96.5</v>
      </c>
      <c r="AE160" s="12">
        <v>93.5</v>
      </c>
      <c r="AF160" s="12">
        <v>59</v>
      </c>
      <c r="AG160" s="12">
        <v>26</v>
      </c>
      <c r="AH160" s="12">
        <v>145</v>
      </c>
      <c r="AI160" s="12"/>
      <c r="AJ160" s="12"/>
      <c r="AK160" s="12"/>
      <c r="AL160" s="12" t="str">
        <f>IF(AF160="", "mean", "med")</f>
        <v>med</v>
      </c>
      <c r="AM160" s="12">
        <f>IF(AF160="", AD160, AF160)</f>
        <v>59</v>
      </c>
      <c r="AN160" s="12">
        <f>IF(AO160="", 0, 1)</f>
        <v>0</v>
      </c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 t="s">
        <v>52</v>
      </c>
      <c r="BA160" s="12" t="str">
        <f>IF(AZ160="high","high","lower")</f>
        <v>high</v>
      </c>
      <c r="BB160" s="49">
        <v>0.90500000000000003</v>
      </c>
      <c r="BC160" s="12">
        <v>85.3</v>
      </c>
      <c r="BD160" s="12">
        <v>96.3</v>
      </c>
      <c r="BE160" s="12">
        <v>91.7</v>
      </c>
      <c r="BF160" s="12">
        <v>80</v>
      </c>
      <c r="BG160" s="18" t="s">
        <v>1034</v>
      </c>
      <c r="BH160" s="18" t="s">
        <v>1031</v>
      </c>
    </row>
    <row r="161" spans="1:60" ht="15.75" customHeight="1" x14ac:dyDescent="0.2">
      <c r="A161" s="11">
        <v>160</v>
      </c>
      <c r="B161" s="12">
        <v>2615</v>
      </c>
      <c r="C161" s="13" t="s">
        <v>297</v>
      </c>
      <c r="D161" s="14" t="s">
        <v>92</v>
      </c>
      <c r="E161" s="23">
        <v>2007</v>
      </c>
      <c r="F161" s="23">
        <v>2010</v>
      </c>
      <c r="G161" s="13" t="s">
        <v>77</v>
      </c>
      <c r="H161" s="13"/>
      <c r="I161" s="13" t="s">
        <v>59</v>
      </c>
      <c r="J161" s="13" t="s">
        <v>154</v>
      </c>
      <c r="K161" s="13"/>
      <c r="L161" s="19">
        <v>100</v>
      </c>
      <c r="M161" s="16">
        <v>47</v>
      </c>
      <c r="N161" s="13" t="s">
        <v>99</v>
      </c>
      <c r="O161" s="14"/>
      <c r="P161" s="12">
        <f>IF(Q161="", 0, 1)</f>
        <v>0</v>
      </c>
      <c r="Q161" s="15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2">
        <f>IF(AC161="", 0, 1)</f>
        <v>1</v>
      </c>
      <c r="AC161" s="13">
        <v>104</v>
      </c>
      <c r="AD161" s="12">
        <v>54.5</v>
      </c>
      <c r="AE161" s="12">
        <v>50.8</v>
      </c>
      <c r="AF161" s="12">
        <v>41</v>
      </c>
      <c r="AG161" s="12">
        <v>20</v>
      </c>
      <c r="AH161" s="12">
        <v>66</v>
      </c>
      <c r="AI161" s="12"/>
      <c r="AJ161" s="12"/>
      <c r="AK161" s="12"/>
      <c r="AL161" s="12" t="str">
        <f>IF(AF161="", "mean", "med")</f>
        <v>med</v>
      </c>
      <c r="AM161" s="12">
        <f>IF(AF161="", AD161, AF161)</f>
        <v>41</v>
      </c>
      <c r="AN161" s="12">
        <f>IF(AO161="", 0, 1)</f>
        <v>0</v>
      </c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 t="s">
        <v>52</v>
      </c>
      <c r="BA161" s="12" t="str">
        <f>IF(AZ161="high","high","lower")</f>
        <v>high</v>
      </c>
      <c r="BB161" s="49">
        <v>0.90500000000000003</v>
      </c>
      <c r="BC161" s="12">
        <v>85.3</v>
      </c>
      <c r="BD161" s="12">
        <v>96.3</v>
      </c>
      <c r="BE161" s="12">
        <v>91.7</v>
      </c>
      <c r="BF161" s="12">
        <v>80</v>
      </c>
      <c r="BG161" s="18" t="s">
        <v>1034</v>
      </c>
      <c r="BH161" s="18" t="s">
        <v>1031</v>
      </c>
    </row>
    <row r="162" spans="1:60" ht="15.75" customHeight="1" x14ac:dyDescent="0.2">
      <c r="A162" s="11">
        <v>161</v>
      </c>
      <c r="B162" s="12">
        <v>2615</v>
      </c>
      <c r="C162" s="13" t="s">
        <v>297</v>
      </c>
      <c r="D162" s="13" t="s">
        <v>92</v>
      </c>
      <c r="E162" s="23">
        <v>2007</v>
      </c>
      <c r="F162" s="23">
        <v>2010</v>
      </c>
      <c r="G162" s="13" t="s">
        <v>77</v>
      </c>
      <c r="H162" s="13"/>
      <c r="I162" s="13" t="s">
        <v>54</v>
      </c>
      <c r="J162" s="13" t="s">
        <v>229</v>
      </c>
      <c r="K162" s="13" t="s">
        <v>224</v>
      </c>
      <c r="L162" s="19">
        <v>33.4</v>
      </c>
      <c r="M162" s="16">
        <v>72</v>
      </c>
      <c r="N162" s="13" t="s">
        <v>99</v>
      </c>
      <c r="O162" s="14"/>
      <c r="P162" s="12">
        <f>IF(Q162="", 0, 1)</f>
        <v>0</v>
      </c>
      <c r="Q162" s="15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2">
        <f>IF(AC162="", 0, 1)</f>
        <v>1</v>
      </c>
      <c r="AC162" s="13">
        <v>1389</v>
      </c>
      <c r="AD162" s="12">
        <v>125.6</v>
      </c>
      <c r="AE162" s="12">
        <v>108.2</v>
      </c>
      <c r="AF162" s="12">
        <v>83</v>
      </c>
      <c r="AG162" s="12">
        <v>35</v>
      </c>
      <c r="AH162" s="12">
        <v>207</v>
      </c>
      <c r="AI162" s="12"/>
      <c r="AJ162" s="12"/>
      <c r="AK162" s="12"/>
      <c r="AL162" s="12" t="str">
        <f>IF(AF162="", "mean", "med")</f>
        <v>med</v>
      </c>
      <c r="AM162" s="12">
        <f>IF(AF162="", AD162, AF162)</f>
        <v>83</v>
      </c>
      <c r="AN162" s="12">
        <f>IF(AO162="", 0, 1)</f>
        <v>0</v>
      </c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 t="s">
        <v>52</v>
      </c>
      <c r="BA162" s="12" t="str">
        <f>IF(AZ162="high","high","lower")</f>
        <v>high</v>
      </c>
      <c r="BB162" s="49">
        <v>0.90500000000000003</v>
      </c>
      <c r="BC162" s="12">
        <v>85.3</v>
      </c>
      <c r="BD162" s="12">
        <v>96.3</v>
      </c>
      <c r="BE162" s="12">
        <v>91.7</v>
      </c>
      <c r="BF162" s="12">
        <v>80</v>
      </c>
      <c r="BG162" s="18" t="s">
        <v>1034</v>
      </c>
      <c r="BH162" s="18" t="s">
        <v>1031</v>
      </c>
    </row>
    <row r="163" spans="1:60" ht="15.75" customHeight="1" x14ac:dyDescent="0.2">
      <c r="A163" s="11">
        <v>162</v>
      </c>
      <c r="B163" s="22">
        <v>2642</v>
      </c>
      <c r="C163" s="13" t="s">
        <v>300</v>
      </c>
      <c r="D163" s="14" t="s">
        <v>38</v>
      </c>
      <c r="E163" s="23">
        <v>2005</v>
      </c>
      <c r="F163" s="23">
        <v>2005</v>
      </c>
      <c r="G163" s="13" t="s">
        <v>131</v>
      </c>
      <c r="H163" s="13"/>
      <c r="I163" s="13" t="s">
        <v>54</v>
      </c>
      <c r="J163" s="14" t="s">
        <v>55</v>
      </c>
      <c r="K163" s="14"/>
      <c r="L163" s="15">
        <v>51</v>
      </c>
      <c r="M163" s="16">
        <v>69.5</v>
      </c>
      <c r="N163" s="13" t="s">
        <v>42</v>
      </c>
      <c r="O163" s="13"/>
      <c r="P163" s="12">
        <f>IF(Q163="", 0, 1)</f>
        <v>0</v>
      </c>
      <c r="Q163" s="19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2">
        <f>IF(AC163="", 0, 1)</f>
        <v>0</v>
      </c>
      <c r="AC163" s="13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>
        <f>IF(AO163="", 0, 1)</f>
        <v>1</v>
      </c>
      <c r="AO163" s="12">
        <v>272</v>
      </c>
      <c r="AP163" s="12">
        <v>13.8</v>
      </c>
      <c r="AQ163" s="12">
        <v>21.6</v>
      </c>
      <c r="AR163" s="12">
        <v>6</v>
      </c>
      <c r="AS163" s="12"/>
      <c r="AT163" s="12"/>
      <c r="AU163" s="12"/>
      <c r="AV163" s="12"/>
      <c r="AW163" s="12"/>
      <c r="AX163" s="12" t="str">
        <f>IF(AR163="", "mean", "med")</f>
        <v>med</v>
      </c>
      <c r="AY163" s="12">
        <f>IF(AR163="", AP163, AR163)</f>
        <v>6</v>
      </c>
      <c r="AZ163" s="12" t="s">
        <v>52</v>
      </c>
      <c r="BA163" s="12" t="str">
        <f>IF(AZ163="high","high","lower")</f>
        <v>high</v>
      </c>
      <c r="BB163" s="49">
        <v>0.89700000000000002</v>
      </c>
      <c r="BC163" s="12">
        <v>89.9</v>
      </c>
      <c r="BD163" s="12">
        <v>94</v>
      </c>
      <c r="BE163" s="12">
        <v>100</v>
      </c>
      <c r="BF163" s="12">
        <v>92.1</v>
      </c>
      <c r="BG163" s="18" t="s">
        <v>1030</v>
      </c>
      <c r="BH163" s="18" t="s">
        <v>1031</v>
      </c>
    </row>
    <row r="164" spans="1:60" ht="15.75" customHeight="1" x14ac:dyDescent="0.2">
      <c r="A164" s="11">
        <v>163</v>
      </c>
      <c r="B164" s="12">
        <v>2644</v>
      </c>
      <c r="C164" s="13" t="s">
        <v>301</v>
      </c>
      <c r="D164" s="14" t="s">
        <v>302</v>
      </c>
      <c r="E164" s="23">
        <v>2014</v>
      </c>
      <c r="F164" s="23">
        <v>2016</v>
      </c>
      <c r="G164" s="13" t="s">
        <v>131</v>
      </c>
      <c r="H164" s="13"/>
      <c r="I164" s="13" t="s">
        <v>40</v>
      </c>
      <c r="J164" s="13" t="s">
        <v>40</v>
      </c>
      <c r="K164" s="14"/>
      <c r="L164" s="19">
        <v>100</v>
      </c>
      <c r="M164" s="20" t="s">
        <v>41</v>
      </c>
      <c r="N164" s="13" t="s">
        <v>42</v>
      </c>
      <c r="O164" s="13" t="s">
        <v>90</v>
      </c>
      <c r="P164" s="12">
        <f>IF(Q164="", 0, 1)</f>
        <v>1</v>
      </c>
      <c r="Q164" s="15">
        <f>(11728+11001+11201)-Q166</f>
        <v>32259.136999999999</v>
      </c>
      <c r="R164" s="17"/>
      <c r="S164" s="17"/>
      <c r="T164" s="17">
        <v>23</v>
      </c>
      <c r="U164" s="17">
        <v>18</v>
      </c>
      <c r="V164" s="17">
        <v>31</v>
      </c>
      <c r="W164" s="17"/>
      <c r="X164" s="17"/>
      <c r="Y164" s="17"/>
      <c r="Z164" s="17" t="str">
        <f>IF(T164="", "mean", "med")</f>
        <v>med</v>
      </c>
      <c r="AA164" s="17">
        <f>IF(T164="", R164, T164)</f>
        <v>23</v>
      </c>
      <c r="AB164" s="12">
        <f>IF(AC164="", 0, 1)</f>
        <v>0</v>
      </c>
      <c r="AC164" s="13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>
        <f>IF(AO164="", 0, 1)</f>
        <v>0</v>
      </c>
      <c r="AO164" s="22"/>
      <c r="AP164" s="12"/>
      <c r="AQ164" s="12"/>
      <c r="AR164" s="22"/>
      <c r="AS164" s="12"/>
      <c r="AT164" s="12"/>
      <c r="AU164" s="12"/>
      <c r="AV164" s="12"/>
      <c r="AW164" s="12"/>
      <c r="AX164" s="12"/>
      <c r="AY164" s="12"/>
      <c r="AZ164" s="12" t="s">
        <v>52</v>
      </c>
      <c r="BA164" s="12" t="str">
        <f>IF(AZ164="high","high","lower")</f>
        <v>high</v>
      </c>
      <c r="BB164" s="49">
        <v>0.93400000000000005</v>
      </c>
      <c r="BC164" s="12">
        <v>89.9</v>
      </c>
      <c r="BD164" s="12">
        <v>94</v>
      </c>
      <c r="BE164" s="12">
        <v>100</v>
      </c>
      <c r="BF164" s="12">
        <v>92.1</v>
      </c>
      <c r="BG164" s="18" t="s">
        <v>1030</v>
      </c>
      <c r="BH164" s="18" t="s">
        <v>1031</v>
      </c>
    </row>
    <row r="165" spans="1:60" ht="15.75" customHeight="1" x14ac:dyDescent="0.2">
      <c r="A165" s="11">
        <v>164</v>
      </c>
      <c r="B165" s="12">
        <v>2644</v>
      </c>
      <c r="C165" s="13" t="s">
        <v>301</v>
      </c>
      <c r="D165" s="13" t="s">
        <v>303</v>
      </c>
      <c r="E165" s="23">
        <v>2014</v>
      </c>
      <c r="F165" s="23">
        <v>2016</v>
      </c>
      <c r="G165" s="13" t="s">
        <v>131</v>
      </c>
      <c r="H165" s="13"/>
      <c r="I165" s="13" t="s">
        <v>40</v>
      </c>
      <c r="J165" s="13" t="s">
        <v>40</v>
      </c>
      <c r="K165" s="13"/>
      <c r="L165" s="15">
        <v>100</v>
      </c>
      <c r="M165" s="16" t="s">
        <v>41</v>
      </c>
      <c r="N165" s="13" t="s">
        <v>42</v>
      </c>
      <c r="O165" s="13" t="s">
        <v>304</v>
      </c>
      <c r="P165" s="12">
        <f>IF(Q165="", 0, 1)</f>
        <v>1</v>
      </c>
      <c r="Q165" s="15">
        <f>(2147+2729+2607)-Q167</f>
        <v>5630.0069999999996</v>
      </c>
      <c r="R165" s="17"/>
      <c r="S165" s="17"/>
      <c r="T165" s="17">
        <v>27</v>
      </c>
      <c r="U165" s="17">
        <v>21</v>
      </c>
      <c r="V165" s="17">
        <v>33</v>
      </c>
      <c r="W165" s="17"/>
      <c r="X165" s="17"/>
      <c r="Y165" s="17"/>
      <c r="Z165" s="17" t="str">
        <f>IF(T165="", "mean", "med")</f>
        <v>med</v>
      </c>
      <c r="AA165" s="17">
        <f>IF(T165="", R165, T165)</f>
        <v>27</v>
      </c>
      <c r="AB165" s="12">
        <f>IF(AC165="", 0, 1)</f>
        <v>0</v>
      </c>
      <c r="AC165" s="13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>
        <f>IF(AO165="", 0, 1)</f>
        <v>0</v>
      </c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 t="s">
        <v>52</v>
      </c>
      <c r="BA165" s="12" t="str">
        <f>IF(AZ165="high","high","lower")</f>
        <v>high</v>
      </c>
      <c r="BB165" s="49">
        <v>0.93400000000000005</v>
      </c>
      <c r="BC165" s="12">
        <v>89.9</v>
      </c>
      <c r="BD165" s="12">
        <v>94</v>
      </c>
      <c r="BE165" s="12">
        <v>100</v>
      </c>
      <c r="BF165" s="12">
        <v>92.1</v>
      </c>
      <c r="BG165" s="18" t="s">
        <v>1030</v>
      </c>
      <c r="BH165" s="18" t="s">
        <v>1031</v>
      </c>
    </row>
    <row r="166" spans="1:60" ht="15.75" customHeight="1" x14ac:dyDescent="0.2">
      <c r="A166" s="11">
        <v>165</v>
      </c>
      <c r="B166" s="12">
        <v>2644</v>
      </c>
      <c r="C166" s="13" t="s">
        <v>301</v>
      </c>
      <c r="D166" s="14" t="s">
        <v>305</v>
      </c>
      <c r="E166" s="23">
        <v>2014</v>
      </c>
      <c r="F166" s="23">
        <v>2016</v>
      </c>
      <c r="G166" s="13" t="s">
        <v>131</v>
      </c>
      <c r="H166" s="13"/>
      <c r="I166" s="13" t="s">
        <v>40</v>
      </c>
      <c r="J166" s="13" t="s">
        <v>40</v>
      </c>
      <c r="K166" s="13"/>
      <c r="L166" s="15">
        <v>100</v>
      </c>
      <c r="M166" s="16" t="s">
        <v>41</v>
      </c>
      <c r="N166" s="13" t="s">
        <v>42</v>
      </c>
      <c r="O166" s="14" t="s">
        <v>90</v>
      </c>
      <c r="P166" s="12">
        <f>IF(Q166="", 0, 1)</f>
        <v>1</v>
      </c>
      <c r="Q166" s="15">
        <f>0.045*11728+0.053*11001+0.05*11201</f>
        <v>1670.8630000000003</v>
      </c>
      <c r="R166" s="17"/>
      <c r="S166" s="17"/>
      <c r="T166" s="17">
        <v>32</v>
      </c>
      <c r="U166" s="17">
        <v>23</v>
      </c>
      <c r="V166" s="17">
        <v>45</v>
      </c>
      <c r="W166" s="17"/>
      <c r="X166" s="17"/>
      <c r="Y166" s="17"/>
      <c r="Z166" s="17" t="str">
        <f>IF(T166="", "mean", "med")</f>
        <v>med</v>
      </c>
      <c r="AA166" s="17">
        <f>IF(T166="", R166, T166)</f>
        <v>32</v>
      </c>
      <c r="AB166" s="12">
        <f>IF(AC166="", 0, 1)</f>
        <v>0</v>
      </c>
      <c r="AC166" s="13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>
        <f>IF(AO166="", 0, 1)</f>
        <v>0</v>
      </c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 t="s">
        <v>52</v>
      </c>
      <c r="BA166" s="12" t="str">
        <f>IF(AZ166="high","high","lower")</f>
        <v>high</v>
      </c>
      <c r="BB166" s="49">
        <v>0.93400000000000005</v>
      </c>
      <c r="BC166" s="12">
        <v>89.9</v>
      </c>
      <c r="BD166" s="12">
        <v>94</v>
      </c>
      <c r="BE166" s="12">
        <v>100</v>
      </c>
      <c r="BF166" s="12">
        <v>92.1</v>
      </c>
      <c r="BG166" s="18" t="s">
        <v>1030</v>
      </c>
      <c r="BH166" s="18" t="s">
        <v>1031</v>
      </c>
    </row>
    <row r="167" spans="1:60" ht="15.75" customHeight="1" x14ac:dyDescent="0.2">
      <c r="A167" s="11">
        <v>166</v>
      </c>
      <c r="B167" s="12">
        <v>2644</v>
      </c>
      <c r="C167" s="13" t="s">
        <v>301</v>
      </c>
      <c r="D167" s="13" t="s">
        <v>306</v>
      </c>
      <c r="E167" s="23">
        <v>2014</v>
      </c>
      <c r="F167" s="23">
        <v>2016</v>
      </c>
      <c r="G167" s="13" t="s">
        <v>131</v>
      </c>
      <c r="H167" s="13"/>
      <c r="I167" s="13" t="s">
        <v>40</v>
      </c>
      <c r="J167" s="13" t="s">
        <v>40</v>
      </c>
      <c r="K167" s="13"/>
      <c r="L167" s="15">
        <v>100</v>
      </c>
      <c r="M167" s="20" t="s">
        <v>41</v>
      </c>
      <c r="N167" s="13" t="s">
        <v>42</v>
      </c>
      <c r="O167" s="13" t="s">
        <v>304</v>
      </c>
      <c r="P167" s="12">
        <f>IF(Q167="", 0, 1)</f>
        <v>1</v>
      </c>
      <c r="Q167" s="15">
        <f>0.307*2147+0.298*2729+0.146*2607</f>
        <v>1852.9929999999999</v>
      </c>
      <c r="R167" s="17"/>
      <c r="S167" s="17"/>
      <c r="T167" s="17">
        <v>28</v>
      </c>
      <c r="U167" s="17">
        <v>22</v>
      </c>
      <c r="V167" s="17">
        <v>36</v>
      </c>
      <c r="W167" s="17"/>
      <c r="X167" s="21"/>
      <c r="Y167" s="21"/>
      <c r="Z167" s="17" t="str">
        <f>IF(T167="", "mean", "med")</f>
        <v>med</v>
      </c>
      <c r="AA167" s="17">
        <f>IF(T167="", R167, T167)</f>
        <v>28</v>
      </c>
      <c r="AB167" s="12">
        <f>IF(AC167="", 0, 1)</f>
        <v>0</v>
      </c>
      <c r="AC167" s="13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>
        <f>IF(AO167="", 0, 1)</f>
        <v>0</v>
      </c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 t="s">
        <v>52</v>
      </c>
      <c r="BA167" s="12" t="str">
        <f>IF(AZ167="high","high","lower")</f>
        <v>high</v>
      </c>
      <c r="BB167" s="49">
        <v>0.93400000000000005</v>
      </c>
      <c r="BC167" s="12">
        <v>89.9</v>
      </c>
      <c r="BD167" s="12">
        <v>94</v>
      </c>
      <c r="BE167" s="12">
        <v>100</v>
      </c>
      <c r="BF167" s="12">
        <v>92.1</v>
      </c>
      <c r="BG167" s="18" t="s">
        <v>1030</v>
      </c>
      <c r="BH167" s="18" t="s">
        <v>1031</v>
      </c>
    </row>
    <row r="168" spans="1:60" ht="15.75" customHeight="1" x14ac:dyDescent="0.2">
      <c r="A168" s="11">
        <v>167</v>
      </c>
      <c r="B168" s="12">
        <v>2649</v>
      </c>
      <c r="C168" s="13" t="s">
        <v>307</v>
      </c>
      <c r="D168" s="13" t="s">
        <v>40</v>
      </c>
      <c r="E168" s="23">
        <v>2007</v>
      </c>
      <c r="F168" s="23">
        <v>2011</v>
      </c>
      <c r="G168" s="13" t="s">
        <v>131</v>
      </c>
      <c r="H168" s="13"/>
      <c r="I168" s="13" t="s">
        <v>40</v>
      </c>
      <c r="J168" s="13" t="s">
        <v>40</v>
      </c>
      <c r="K168" s="13"/>
      <c r="L168" s="19">
        <v>100</v>
      </c>
      <c r="M168" s="16">
        <v>54</v>
      </c>
      <c r="N168" s="13" t="s">
        <v>42</v>
      </c>
      <c r="O168" s="13" t="s">
        <v>41</v>
      </c>
      <c r="P168" s="12">
        <f>IF(Q168="", 0, 1)</f>
        <v>1</v>
      </c>
      <c r="Q168" s="15">
        <v>284</v>
      </c>
      <c r="R168" s="17"/>
      <c r="S168" s="17"/>
      <c r="T168" s="17">
        <v>21</v>
      </c>
      <c r="U168" s="17">
        <v>15</v>
      </c>
      <c r="V168" s="17">
        <v>28</v>
      </c>
      <c r="W168" s="17"/>
      <c r="X168" s="17">
        <v>1</v>
      </c>
      <c r="Y168" s="17">
        <v>98</v>
      </c>
      <c r="Z168" s="17" t="str">
        <f>IF(T168="", "mean", "med")</f>
        <v>med</v>
      </c>
      <c r="AA168" s="17">
        <f>IF(T168="", R168, T168)</f>
        <v>21</v>
      </c>
      <c r="AB168" s="12">
        <f>IF(AC168="", 0, 1)</f>
        <v>1</v>
      </c>
      <c r="AC168" s="13">
        <v>301</v>
      </c>
      <c r="AD168" s="12"/>
      <c r="AE168" s="12"/>
      <c r="AF168" s="12">
        <v>7</v>
      </c>
      <c r="AG168" s="12">
        <v>3</v>
      </c>
      <c r="AH168" s="12">
        <v>13</v>
      </c>
      <c r="AI168" s="12"/>
      <c r="AJ168" s="12">
        <v>1</v>
      </c>
      <c r="AK168" s="12">
        <v>583</v>
      </c>
      <c r="AL168" s="12" t="str">
        <f>IF(AF168="", "mean", "med")</f>
        <v>med</v>
      </c>
      <c r="AM168" s="12">
        <f>IF(AF168="", AD168, AF168)</f>
        <v>7</v>
      </c>
      <c r="AN168" s="12">
        <f>IF(AO168="", 0, 1)</f>
        <v>0</v>
      </c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 t="s">
        <v>52</v>
      </c>
      <c r="BA168" s="12" t="str">
        <f>IF(AZ168="high","high","lower")</f>
        <v>high</v>
      </c>
      <c r="BB168" s="49">
        <v>0.91600000000000004</v>
      </c>
      <c r="BC168" s="12">
        <v>89.9</v>
      </c>
      <c r="BD168" s="12">
        <v>94</v>
      </c>
      <c r="BE168" s="12">
        <v>100</v>
      </c>
      <c r="BF168" s="12">
        <v>92.1</v>
      </c>
      <c r="BG168" s="18" t="s">
        <v>1034</v>
      </c>
      <c r="BH168" s="18" t="s">
        <v>1031</v>
      </c>
    </row>
    <row r="169" spans="1:60" ht="15.75" customHeight="1" x14ac:dyDescent="0.2">
      <c r="A169" s="11">
        <v>168</v>
      </c>
      <c r="B169" s="12">
        <v>2649</v>
      </c>
      <c r="C169" s="13" t="s">
        <v>307</v>
      </c>
      <c r="D169" s="13" t="s">
        <v>55</v>
      </c>
      <c r="E169" s="23">
        <v>2007</v>
      </c>
      <c r="F169" s="23">
        <v>2011</v>
      </c>
      <c r="G169" s="13" t="s">
        <v>131</v>
      </c>
      <c r="H169" s="13"/>
      <c r="I169" s="13" t="s">
        <v>54</v>
      </c>
      <c r="J169" s="13" t="s">
        <v>55</v>
      </c>
      <c r="K169" s="14"/>
      <c r="L169" s="15">
        <v>49.8</v>
      </c>
      <c r="M169" s="16">
        <v>68</v>
      </c>
      <c r="N169" s="13" t="s">
        <v>42</v>
      </c>
      <c r="O169" s="13" t="s">
        <v>41</v>
      </c>
      <c r="P169" s="12">
        <f>IF(Q169="", 0, 1)</f>
        <v>1</v>
      </c>
      <c r="Q169" s="15">
        <v>295</v>
      </c>
      <c r="R169" s="17"/>
      <c r="S169" s="17"/>
      <c r="T169" s="17">
        <v>27</v>
      </c>
      <c r="U169" s="17">
        <v>15</v>
      </c>
      <c r="V169" s="17">
        <v>39</v>
      </c>
      <c r="W169" s="17"/>
      <c r="X169" s="17">
        <v>1</v>
      </c>
      <c r="Y169" s="17">
        <v>78</v>
      </c>
      <c r="Z169" s="17" t="str">
        <f>IF(T169="", "mean", "med")</f>
        <v>med</v>
      </c>
      <c r="AA169" s="17">
        <f>IF(T169="", R169, T169)</f>
        <v>27</v>
      </c>
      <c r="AB169" s="12">
        <f>IF(AC169="", 0, 1)</f>
        <v>1</v>
      </c>
      <c r="AC169" s="13">
        <v>309</v>
      </c>
      <c r="AD169" s="12"/>
      <c r="AE169" s="12"/>
      <c r="AF169" s="12">
        <v>54</v>
      </c>
      <c r="AG169" s="12">
        <v>21</v>
      </c>
      <c r="AH169" s="12">
        <v>116</v>
      </c>
      <c r="AI169" s="12"/>
      <c r="AJ169" s="12">
        <v>1</v>
      </c>
      <c r="AK169" s="12">
        <v>1226</v>
      </c>
      <c r="AL169" s="12" t="str">
        <f>IF(AF169="", "mean", "med")</f>
        <v>med</v>
      </c>
      <c r="AM169" s="12">
        <f>IF(AF169="", AD169, AF169)</f>
        <v>54</v>
      </c>
      <c r="AN169" s="12">
        <f>IF(AO169="", 0, 1)</f>
        <v>0</v>
      </c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 t="s">
        <v>52</v>
      </c>
      <c r="BA169" s="12" t="str">
        <f>IF(AZ169="high","high","lower")</f>
        <v>high</v>
      </c>
      <c r="BB169" s="49">
        <v>0.91600000000000004</v>
      </c>
      <c r="BC169" s="12">
        <v>89.9</v>
      </c>
      <c r="BD169" s="12">
        <v>94</v>
      </c>
      <c r="BE169" s="12">
        <v>100</v>
      </c>
      <c r="BF169" s="12">
        <v>92.1</v>
      </c>
      <c r="BG169" s="18" t="s">
        <v>1034</v>
      </c>
      <c r="BH169" s="18" t="s">
        <v>1031</v>
      </c>
    </row>
    <row r="170" spans="1:60" ht="15.75" customHeight="1" x14ac:dyDescent="0.2">
      <c r="A170" s="11">
        <v>169</v>
      </c>
      <c r="B170" s="12">
        <v>2649</v>
      </c>
      <c r="C170" s="13" t="s">
        <v>307</v>
      </c>
      <c r="D170" s="13" t="s">
        <v>203</v>
      </c>
      <c r="E170" s="23">
        <v>2007</v>
      </c>
      <c r="F170" s="23">
        <v>2011</v>
      </c>
      <c r="G170" s="13" t="s">
        <v>131</v>
      </c>
      <c r="H170" s="13"/>
      <c r="I170" s="13" t="s">
        <v>57</v>
      </c>
      <c r="J170" s="13" t="s">
        <v>58</v>
      </c>
      <c r="K170" s="14"/>
      <c r="L170" s="15">
        <v>46.2</v>
      </c>
      <c r="M170" s="16">
        <v>68</v>
      </c>
      <c r="N170" s="13" t="s">
        <v>42</v>
      </c>
      <c r="O170" s="13" t="s">
        <v>41</v>
      </c>
      <c r="P170" s="12">
        <f>IF(Q170="", 0, 1)</f>
        <v>1</v>
      </c>
      <c r="Q170" s="15">
        <v>139</v>
      </c>
      <c r="R170" s="17"/>
      <c r="S170" s="17"/>
      <c r="T170" s="17">
        <v>22</v>
      </c>
      <c r="U170" s="17">
        <v>9</v>
      </c>
      <c r="V170" s="17">
        <v>38</v>
      </c>
      <c r="W170" s="17"/>
      <c r="X170" s="17">
        <v>1</v>
      </c>
      <c r="Y170" s="17">
        <v>105</v>
      </c>
      <c r="Z170" s="17" t="str">
        <f>IF(T170="", "mean", "med")</f>
        <v>med</v>
      </c>
      <c r="AA170" s="17">
        <f>IF(T170="", R170, T170)</f>
        <v>22</v>
      </c>
      <c r="AB170" s="12">
        <f>IF(AC170="", 0, 1)</f>
        <v>1</v>
      </c>
      <c r="AC170" s="13">
        <v>197</v>
      </c>
      <c r="AD170" s="12"/>
      <c r="AE170" s="12"/>
      <c r="AF170" s="12">
        <v>49</v>
      </c>
      <c r="AG170" s="12">
        <v>23</v>
      </c>
      <c r="AH170" s="12">
        <v>83</v>
      </c>
      <c r="AI170" s="12"/>
      <c r="AJ170" s="12">
        <v>3</v>
      </c>
      <c r="AK170" s="12">
        <v>513</v>
      </c>
      <c r="AL170" s="12" t="str">
        <f>IF(AF170="", "mean", "med")</f>
        <v>med</v>
      </c>
      <c r="AM170" s="12">
        <f>IF(AF170="", AD170, AF170)</f>
        <v>49</v>
      </c>
      <c r="AN170" s="12">
        <f>IF(AO170="", 0, 1)</f>
        <v>0</v>
      </c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 t="s">
        <v>52</v>
      </c>
      <c r="BA170" s="12" t="str">
        <f>IF(AZ170="high","high","lower")</f>
        <v>high</v>
      </c>
      <c r="BB170" s="49">
        <v>0.91600000000000004</v>
      </c>
      <c r="BC170" s="12">
        <v>89.9</v>
      </c>
      <c r="BD170" s="12">
        <v>94</v>
      </c>
      <c r="BE170" s="12">
        <v>100</v>
      </c>
      <c r="BF170" s="12">
        <v>92.1</v>
      </c>
      <c r="BG170" s="18" t="s">
        <v>1034</v>
      </c>
      <c r="BH170" s="18" t="s">
        <v>1031</v>
      </c>
    </row>
    <row r="171" spans="1:60" ht="15.75" customHeight="1" x14ac:dyDescent="0.2">
      <c r="A171" s="11">
        <v>170</v>
      </c>
      <c r="B171" s="12">
        <v>2649</v>
      </c>
      <c r="C171" s="13" t="s">
        <v>307</v>
      </c>
      <c r="D171" s="13" t="s">
        <v>308</v>
      </c>
      <c r="E171" s="23">
        <v>2004</v>
      </c>
      <c r="F171" s="23">
        <v>2011</v>
      </c>
      <c r="G171" s="13" t="s">
        <v>131</v>
      </c>
      <c r="H171" s="13"/>
      <c r="I171" s="13" t="s">
        <v>70</v>
      </c>
      <c r="J171" s="13" t="s">
        <v>119</v>
      </c>
      <c r="K171" s="13"/>
      <c r="L171" s="15">
        <v>55</v>
      </c>
      <c r="M171" s="16">
        <v>55</v>
      </c>
      <c r="N171" s="13" t="s">
        <v>42</v>
      </c>
      <c r="O171" s="13" t="s">
        <v>41</v>
      </c>
      <c r="P171" s="12">
        <f>IF(Q171="", 0, 1)</f>
        <v>1</v>
      </c>
      <c r="Q171" s="15">
        <v>23</v>
      </c>
      <c r="R171" s="21"/>
      <c r="S171" s="17"/>
      <c r="T171" s="17">
        <v>29</v>
      </c>
      <c r="U171" s="17">
        <v>19</v>
      </c>
      <c r="V171" s="17">
        <v>39</v>
      </c>
      <c r="W171" s="17"/>
      <c r="X171" s="17">
        <v>8</v>
      </c>
      <c r="Y171" s="17">
        <v>419</v>
      </c>
      <c r="Z171" s="17" t="str">
        <f>IF(T171="", "mean", "med")</f>
        <v>med</v>
      </c>
      <c r="AA171" s="17">
        <f>IF(T171="", R171, T171)</f>
        <v>29</v>
      </c>
      <c r="AB171" s="12">
        <f>IF(AC171="", 0, 1)</f>
        <v>1</v>
      </c>
      <c r="AC171" s="13">
        <v>38</v>
      </c>
      <c r="AD171" s="12"/>
      <c r="AE171" s="12"/>
      <c r="AF171" s="12">
        <v>17</v>
      </c>
      <c r="AG171" s="12">
        <v>8</v>
      </c>
      <c r="AH171" s="12">
        <v>65</v>
      </c>
      <c r="AI171" s="12"/>
      <c r="AJ171" s="12">
        <v>1</v>
      </c>
      <c r="AK171" s="12">
        <v>1291</v>
      </c>
      <c r="AL171" s="12" t="str">
        <f>IF(AF171="", "mean", "med")</f>
        <v>med</v>
      </c>
      <c r="AM171" s="12">
        <f>IF(AF171="", AD171, AF171)</f>
        <v>17</v>
      </c>
      <c r="AN171" s="12">
        <f>IF(AO171="", 0, 1)</f>
        <v>0</v>
      </c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 t="s">
        <v>52</v>
      </c>
      <c r="BA171" s="12" t="str">
        <f>IF(AZ171="high","high","lower")</f>
        <v>high</v>
      </c>
      <c r="BB171" s="49">
        <v>0.90900000000000003</v>
      </c>
      <c r="BC171" s="12">
        <v>89.9</v>
      </c>
      <c r="BD171" s="12">
        <v>94</v>
      </c>
      <c r="BE171" s="12">
        <v>100</v>
      </c>
      <c r="BF171" s="12">
        <v>92.1</v>
      </c>
      <c r="BG171" s="18" t="s">
        <v>1034</v>
      </c>
      <c r="BH171" s="18" t="s">
        <v>1031</v>
      </c>
    </row>
    <row r="172" spans="1:60" ht="15.75" customHeight="1" x14ac:dyDescent="0.2">
      <c r="A172" s="11">
        <v>171</v>
      </c>
      <c r="B172" s="12">
        <v>2649</v>
      </c>
      <c r="C172" s="13" t="s">
        <v>307</v>
      </c>
      <c r="D172" s="13" t="s">
        <v>309</v>
      </c>
      <c r="E172" s="23">
        <v>2004</v>
      </c>
      <c r="F172" s="23">
        <v>2011</v>
      </c>
      <c r="G172" s="13" t="s">
        <v>131</v>
      </c>
      <c r="H172" s="13"/>
      <c r="I172" s="13" t="s">
        <v>70</v>
      </c>
      <c r="J172" s="13" t="s">
        <v>119</v>
      </c>
      <c r="K172" s="13"/>
      <c r="L172" s="15">
        <v>55</v>
      </c>
      <c r="M172" s="16">
        <v>55</v>
      </c>
      <c r="N172" s="13" t="s">
        <v>42</v>
      </c>
      <c r="O172" s="13" t="s">
        <v>41</v>
      </c>
      <c r="P172" s="12">
        <f>IF(Q172="", 0, 1)</f>
        <v>1</v>
      </c>
      <c r="Q172" s="15">
        <v>92</v>
      </c>
      <c r="R172" s="17"/>
      <c r="S172" s="17"/>
      <c r="T172" s="17">
        <v>35</v>
      </c>
      <c r="U172" s="17">
        <v>22</v>
      </c>
      <c r="V172" s="17">
        <v>46</v>
      </c>
      <c r="W172" s="17"/>
      <c r="X172" s="17">
        <v>1</v>
      </c>
      <c r="Y172" s="17">
        <v>108</v>
      </c>
      <c r="Z172" s="17" t="str">
        <f>IF(T172="", "mean", "med")</f>
        <v>med</v>
      </c>
      <c r="AA172" s="17">
        <f>IF(T172="", R172, T172)</f>
        <v>35</v>
      </c>
      <c r="AB172" s="12">
        <f>IF(AC172="", 0, 1)</f>
        <v>1</v>
      </c>
      <c r="AC172" s="13">
        <v>111</v>
      </c>
      <c r="AD172" s="12"/>
      <c r="AE172" s="12"/>
      <c r="AF172" s="12">
        <v>21</v>
      </c>
      <c r="AG172" s="12">
        <v>9</v>
      </c>
      <c r="AH172" s="12">
        <v>50</v>
      </c>
      <c r="AI172" s="12"/>
      <c r="AJ172" s="12">
        <v>1</v>
      </c>
      <c r="AK172" s="12">
        <v>996</v>
      </c>
      <c r="AL172" s="12" t="str">
        <f>IF(AF172="", "mean", "med")</f>
        <v>med</v>
      </c>
      <c r="AM172" s="12">
        <f>IF(AF172="", AD172, AF172)</f>
        <v>21</v>
      </c>
      <c r="AN172" s="12">
        <f>IF(AO172="", 0, 1)</f>
        <v>0</v>
      </c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 t="s">
        <v>52</v>
      </c>
      <c r="BA172" s="12" t="str">
        <f>IF(AZ172="high","high","lower")</f>
        <v>high</v>
      </c>
      <c r="BB172" s="49">
        <v>0.90900000000000003</v>
      </c>
      <c r="BC172" s="12">
        <v>89.9</v>
      </c>
      <c r="BD172" s="12">
        <v>94</v>
      </c>
      <c r="BE172" s="12">
        <v>100</v>
      </c>
      <c r="BF172" s="12">
        <v>92.1</v>
      </c>
      <c r="BG172" s="18" t="s">
        <v>1034</v>
      </c>
      <c r="BH172" s="18" t="s">
        <v>1031</v>
      </c>
    </row>
    <row r="173" spans="1:60" ht="15.75" customHeight="1" x14ac:dyDescent="0.2">
      <c r="A173" s="11">
        <v>172</v>
      </c>
      <c r="B173" s="12">
        <v>2649</v>
      </c>
      <c r="C173" s="13" t="s">
        <v>307</v>
      </c>
      <c r="D173" s="13" t="s">
        <v>60</v>
      </c>
      <c r="E173" s="23">
        <v>2007</v>
      </c>
      <c r="F173" s="23">
        <v>2011</v>
      </c>
      <c r="G173" s="13" t="s">
        <v>131</v>
      </c>
      <c r="H173" s="13"/>
      <c r="I173" s="13" t="s">
        <v>59</v>
      </c>
      <c r="J173" s="13" t="s">
        <v>60</v>
      </c>
      <c r="K173" s="13"/>
      <c r="L173" s="15">
        <v>0</v>
      </c>
      <c r="M173" s="16">
        <v>67</v>
      </c>
      <c r="N173" s="13" t="s">
        <v>42</v>
      </c>
      <c r="O173" s="13" t="s">
        <v>41</v>
      </c>
      <c r="P173" s="12">
        <f>IF(Q173="", 0, 1)</f>
        <v>1</v>
      </c>
      <c r="Q173" s="15">
        <v>159</v>
      </c>
      <c r="R173" s="17"/>
      <c r="S173" s="17"/>
      <c r="T173" s="17">
        <v>65</v>
      </c>
      <c r="U173" s="17">
        <v>34</v>
      </c>
      <c r="V173" s="17">
        <v>92</v>
      </c>
      <c r="W173" s="17"/>
      <c r="X173" s="17">
        <v>1</v>
      </c>
      <c r="Y173" s="17">
        <v>811</v>
      </c>
      <c r="Z173" s="17" t="str">
        <f>IF(T173="", "mean", "med")</f>
        <v>med</v>
      </c>
      <c r="AA173" s="17">
        <f>IF(T173="", R173, T173)</f>
        <v>65</v>
      </c>
      <c r="AB173" s="12">
        <f>IF(AC173="", 0, 1)</f>
        <v>1</v>
      </c>
      <c r="AC173" s="13">
        <v>237</v>
      </c>
      <c r="AD173" s="12"/>
      <c r="AE173" s="12"/>
      <c r="AF173" s="12">
        <v>137</v>
      </c>
      <c r="AG173" s="12">
        <v>44</v>
      </c>
      <c r="AH173" s="12">
        <v>639</v>
      </c>
      <c r="AI173" s="12"/>
      <c r="AJ173" s="12">
        <v>5</v>
      </c>
      <c r="AK173" s="12">
        <v>1985</v>
      </c>
      <c r="AL173" s="12" t="str">
        <f>IF(AF173="", "mean", "med")</f>
        <v>med</v>
      </c>
      <c r="AM173" s="12">
        <f>IF(AF173="", AD173, AF173)</f>
        <v>137</v>
      </c>
      <c r="AN173" s="12">
        <f>IF(AO173="", 0, 1)</f>
        <v>0</v>
      </c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 t="s">
        <v>52</v>
      </c>
      <c r="BA173" s="12" t="str">
        <f>IF(AZ173="high","high","lower")</f>
        <v>high</v>
      </c>
      <c r="BB173" s="49">
        <v>0.91600000000000004</v>
      </c>
      <c r="BC173" s="12">
        <v>89.9</v>
      </c>
      <c r="BD173" s="12">
        <v>94</v>
      </c>
      <c r="BE173" s="12">
        <v>100</v>
      </c>
      <c r="BF173" s="12">
        <v>92.1</v>
      </c>
      <c r="BG173" s="18" t="s">
        <v>1034</v>
      </c>
      <c r="BH173" s="18" t="s">
        <v>1031</v>
      </c>
    </row>
    <row r="174" spans="1:60" ht="15.75" customHeight="1" x14ac:dyDescent="0.2">
      <c r="A174" s="11">
        <v>173</v>
      </c>
      <c r="B174" s="12">
        <v>2674</v>
      </c>
      <c r="C174" s="14" t="s">
        <v>310</v>
      </c>
      <c r="D174" s="13" t="s">
        <v>311</v>
      </c>
      <c r="E174" s="13">
        <v>2014</v>
      </c>
      <c r="F174" s="13">
        <v>2014</v>
      </c>
      <c r="G174" s="14" t="s">
        <v>312</v>
      </c>
      <c r="H174" s="14" t="s">
        <v>313</v>
      </c>
      <c r="I174" s="13" t="s">
        <v>40</v>
      </c>
      <c r="J174" s="13" t="s">
        <v>40</v>
      </c>
      <c r="K174" s="13"/>
      <c r="L174" s="15">
        <v>100</v>
      </c>
      <c r="M174" s="16">
        <v>47.6</v>
      </c>
      <c r="N174" s="13" t="s">
        <v>42</v>
      </c>
      <c r="O174" s="13"/>
      <c r="P174" s="12">
        <f>IF(Q174="", 0, 1)</f>
        <v>0</v>
      </c>
      <c r="Q174" s="15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2">
        <f>IF(AC174="", 0, 1)</f>
        <v>1</v>
      </c>
      <c r="AC174" s="13">
        <v>102</v>
      </c>
      <c r="AD174" s="12">
        <v>36.1</v>
      </c>
      <c r="AE174" s="12">
        <v>50.6</v>
      </c>
      <c r="AF174" s="12">
        <v>22</v>
      </c>
      <c r="AG174" s="12">
        <v>8.5</v>
      </c>
      <c r="AH174" s="12">
        <v>44.5</v>
      </c>
      <c r="AI174" s="12"/>
      <c r="AJ174" s="12"/>
      <c r="AK174" s="12"/>
      <c r="AL174" s="12" t="str">
        <f>IF(AF174="", "mean", "med")</f>
        <v>med</v>
      </c>
      <c r="AM174" s="12">
        <f>IF(AF174="", AD174, AF174)</f>
        <v>22</v>
      </c>
      <c r="AN174" s="12">
        <f>IF(AO174="", 0, 1)</f>
        <v>0</v>
      </c>
      <c r="AO174" s="2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 t="s">
        <v>52</v>
      </c>
      <c r="BA174" s="12" t="str">
        <f>IF(AZ174="high","high","lower")</f>
        <v>high</v>
      </c>
      <c r="BB174" s="49">
        <v>0.91900000000000004</v>
      </c>
      <c r="BC174" s="12">
        <v>84.4</v>
      </c>
      <c r="BD174" s="12">
        <v>91</v>
      </c>
      <c r="BE174" s="12">
        <v>100</v>
      </c>
      <c r="BF174" s="12">
        <v>83.2</v>
      </c>
      <c r="BG174" s="18" t="s">
        <v>1032</v>
      </c>
      <c r="BH174" s="18" t="s">
        <v>1033</v>
      </c>
    </row>
    <row r="175" spans="1:60" ht="15.75" customHeight="1" x14ac:dyDescent="0.2">
      <c r="A175" s="11">
        <v>174</v>
      </c>
      <c r="B175" s="12">
        <v>2674</v>
      </c>
      <c r="C175" s="13" t="s">
        <v>310</v>
      </c>
      <c r="D175" s="13" t="s">
        <v>314</v>
      </c>
      <c r="E175" s="13">
        <v>2014</v>
      </c>
      <c r="F175" s="13">
        <v>2014</v>
      </c>
      <c r="G175" s="13" t="s">
        <v>312</v>
      </c>
      <c r="H175" s="13" t="s">
        <v>313</v>
      </c>
      <c r="I175" s="13" t="s">
        <v>40</v>
      </c>
      <c r="J175" s="13" t="s">
        <v>40</v>
      </c>
      <c r="K175" s="13"/>
      <c r="L175" s="15">
        <v>100</v>
      </c>
      <c r="M175" s="20">
        <v>48.8</v>
      </c>
      <c r="N175" s="13" t="s">
        <v>42</v>
      </c>
      <c r="O175" s="13"/>
      <c r="P175" s="12">
        <f>IF(Q175="", 0, 1)</f>
        <v>0</v>
      </c>
      <c r="Q175" s="15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2">
        <f>IF(AC175="", 0, 1)</f>
        <v>1</v>
      </c>
      <c r="AC175" s="13">
        <v>33</v>
      </c>
      <c r="AD175" s="12">
        <v>23.5</v>
      </c>
      <c r="AE175" s="12">
        <v>20.100000000000001</v>
      </c>
      <c r="AF175" s="12">
        <v>21</v>
      </c>
      <c r="AG175" s="12">
        <v>8</v>
      </c>
      <c r="AH175" s="12">
        <v>30</v>
      </c>
      <c r="AI175" s="12"/>
      <c r="AJ175" s="12"/>
      <c r="AK175" s="12"/>
      <c r="AL175" s="12" t="str">
        <f>IF(AF175="", "mean", "med")</f>
        <v>med</v>
      </c>
      <c r="AM175" s="12">
        <f>IF(AF175="", AD175, AF175)</f>
        <v>21</v>
      </c>
      <c r="AN175" s="12">
        <f>IF(AO175="", 0, 1)</f>
        <v>0</v>
      </c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 t="s">
        <v>52</v>
      </c>
      <c r="BA175" s="12" t="str">
        <f>IF(AZ175="high","high","lower")</f>
        <v>high</v>
      </c>
      <c r="BB175" s="49">
        <v>0.91900000000000004</v>
      </c>
      <c r="BC175" s="12">
        <v>84.4</v>
      </c>
      <c r="BD175" s="12">
        <v>91</v>
      </c>
      <c r="BE175" s="12">
        <v>100</v>
      </c>
      <c r="BF175" s="12">
        <v>83.2</v>
      </c>
      <c r="BG175" s="18" t="s">
        <v>1032</v>
      </c>
      <c r="BH175" s="18" t="s">
        <v>1033</v>
      </c>
    </row>
    <row r="176" spans="1:60" ht="15.75" customHeight="1" x14ac:dyDescent="0.2">
      <c r="A176" s="11">
        <v>175</v>
      </c>
      <c r="B176" s="12">
        <v>2699</v>
      </c>
      <c r="C176" s="13" t="s">
        <v>315</v>
      </c>
      <c r="D176" s="13" t="s">
        <v>38</v>
      </c>
      <c r="E176" s="23">
        <v>2009</v>
      </c>
      <c r="F176" s="23">
        <v>2010</v>
      </c>
      <c r="G176" s="13" t="s">
        <v>77</v>
      </c>
      <c r="H176" s="13"/>
      <c r="I176" s="13" t="s">
        <v>54</v>
      </c>
      <c r="J176" s="13" t="s">
        <v>229</v>
      </c>
      <c r="K176" s="13" t="s">
        <v>228</v>
      </c>
      <c r="L176" s="15" t="s">
        <v>41</v>
      </c>
      <c r="M176" s="16" t="s">
        <v>41</v>
      </c>
      <c r="N176" s="13" t="s">
        <v>50</v>
      </c>
      <c r="O176" s="14"/>
      <c r="P176" s="12">
        <f>IF(Q176="", 0, 1)</f>
        <v>0</v>
      </c>
      <c r="Q176" s="15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2">
        <f>IF(AC176="", 0, 1)</f>
        <v>0</v>
      </c>
      <c r="AC176" s="13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>
        <f>IF(AO176="", 0, 1)</f>
        <v>1</v>
      </c>
      <c r="AO176" s="12">
        <v>130</v>
      </c>
      <c r="AP176" s="12"/>
      <c r="AQ176" s="12"/>
      <c r="AR176" s="12">
        <v>9</v>
      </c>
      <c r="AS176" s="12">
        <v>0</v>
      </c>
      <c r="AT176" s="12">
        <v>31</v>
      </c>
      <c r="AU176" s="12"/>
      <c r="AV176" s="12"/>
      <c r="AW176" s="12"/>
      <c r="AX176" s="12" t="str">
        <f>IF(AR176="", "mean", "med")</f>
        <v>med</v>
      </c>
      <c r="AY176" s="12">
        <f>IF(AR176="", AP176, AR176)</f>
        <v>9</v>
      </c>
      <c r="AZ176" s="12" t="s">
        <v>52</v>
      </c>
      <c r="BA176" s="12" t="str">
        <f>IF(AZ176="high","high","lower")</f>
        <v>high</v>
      </c>
      <c r="BB176" s="49">
        <v>0.90900000000000003</v>
      </c>
      <c r="BC176" s="12">
        <v>85.3</v>
      </c>
      <c r="BD176" s="12">
        <v>96.3</v>
      </c>
      <c r="BE176" s="12">
        <v>91.7</v>
      </c>
      <c r="BF176" s="12">
        <v>80</v>
      </c>
      <c r="BG176" s="18" t="s">
        <v>1034</v>
      </c>
      <c r="BH176" s="18" t="s">
        <v>1031</v>
      </c>
    </row>
    <row r="177" spans="1:60" ht="15.75" customHeight="1" x14ac:dyDescent="0.2">
      <c r="A177" s="11">
        <v>176</v>
      </c>
      <c r="B177" s="12">
        <v>2701</v>
      </c>
      <c r="C177" s="13" t="s">
        <v>316</v>
      </c>
      <c r="D177" s="14">
        <v>2003</v>
      </c>
      <c r="E177" s="13">
        <v>2003</v>
      </c>
      <c r="F177" s="13">
        <v>2003</v>
      </c>
      <c r="G177" s="13" t="s">
        <v>49</v>
      </c>
      <c r="H177" s="13"/>
      <c r="I177" s="13" t="s">
        <v>40</v>
      </c>
      <c r="J177" s="13" t="s">
        <v>40</v>
      </c>
      <c r="K177" s="14"/>
      <c r="L177" s="19" t="s">
        <v>41</v>
      </c>
      <c r="M177" s="20">
        <v>50.5</v>
      </c>
      <c r="N177" s="13" t="s">
        <v>50</v>
      </c>
      <c r="O177" s="13" t="s">
        <v>90</v>
      </c>
      <c r="P177" s="12">
        <f>IF(Q177="", 0, 1)</f>
        <v>1</v>
      </c>
      <c r="Q177" s="15">
        <v>50</v>
      </c>
      <c r="R177" s="17">
        <v>31.3</v>
      </c>
      <c r="S177" s="17"/>
      <c r="T177" s="17"/>
      <c r="U177" s="17"/>
      <c r="V177" s="17"/>
      <c r="W177" s="17"/>
      <c r="X177" s="17"/>
      <c r="Y177" s="17"/>
      <c r="Z177" s="17" t="str">
        <f>IF(T177="", "mean", "med")</f>
        <v>mean</v>
      </c>
      <c r="AA177" s="17">
        <f>IF(T177="", R177, T177)</f>
        <v>31.3</v>
      </c>
      <c r="AB177" s="12">
        <f>IF(AC177="", 0, 1)</f>
        <v>0</v>
      </c>
      <c r="AC177" s="13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>
        <f>IF(AO177="", 0, 1)</f>
        <v>0</v>
      </c>
      <c r="AO177" s="22"/>
      <c r="AP177" s="12"/>
      <c r="AQ177" s="12"/>
      <c r="AR177" s="22"/>
      <c r="AS177" s="12"/>
      <c r="AT177" s="12"/>
      <c r="AU177" s="12"/>
      <c r="AV177" s="12"/>
      <c r="AW177" s="12"/>
      <c r="AX177" s="12"/>
      <c r="AY177" s="12"/>
      <c r="AZ177" s="12" t="s">
        <v>52</v>
      </c>
      <c r="BA177" s="12" t="str">
        <f>IF(AZ177="high","high","lower")</f>
        <v>high</v>
      </c>
      <c r="BB177" s="49">
        <v>0.89400000000000002</v>
      </c>
      <c r="BC177" s="12">
        <v>84</v>
      </c>
      <c r="BD177" s="12">
        <v>88</v>
      </c>
      <c r="BE177" s="12">
        <v>100</v>
      </c>
      <c r="BF177" s="12">
        <v>84.2</v>
      </c>
      <c r="BG177" s="18" t="s">
        <v>1032</v>
      </c>
      <c r="BH177" s="18" t="s">
        <v>1033</v>
      </c>
    </row>
    <row r="178" spans="1:60" ht="15.75" customHeight="1" x14ac:dyDescent="0.2">
      <c r="A178" s="11">
        <v>177</v>
      </c>
      <c r="B178" s="12">
        <v>2701</v>
      </c>
      <c r="C178" s="13" t="s">
        <v>316</v>
      </c>
      <c r="D178" s="14">
        <v>2008</v>
      </c>
      <c r="E178" s="13">
        <v>2008</v>
      </c>
      <c r="F178" s="23">
        <v>2008</v>
      </c>
      <c r="G178" s="13" t="s">
        <v>49</v>
      </c>
      <c r="H178" s="13"/>
      <c r="I178" s="13" t="s">
        <v>40</v>
      </c>
      <c r="J178" s="13" t="s">
        <v>40</v>
      </c>
      <c r="K178" s="14"/>
      <c r="L178" s="19" t="s">
        <v>41</v>
      </c>
      <c r="M178" s="20">
        <v>54.5</v>
      </c>
      <c r="N178" s="13" t="s">
        <v>50</v>
      </c>
      <c r="O178" s="14" t="s">
        <v>90</v>
      </c>
      <c r="P178" s="12">
        <f>IF(Q178="", 0, 1)</f>
        <v>1</v>
      </c>
      <c r="Q178" s="15">
        <v>50</v>
      </c>
      <c r="R178" s="21">
        <v>41.1</v>
      </c>
      <c r="S178" s="17"/>
      <c r="T178" s="17"/>
      <c r="U178" s="17"/>
      <c r="V178" s="17"/>
      <c r="W178" s="17"/>
      <c r="X178" s="17"/>
      <c r="Y178" s="17"/>
      <c r="Z178" s="17" t="str">
        <f>IF(T178="", "mean", "med")</f>
        <v>mean</v>
      </c>
      <c r="AA178" s="17">
        <f>IF(T178="", R178, T178)</f>
        <v>41.1</v>
      </c>
      <c r="AB178" s="12">
        <f>IF(AC178="", 0, 1)</f>
        <v>0</v>
      </c>
      <c r="AC178" s="13"/>
      <c r="AD178" s="12"/>
      <c r="AE178" s="12"/>
      <c r="AF178" s="12"/>
      <c r="AG178" s="12"/>
      <c r="AH178" s="22"/>
      <c r="AI178" s="12"/>
      <c r="AJ178" s="12"/>
      <c r="AK178" s="12"/>
      <c r="AL178" s="12"/>
      <c r="AM178" s="12"/>
      <c r="AN178" s="12">
        <f>IF(AO178="", 0, 1)</f>
        <v>0</v>
      </c>
      <c r="AO178" s="22"/>
      <c r="AP178" s="12"/>
      <c r="AQ178" s="12"/>
      <c r="AR178" s="22"/>
      <c r="AS178" s="12"/>
      <c r="AT178" s="12"/>
      <c r="AU178" s="12"/>
      <c r="AV178" s="12"/>
      <c r="AW178" s="12"/>
      <c r="AX178" s="12"/>
      <c r="AY178" s="12"/>
      <c r="AZ178" s="12" t="s">
        <v>52</v>
      </c>
      <c r="BA178" s="12" t="str">
        <f>IF(AZ178="high","high","lower")</f>
        <v>high</v>
      </c>
      <c r="BB178" s="49">
        <v>0.91100000000000003</v>
      </c>
      <c r="BC178" s="12">
        <v>84</v>
      </c>
      <c r="BD178" s="12">
        <v>88</v>
      </c>
      <c r="BE178" s="12">
        <v>100</v>
      </c>
      <c r="BF178" s="12">
        <v>84.2</v>
      </c>
      <c r="BG178" s="18" t="s">
        <v>1032</v>
      </c>
      <c r="BH178" s="18" t="s">
        <v>1033</v>
      </c>
    </row>
    <row r="179" spans="1:60" ht="15.75" customHeight="1" x14ac:dyDescent="0.2">
      <c r="A179" s="11">
        <v>178</v>
      </c>
      <c r="B179" s="12">
        <v>2701</v>
      </c>
      <c r="C179" s="13" t="s">
        <v>316</v>
      </c>
      <c r="D179" s="14">
        <v>1998</v>
      </c>
      <c r="E179" s="23">
        <v>1998</v>
      </c>
      <c r="F179" s="13">
        <v>1998</v>
      </c>
      <c r="G179" s="13" t="s">
        <v>49</v>
      </c>
      <c r="H179" s="13"/>
      <c r="I179" s="13" t="s">
        <v>40</v>
      </c>
      <c r="J179" s="13" t="s">
        <v>40</v>
      </c>
      <c r="K179" s="14"/>
      <c r="L179" s="19" t="s">
        <v>41</v>
      </c>
      <c r="M179" s="20">
        <v>55</v>
      </c>
      <c r="N179" s="13" t="s">
        <v>50</v>
      </c>
      <c r="O179" s="13" t="s">
        <v>90</v>
      </c>
      <c r="P179" s="12">
        <f>IF(Q179="", 0, 1)</f>
        <v>1</v>
      </c>
      <c r="Q179" s="15">
        <v>50</v>
      </c>
      <c r="R179" s="17">
        <v>21.8</v>
      </c>
      <c r="S179" s="17"/>
      <c r="T179" s="17"/>
      <c r="U179" s="17"/>
      <c r="V179" s="17"/>
      <c r="W179" s="17"/>
      <c r="X179" s="17"/>
      <c r="Y179" s="17"/>
      <c r="Z179" s="17" t="str">
        <f>IF(T179="", "mean", "med")</f>
        <v>mean</v>
      </c>
      <c r="AA179" s="17">
        <f>IF(T179="", R179, T179)</f>
        <v>21.8</v>
      </c>
      <c r="AB179" s="12">
        <f>IF(AC179="", 0, 1)</f>
        <v>0</v>
      </c>
      <c r="AC179" s="13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>
        <f>IF(AO179="", 0, 1)</f>
        <v>0</v>
      </c>
      <c r="AO179" s="22"/>
      <c r="AP179" s="12"/>
      <c r="AQ179" s="12"/>
      <c r="AR179" s="22"/>
      <c r="AS179" s="12"/>
      <c r="AT179" s="12"/>
      <c r="AU179" s="12"/>
      <c r="AV179" s="12"/>
      <c r="AW179" s="12"/>
      <c r="AX179" s="12"/>
      <c r="AY179" s="12"/>
      <c r="AZ179" s="12" t="s">
        <v>52</v>
      </c>
      <c r="BA179" s="12" t="str">
        <f>IF(AZ179="high","high","lower")</f>
        <v>high</v>
      </c>
      <c r="BB179" s="49">
        <v>0.88900000000000001</v>
      </c>
      <c r="BC179" s="12">
        <v>84</v>
      </c>
      <c r="BD179" s="12">
        <v>88</v>
      </c>
      <c r="BE179" s="12">
        <v>100</v>
      </c>
      <c r="BF179" s="12">
        <v>84.2</v>
      </c>
      <c r="BG179" s="18" t="s">
        <v>1032</v>
      </c>
      <c r="BH179" s="18" t="s">
        <v>1033</v>
      </c>
    </row>
    <row r="180" spans="1:60" ht="15.75" customHeight="1" x14ac:dyDescent="0.2">
      <c r="A180" s="11">
        <v>179</v>
      </c>
      <c r="B180" s="12">
        <v>2706</v>
      </c>
      <c r="C180" s="42" t="s">
        <v>317</v>
      </c>
      <c r="D180" s="14" t="s">
        <v>41</v>
      </c>
      <c r="E180" s="23">
        <v>2010</v>
      </c>
      <c r="F180" s="23">
        <v>2010</v>
      </c>
      <c r="G180" s="44" t="s">
        <v>125</v>
      </c>
      <c r="H180" s="44"/>
      <c r="I180" s="13" t="s">
        <v>70</v>
      </c>
      <c r="J180" s="13" t="s">
        <v>71</v>
      </c>
      <c r="K180" s="14" t="s">
        <v>318</v>
      </c>
      <c r="L180" s="19">
        <f>(147/(147+145))*100</f>
        <v>50.342465753424662</v>
      </c>
      <c r="M180" s="20">
        <v>69.13</v>
      </c>
      <c r="N180" s="13" t="s">
        <v>50</v>
      </c>
      <c r="O180" s="13"/>
      <c r="P180" s="12">
        <f>IF(Q180="", 0, 1)</f>
        <v>0</v>
      </c>
      <c r="Q180" s="15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2">
        <f>IF(AC180="", 0, 1)</f>
        <v>0</v>
      </c>
      <c r="AC180" s="13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>
        <f>IF(AO180="", 0, 1)</f>
        <v>1</v>
      </c>
      <c r="AO180" s="52">
        <v>292</v>
      </c>
      <c r="AP180" s="12"/>
      <c r="AQ180" s="12">
        <f>14.7*30</f>
        <v>441</v>
      </c>
      <c r="AR180" s="22">
        <f>19.79*30</f>
        <v>593.69999999999993</v>
      </c>
      <c r="AS180" s="12"/>
      <c r="AT180" s="12"/>
      <c r="AU180" s="12"/>
      <c r="AV180" s="12"/>
      <c r="AW180" s="12"/>
      <c r="AX180" s="12" t="str">
        <f>IF(AR180="", "mean", "med")</f>
        <v>med</v>
      </c>
      <c r="AY180" s="12">
        <f>IF(AR180="", AP180, AR180)</f>
        <v>593.69999999999993</v>
      </c>
      <c r="AZ180" s="12" t="s">
        <v>52</v>
      </c>
      <c r="BA180" s="12" t="str">
        <f>IF(AZ180="high","high","lower")</f>
        <v>high</v>
      </c>
      <c r="BB180" s="49">
        <v>0.872</v>
      </c>
      <c r="BC180" s="12">
        <v>84</v>
      </c>
      <c r="BD180" s="12">
        <v>89.7</v>
      </c>
      <c r="BE180" s="12">
        <v>70.8</v>
      </c>
      <c r="BF180" s="12">
        <v>89.2</v>
      </c>
      <c r="BG180" s="18" t="s">
        <v>1030</v>
      </c>
      <c r="BH180" s="18" t="s">
        <v>1031</v>
      </c>
    </row>
    <row r="181" spans="1:60" ht="15.75" customHeight="1" x14ac:dyDescent="0.2">
      <c r="A181" s="11">
        <v>180</v>
      </c>
      <c r="B181" s="12">
        <v>2711</v>
      </c>
      <c r="C181" s="13" t="s">
        <v>319</v>
      </c>
      <c r="D181" s="14" t="s">
        <v>38</v>
      </c>
      <c r="E181" s="13">
        <v>2018</v>
      </c>
      <c r="F181" s="23">
        <v>2018</v>
      </c>
      <c r="G181" s="13" t="s">
        <v>249</v>
      </c>
      <c r="H181" s="13"/>
      <c r="I181" s="13" t="s">
        <v>59</v>
      </c>
      <c r="J181" s="13" t="s">
        <v>320</v>
      </c>
      <c r="K181" s="13"/>
      <c r="L181" s="19">
        <f>100-72.3</f>
        <v>27.700000000000003</v>
      </c>
      <c r="M181" s="16">
        <v>63.2</v>
      </c>
      <c r="N181" s="13" t="s">
        <v>42</v>
      </c>
      <c r="O181" s="14" t="s">
        <v>321</v>
      </c>
      <c r="P181" s="12">
        <f>IF(Q181="", 0, 1)</f>
        <v>1</v>
      </c>
      <c r="Q181" s="19">
        <v>635</v>
      </c>
      <c r="R181" s="17"/>
      <c r="S181" s="17"/>
      <c r="T181" s="17">
        <f>6.3*7</f>
        <v>44.1</v>
      </c>
      <c r="U181" s="17">
        <f>3.4*7</f>
        <v>23.8</v>
      </c>
      <c r="V181" s="17">
        <f>11.1*7</f>
        <v>77.7</v>
      </c>
      <c r="W181" s="17"/>
      <c r="X181" s="17"/>
      <c r="Y181" s="17"/>
      <c r="Z181" s="17" t="str">
        <f>IF(T181="", "mean", "med")</f>
        <v>med</v>
      </c>
      <c r="AA181" s="17">
        <f>IF(T181="", R181, T181)</f>
        <v>44.1</v>
      </c>
      <c r="AB181" s="12">
        <f>IF(AC181="", 0, 1)</f>
        <v>0</v>
      </c>
      <c r="AC181" s="13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>
        <f>IF(AO181="", 0, 1)</f>
        <v>0</v>
      </c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 t="s">
        <v>52</v>
      </c>
      <c r="BA181" s="12" t="str">
        <f>IF(AZ181="high","high","lower")</f>
        <v>high</v>
      </c>
      <c r="BB181" s="47"/>
      <c r="BC181" s="12">
        <v>79.900000000000006</v>
      </c>
      <c r="BD181" s="12">
        <v>85.9</v>
      </c>
      <c r="BE181" s="12">
        <v>70.8</v>
      </c>
      <c r="BF181" s="12">
        <v>84.7</v>
      </c>
      <c r="BG181" s="18" t="s">
        <v>1030</v>
      </c>
      <c r="BH181" s="18" t="s">
        <v>1031</v>
      </c>
    </row>
    <row r="182" spans="1:60" ht="15.75" customHeight="1" x14ac:dyDescent="0.2">
      <c r="A182" s="11">
        <v>181</v>
      </c>
      <c r="B182" s="12">
        <v>2713</v>
      </c>
      <c r="C182" s="13" t="s">
        <v>322</v>
      </c>
      <c r="D182" s="13" t="s">
        <v>38</v>
      </c>
      <c r="E182" s="23">
        <v>2009</v>
      </c>
      <c r="F182" s="23">
        <v>2010</v>
      </c>
      <c r="G182" s="13" t="s">
        <v>62</v>
      </c>
      <c r="H182" s="13"/>
      <c r="I182" s="13" t="s">
        <v>40</v>
      </c>
      <c r="J182" s="13" t="s">
        <v>40</v>
      </c>
      <c r="K182" s="13"/>
      <c r="L182" s="15">
        <v>100</v>
      </c>
      <c r="M182" s="16">
        <v>49.82</v>
      </c>
      <c r="N182" s="13" t="s">
        <v>42</v>
      </c>
      <c r="O182" s="14"/>
      <c r="P182" s="12">
        <f>IF(Q182="", 0, 1)</f>
        <v>0</v>
      </c>
      <c r="Q182" s="15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2">
        <f>IF(AC182="", 0, 1)</f>
        <v>0</v>
      </c>
      <c r="AC182" s="13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>
        <f>IF(AO182="", 0, 1)</f>
        <v>1</v>
      </c>
      <c r="AO182" s="12">
        <v>201</v>
      </c>
      <c r="AP182" s="12">
        <f>12.12*30</f>
        <v>363.59999999999997</v>
      </c>
      <c r="AQ182" s="12">
        <f>5.18*30</f>
        <v>155.39999999999998</v>
      </c>
      <c r="AR182" s="12"/>
      <c r="AS182" s="12"/>
      <c r="AT182" s="12"/>
      <c r="AU182" s="12"/>
      <c r="AV182" s="12">
        <f>1*7</f>
        <v>7</v>
      </c>
      <c r="AW182" s="12">
        <f>96*30</f>
        <v>2880</v>
      </c>
      <c r="AX182" s="12" t="str">
        <f>IF(AR182="", "mean", "med")</f>
        <v>mean</v>
      </c>
      <c r="AY182" s="12">
        <f>IF(AR182="", AP182, AR182)</f>
        <v>363.59999999999997</v>
      </c>
      <c r="AZ182" s="49" t="s">
        <v>46</v>
      </c>
      <c r="BA182" s="49" t="str">
        <f>IF(AZ182="high","high","lower")</f>
        <v>lower</v>
      </c>
      <c r="BB182" s="49">
        <v>0.48599999999999999</v>
      </c>
      <c r="BC182" s="49"/>
      <c r="BD182" s="49"/>
      <c r="BE182" s="49"/>
      <c r="BF182" s="49"/>
      <c r="BG182" s="18" t="s">
        <v>1032</v>
      </c>
      <c r="BH182" s="18" t="s">
        <v>1033</v>
      </c>
    </row>
    <row r="183" spans="1:60" ht="15.75" customHeight="1" x14ac:dyDescent="0.2">
      <c r="A183" s="11">
        <v>182</v>
      </c>
      <c r="B183" s="12">
        <v>2715</v>
      </c>
      <c r="C183" s="13" t="s">
        <v>323</v>
      </c>
      <c r="D183" s="13" t="s">
        <v>38</v>
      </c>
      <c r="E183" s="23">
        <v>2006</v>
      </c>
      <c r="F183" s="23">
        <v>2007</v>
      </c>
      <c r="G183" s="13" t="s">
        <v>62</v>
      </c>
      <c r="H183" s="13"/>
      <c r="I183" s="13" t="s">
        <v>324</v>
      </c>
      <c r="J183" s="32" t="s">
        <v>325</v>
      </c>
      <c r="K183" s="44"/>
      <c r="L183" s="15">
        <f>31/(31+32)*100</f>
        <v>49.206349206349202</v>
      </c>
      <c r="M183" s="16">
        <v>46</v>
      </c>
      <c r="N183" s="13" t="s">
        <v>42</v>
      </c>
      <c r="O183" s="13"/>
      <c r="P183" s="12">
        <f>IF(Q183="", 0, 1)</f>
        <v>0</v>
      </c>
      <c r="Q183" s="15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2">
        <f>IF(AC183="", 0, 1)</f>
        <v>1</v>
      </c>
      <c r="AC183" s="13">
        <v>63</v>
      </c>
      <c r="AD183" s="12"/>
      <c r="AE183" s="12"/>
      <c r="AF183" s="12">
        <f>4*7</f>
        <v>28</v>
      </c>
      <c r="AG183" s="12"/>
      <c r="AH183" s="12"/>
      <c r="AI183" s="12"/>
      <c r="AJ183" s="12">
        <v>0</v>
      </c>
      <c r="AK183" s="12">
        <f>8*30</f>
        <v>240</v>
      </c>
      <c r="AL183" s="12" t="str">
        <f>IF(AF183="", "mean", "med")</f>
        <v>med</v>
      </c>
      <c r="AM183" s="12">
        <f>IF(AF183="", AD183, AF183)</f>
        <v>28</v>
      </c>
      <c r="AN183" s="12">
        <f>IF(AO183="", 0, 1)</f>
        <v>1</v>
      </c>
      <c r="AO183" s="12">
        <v>63</v>
      </c>
      <c r="AP183" s="12"/>
      <c r="AQ183" s="12"/>
      <c r="AR183" s="12">
        <f>2*365</f>
        <v>730</v>
      </c>
      <c r="AS183" s="12"/>
      <c r="AT183" s="12"/>
      <c r="AU183" s="12"/>
      <c r="AV183" s="12">
        <f>2*30</f>
        <v>60</v>
      </c>
      <c r="AW183" s="12">
        <f>5*365</f>
        <v>1825</v>
      </c>
      <c r="AX183" s="12" t="str">
        <f>IF(AR183="", "mean", "med")</f>
        <v>med</v>
      </c>
      <c r="AY183" s="12">
        <f>IF(AR183="", AP183, AR183)</f>
        <v>730</v>
      </c>
      <c r="AZ183" s="49" t="s">
        <v>46</v>
      </c>
      <c r="BA183" s="49" t="str">
        <f>IF(AZ183="high","high","lower")</f>
        <v>lower</v>
      </c>
      <c r="BB183" s="49">
        <v>0.47599999999999998</v>
      </c>
      <c r="BC183" s="49"/>
      <c r="BD183" s="49"/>
      <c r="BE183" s="49"/>
      <c r="BF183" s="49"/>
      <c r="BG183" s="18" t="s">
        <v>1030</v>
      </c>
      <c r="BH183" s="18" t="s">
        <v>1031</v>
      </c>
    </row>
    <row r="184" spans="1:60" ht="15.75" customHeight="1" x14ac:dyDescent="0.2">
      <c r="A184" s="11">
        <v>183</v>
      </c>
      <c r="B184" s="22">
        <v>2716</v>
      </c>
      <c r="C184" s="13" t="s">
        <v>326</v>
      </c>
      <c r="D184" s="13" t="s">
        <v>327</v>
      </c>
      <c r="E184" s="23">
        <v>2005</v>
      </c>
      <c r="F184" s="23">
        <v>2007</v>
      </c>
      <c r="G184" s="13" t="s">
        <v>49</v>
      </c>
      <c r="H184" s="13"/>
      <c r="I184" s="13" t="s">
        <v>40</v>
      </c>
      <c r="J184" s="13" t="s">
        <v>40</v>
      </c>
      <c r="K184" s="13"/>
      <c r="L184" s="15">
        <v>100</v>
      </c>
      <c r="M184" s="16" t="s">
        <v>41</v>
      </c>
      <c r="N184" s="13" t="s">
        <v>50</v>
      </c>
      <c r="O184" s="13"/>
      <c r="P184" s="12">
        <f>IF(Q184="", 0, 1)</f>
        <v>0</v>
      </c>
      <c r="Q184" s="15"/>
      <c r="R184" s="21"/>
      <c r="S184" s="17"/>
      <c r="T184" s="17"/>
      <c r="U184" s="17"/>
      <c r="V184" s="17"/>
      <c r="W184" s="17"/>
      <c r="X184" s="17"/>
      <c r="Y184" s="17"/>
      <c r="Z184" s="17"/>
      <c r="AA184" s="17"/>
      <c r="AB184" s="12">
        <f>IF(AC184="", 0, 1)</f>
        <v>1</v>
      </c>
      <c r="AC184" s="13">
        <v>3961</v>
      </c>
      <c r="AD184" s="12"/>
      <c r="AE184" s="12"/>
      <c r="AF184" s="12">
        <v>25</v>
      </c>
      <c r="AG184" s="12"/>
      <c r="AH184" s="12"/>
      <c r="AI184" s="12"/>
      <c r="AJ184" s="12"/>
      <c r="AK184" s="12"/>
      <c r="AL184" s="12" t="str">
        <f>IF(AF184="", "mean", "med")</f>
        <v>med</v>
      </c>
      <c r="AM184" s="12">
        <f>IF(AF184="", AD184, AF184)</f>
        <v>25</v>
      </c>
      <c r="AN184" s="12">
        <f>IF(AO184="", 0, 1)</f>
        <v>0</v>
      </c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 t="s">
        <v>52</v>
      </c>
      <c r="BA184" s="12" t="str">
        <f>IF(AZ184="high","high","lower")</f>
        <v>high</v>
      </c>
      <c r="BB184" s="49">
        <v>0.90300000000000002</v>
      </c>
      <c r="BC184" s="12">
        <v>84</v>
      </c>
      <c r="BD184" s="12">
        <v>88</v>
      </c>
      <c r="BE184" s="12">
        <v>100</v>
      </c>
      <c r="BF184" s="12">
        <v>84.2</v>
      </c>
      <c r="BG184" s="18" t="s">
        <v>1030</v>
      </c>
      <c r="BH184" s="18" t="s">
        <v>1031</v>
      </c>
    </row>
    <row r="185" spans="1:60" ht="15.75" customHeight="1" x14ac:dyDescent="0.2">
      <c r="A185" s="11">
        <v>184</v>
      </c>
      <c r="B185" s="22">
        <v>2716</v>
      </c>
      <c r="C185" s="13" t="s">
        <v>326</v>
      </c>
      <c r="D185" s="13" t="s">
        <v>328</v>
      </c>
      <c r="E185" s="23">
        <v>2005</v>
      </c>
      <c r="F185" s="23">
        <v>2007</v>
      </c>
      <c r="G185" s="13" t="s">
        <v>49</v>
      </c>
      <c r="H185" s="13"/>
      <c r="I185" s="13" t="s">
        <v>40</v>
      </c>
      <c r="J185" s="13" t="s">
        <v>40</v>
      </c>
      <c r="K185" s="13"/>
      <c r="L185" s="19">
        <v>100</v>
      </c>
      <c r="M185" s="16" t="s">
        <v>41</v>
      </c>
      <c r="N185" s="13" t="s">
        <v>50</v>
      </c>
      <c r="O185" s="13"/>
      <c r="P185" s="12">
        <f>IF(Q185="", 0, 1)</f>
        <v>0</v>
      </c>
      <c r="Q185" s="15"/>
      <c r="R185" s="21"/>
      <c r="S185" s="17"/>
      <c r="T185" s="17"/>
      <c r="U185" s="17"/>
      <c r="V185" s="17"/>
      <c r="W185" s="17"/>
      <c r="X185" s="17"/>
      <c r="Y185" s="17"/>
      <c r="Z185" s="17"/>
      <c r="AA185" s="17"/>
      <c r="AB185" s="12">
        <f>IF(AC185="", 0, 1)</f>
        <v>1</v>
      </c>
      <c r="AC185" s="13">
        <v>12675</v>
      </c>
      <c r="AD185" s="12"/>
      <c r="AE185" s="12"/>
      <c r="AF185" s="12">
        <v>26</v>
      </c>
      <c r="AG185" s="12"/>
      <c r="AH185" s="12"/>
      <c r="AI185" s="12"/>
      <c r="AJ185" s="12"/>
      <c r="AK185" s="12"/>
      <c r="AL185" s="12" t="str">
        <f>IF(AF185="", "mean", "med")</f>
        <v>med</v>
      </c>
      <c r="AM185" s="12">
        <f>IF(AF185="", AD185, AF185)</f>
        <v>26</v>
      </c>
      <c r="AN185" s="12">
        <f>IF(AO185="", 0, 1)</f>
        <v>0</v>
      </c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 t="s">
        <v>52</v>
      </c>
      <c r="BA185" s="12" t="str">
        <f>IF(AZ185="high","high","lower")</f>
        <v>high</v>
      </c>
      <c r="BB185" s="49">
        <v>0.90300000000000002</v>
      </c>
      <c r="BC185" s="12">
        <v>84</v>
      </c>
      <c r="BD185" s="12">
        <v>88</v>
      </c>
      <c r="BE185" s="12">
        <v>100</v>
      </c>
      <c r="BF185" s="12">
        <v>84.2</v>
      </c>
      <c r="BG185" s="18" t="s">
        <v>1030</v>
      </c>
      <c r="BH185" s="18" t="s">
        <v>1031</v>
      </c>
    </row>
    <row r="186" spans="1:60" ht="15.75" customHeight="1" x14ac:dyDescent="0.2">
      <c r="A186" s="11">
        <v>185</v>
      </c>
      <c r="B186" s="22">
        <v>2721</v>
      </c>
      <c r="C186" s="13" t="s">
        <v>329</v>
      </c>
      <c r="D186" s="13" t="s">
        <v>38</v>
      </c>
      <c r="E186" s="23">
        <v>2008</v>
      </c>
      <c r="F186" s="23">
        <v>2010</v>
      </c>
      <c r="G186" s="13" t="s">
        <v>330</v>
      </c>
      <c r="H186" s="13"/>
      <c r="I186" s="13" t="s">
        <v>40</v>
      </c>
      <c r="J186" s="13" t="s">
        <v>40</v>
      </c>
      <c r="K186" s="13"/>
      <c r="L186" s="19">
        <v>100</v>
      </c>
      <c r="M186" s="45">
        <v>61</v>
      </c>
      <c r="N186" s="13" t="s">
        <v>42</v>
      </c>
      <c r="O186" s="14"/>
      <c r="P186" s="12">
        <f>IF(Q186="", 0, 1)</f>
        <v>0</v>
      </c>
      <c r="Q186" s="19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2">
        <f>IF(AC186="", 0, 1)</f>
        <v>0</v>
      </c>
      <c r="AC186" s="13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>
        <f>IF(AO186="", 0, 1)</f>
        <v>1</v>
      </c>
      <c r="AO186" s="12">
        <v>703</v>
      </c>
      <c r="AP186" s="12"/>
      <c r="AQ186" s="12"/>
      <c r="AR186" s="12">
        <v>16</v>
      </c>
      <c r="AS186" s="12">
        <v>5</v>
      </c>
      <c r="AT186" s="12">
        <v>54</v>
      </c>
      <c r="AU186" s="12"/>
      <c r="AV186" s="12"/>
      <c r="AW186" s="12"/>
      <c r="AX186" s="12" t="str">
        <f>IF(AR186="", "mean", "med")</f>
        <v>med</v>
      </c>
      <c r="AY186" s="12">
        <f>IF(AR186="", AP186, AR186)</f>
        <v>16</v>
      </c>
      <c r="AZ186" s="49" t="s">
        <v>46</v>
      </c>
      <c r="BA186" s="49" t="str">
        <f>IF(AZ186="high","high","lower")</f>
        <v>lower</v>
      </c>
      <c r="BB186" s="49">
        <v>0.84899999999999998</v>
      </c>
      <c r="BC186" s="49"/>
      <c r="BD186" s="49"/>
      <c r="BE186" s="49"/>
      <c r="BF186" s="49"/>
      <c r="BG186" s="18" t="s">
        <v>1030</v>
      </c>
      <c r="BH186" s="18" t="s">
        <v>1031</v>
      </c>
    </row>
    <row r="187" spans="1:60" ht="15.75" customHeight="1" x14ac:dyDescent="0.2">
      <c r="A187" s="11">
        <v>186</v>
      </c>
      <c r="B187" s="22">
        <v>2743</v>
      </c>
      <c r="C187" s="13" t="s">
        <v>331</v>
      </c>
      <c r="D187" s="13" t="s">
        <v>38</v>
      </c>
      <c r="E187" s="23">
        <v>2010</v>
      </c>
      <c r="F187" s="23">
        <v>2012</v>
      </c>
      <c r="G187" s="13" t="s">
        <v>49</v>
      </c>
      <c r="H187" s="13"/>
      <c r="I187" s="13" t="s">
        <v>40</v>
      </c>
      <c r="J187" s="13" t="s">
        <v>40</v>
      </c>
      <c r="K187" s="13"/>
      <c r="L187" s="15">
        <v>100</v>
      </c>
      <c r="M187" s="16" t="s">
        <v>41</v>
      </c>
      <c r="N187" s="13" t="s">
        <v>42</v>
      </c>
      <c r="O187" s="14" t="s">
        <v>332</v>
      </c>
      <c r="P187" s="12">
        <f>IF(Q187="", 0, 1)</f>
        <v>1</v>
      </c>
      <c r="Q187" s="15">
        <v>91</v>
      </c>
      <c r="R187" s="17"/>
      <c r="S187" s="17"/>
      <c r="T187" s="17">
        <v>37</v>
      </c>
      <c r="U187" s="17">
        <v>29</v>
      </c>
      <c r="V187" s="17">
        <v>49</v>
      </c>
      <c r="W187" s="17"/>
      <c r="X187" s="17"/>
      <c r="Y187" s="17"/>
      <c r="Z187" s="17" t="str">
        <f>IF(T187="", "mean", "med")</f>
        <v>med</v>
      </c>
      <c r="AA187" s="17">
        <f>IF(T187="", R187, T187)</f>
        <v>37</v>
      </c>
      <c r="AB187" s="12">
        <f>IF(AC187="", 0, 1)</f>
        <v>0</v>
      </c>
      <c r="AC187" s="13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>
        <f>IF(AO187="", 0, 1)</f>
        <v>0</v>
      </c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 t="s">
        <v>52</v>
      </c>
      <c r="BA187" s="12" t="str">
        <f>IF(AZ187="high","high","lower")</f>
        <v>high</v>
      </c>
      <c r="BB187" s="49">
        <v>0.91800000000000004</v>
      </c>
      <c r="BC187" s="12">
        <v>84</v>
      </c>
      <c r="BD187" s="12">
        <v>88</v>
      </c>
      <c r="BE187" s="12">
        <v>100</v>
      </c>
      <c r="BF187" s="12">
        <v>84.2</v>
      </c>
      <c r="BG187" s="18" t="s">
        <v>1030</v>
      </c>
      <c r="BH187" s="18" t="s">
        <v>1031</v>
      </c>
    </row>
    <row r="188" spans="1:60" ht="15.75" customHeight="1" x14ac:dyDescent="0.2">
      <c r="A188" s="11">
        <v>187</v>
      </c>
      <c r="B188" s="12">
        <v>2744</v>
      </c>
      <c r="C188" s="13" t="s">
        <v>333</v>
      </c>
      <c r="D188" s="13" t="s">
        <v>334</v>
      </c>
      <c r="E188" s="23">
        <v>2000</v>
      </c>
      <c r="F188" s="23">
        <v>2009</v>
      </c>
      <c r="G188" s="13" t="s">
        <v>205</v>
      </c>
      <c r="H188" s="13"/>
      <c r="I188" s="13" t="s">
        <v>59</v>
      </c>
      <c r="J188" s="13" t="s">
        <v>113</v>
      </c>
      <c r="K188" s="13"/>
      <c r="L188" s="19">
        <v>0</v>
      </c>
      <c r="M188" s="16" t="s">
        <v>41</v>
      </c>
      <c r="N188" s="13" t="s">
        <v>50</v>
      </c>
      <c r="O188" s="14"/>
      <c r="P188" s="12">
        <f>IF(Q188="", 0, 1)</f>
        <v>0</v>
      </c>
      <c r="Q188" s="19"/>
      <c r="R188" s="21"/>
      <c r="S188" s="17"/>
      <c r="T188" s="17"/>
      <c r="U188" s="17"/>
      <c r="V188" s="17"/>
      <c r="W188" s="17"/>
      <c r="X188" s="17"/>
      <c r="Y188" s="17"/>
      <c r="Z188" s="17"/>
      <c r="AA188" s="17"/>
      <c r="AB188" s="12">
        <f>IF(AC188="", 0, 1)</f>
        <v>0</v>
      </c>
      <c r="AC188" s="13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>
        <f>IF(AO188="", 0, 1)</f>
        <v>1</v>
      </c>
      <c r="AO188" s="12">
        <v>124</v>
      </c>
      <c r="AP188" s="12"/>
      <c r="AQ188" s="12"/>
      <c r="AR188" s="12">
        <v>92</v>
      </c>
      <c r="AS188" s="12">
        <v>31</v>
      </c>
      <c r="AT188" s="12">
        <v>194</v>
      </c>
      <c r="AU188" s="12"/>
      <c r="AV188" s="12"/>
      <c r="AW188" s="12"/>
      <c r="AX188" s="12" t="str">
        <f>IF(AR188="", "mean", "med")</f>
        <v>med</v>
      </c>
      <c r="AY188" s="12">
        <f>IF(AR188="", AP188, AR188)</f>
        <v>92</v>
      </c>
      <c r="AZ188" s="49" t="s">
        <v>52</v>
      </c>
      <c r="BA188" s="49" t="str">
        <f>IF(AZ188="high","high","lower")</f>
        <v>high</v>
      </c>
      <c r="BB188" s="49">
        <v>0.90100000000000002</v>
      </c>
      <c r="BC188" s="49"/>
      <c r="BD188" s="49"/>
      <c r="BE188" s="49"/>
      <c r="BF188" s="49"/>
      <c r="BG188" s="18" t="s">
        <v>1034</v>
      </c>
      <c r="BH188" s="18" t="s">
        <v>1031</v>
      </c>
    </row>
    <row r="189" spans="1:60" ht="15.75" customHeight="1" x14ac:dyDescent="0.2">
      <c r="A189" s="11">
        <v>188</v>
      </c>
      <c r="B189" s="12">
        <v>2744</v>
      </c>
      <c r="C189" s="13" t="s">
        <v>333</v>
      </c>
      <c r="D189" s="13" t="s">
        <v>335</v>
      </c>
      <c r="E189" s="23">
        <v>2009</v>
      </c>
      <c r="F189" s="23">
        <v>2014</v>
      </c>
      <c r="G189" s="13" t="s">
        <v>205</v>
      </c>
      <c r="H189" s="13"/>
      <c r="I189" s="13" t="s">
        <v>59</v>
      </c>
      <c r="J189" s="13" t="s">
        <v>113</v>
      </c>
      <c r="K189" s="13"/>
      <c r="L189" s="15">
        <v>0</v>
      </c>
      <c r="M189" s="16" t="s">
        <v>41</v>
      </c>
      <c r="N189" s="13" t="s">
        <v>50</v>
      </c>
      <c r="O189" s="13"/>
      <c r="P189" s="12">
        <f>IF(Q189="", 0, 1)</f>
        <v>0</v>
      </c>
      <c r="Q189" s="15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2">
        <f>IF(AC189="", 0, 1)</f>
        <v>0</v>
      </c>
      <c r="AC189" s="13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>
        <f>IF(AO189="", 0, 1)</f>
        <v>1</v>
      </c>
      <c r="AO189" s="12">
        <v>139</v>
      </c>
      <c r="AP189" s="12"/>
      <c r="AQ189" s="12"/>
      <c r="AR189" s="12">
        <v>75</v>
      </c>
      <c r="AS189" s="12">
        <v>31</v>
      </c>
      <c r="AT189" s="12">
        <v>182</v>
      </c>
      <c r="AU189" s="12"/>
      <c r="AV189" s="12"/>
      <c r="AW189" s="12"/>
      <c r="AX189" s="12" t="str">
        <f>IF(AR189="", "mean", "med")</f>
        <v>med</v>
      </c>
      <c r="AY189" s="12">
        <f>IF(AR189="", AP189, AR189)</f>
        <v>75</v>
      </c>
      <c r="AZ189" s="49" t="s">
        <v>52</v>
      </c>
      <c r="BA189" s="49" t="str">
        <f>IF(AZ189="high","high","lower")</f>
        <v>high</v>
      </c>
      <c r="BB189" s="49">
        <v>0.92700000000000005</v>
      </c>
      <c r="BC189" s="49"/>
      <c r="BD189" s="49"/>
      <c r="BE189" s="49"/>
      <c r="BF189" s="49"/>
      <c r="BG189" s="18" t="s">
        <v>1034</v>
      </c>
      <c r="BH189" s="18" t="s">
        <v>1031</v>
      </c>
    </row>
    <row r="190" spans="1:60" ht="15.75" customHeight="1" x14ac:dyDescent="0.2">
      <c r="A190" s="11">
        <v>189</v>
      </c>
      <c r="B190" s="12">
        <v>2755</v>
      </c>
      <c r="C190" s="13" t="s">
        <v>336</v>
      </c>
      <c r="D190" s="14" t="s">
        <v>337</v>
      </c>
      <c r="E190" s="23">
        <v>2011</v>
      </c>
      <c r="F190" s="23">
        <v>2011</v>
      </c>
      <c r="G190" s="13" t="s">
        <v>337</v>
      </c>
      <c r="H190" s="13"/>
      <c r="I190" s="13" t="s">
        <v>40</v>
      </c>
      <c r="J190" s="13" t="s">
        <v>40</v>
      </c>
      <c r="K190" s="13"/>
      <c r="L190" s="15">
        <v>100</v>
      </c>
      <c r="M190" s="16" t="s">
        <v>41</v>
      </c>
      <c r="N190" s="13" t="s">
        <v>50</v>
      </c>
      <c r="O190" s="14"/>
      <c r="P190" s="12">
        <f>IF(Q190="", 0, 1)</f>
        <v>0</v>
      </c>
      <c r="Q190" s="15"/>
      <c r="R190" s="21"/>
      <c r="S190" s="17"/>
      <c r="T190" s="17"/>
      <c r="U190" s="21"/>
      <c r="V190" s="17"/>
      <c r="W190" s="17"/>
      <c r="X190" s="17"/>
      <c r="Y190" s="17"/>
      <c r="Z190" s="17"/>
      <c r="AA190" s="17"/>
      <c r="AB190" s="12">
        <f>IF(AC190="", 0, 1)</f>
        <v>0</v>
      </c>
      <c r="AC190" s="13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>
        <f>IF(AO190="", 0, 1)</f>
        <v>1</v>
      </c>
      <c r="AO190" s="12">
        <v>111</v>
      </c>
      <c r="AP190" s="12">
        <f>6.17*7</f>
        <v>43.19</v>
      </c>
      <c r="AQ190" s="12"/>
      <c r="AR190" s="12"/>
      <c r="AS190" s="12"/>
      <c r="AT190" s="12"/>
      <c r="AU190" s="12"/>
      <c r="AV190" s="12"/>
      <c r="AW190" s="12"/>
      <c r="AX190" s="12" t="str">
        <f>IF(AR190="", "mean", "med")</f>
        <v>mean</v>
      </c>
      <c r="AY190" s="12">
        <f>IF(AR190="", AP190, AR190)</f>
        <v>43.19</v>
      </c>
      <c r="AZ190" s="49" t="s">
        <v>52</v>
      </c>
      <c r="BA190" s="49" t="str">
        <f>IF(AZ190="high","high","lower")</f>
        <v>high</v>
      </c>
      <c r="BB190" s="49">
        <v>0.82899999999999996</v>
      </c>
      <c r="BC190" s="49"/>
      <c r="BD190" s="49"/>
      <c r="BE190" s="49"/>
      <c r="BF190" s="49"/>
      <c r="BG190" s="18" t="s">
        <v>1030</v>
      </c>
      <c r="BH190" s="18" t="s">
        <v>1031</v>
      </c>
    </row>
    <row r="191" spans="1:60" ht="15.75" customHeight="1" x14ac:dyDescent="0.2">
      <c r="A191" s="11">
        <v>190</v>
      </c>
      <c r="B191" s="12">
        <v>2755</v>
      </c>
      <c r="C191" s="13" t="s">
        <v>336</v>
      </c>
      <c r="D191" s="13" t="s">
        <v>338</v>
      </c>
      <c r="E191" s="23">
        <v>2011</v>
      </c>
      <c r="F191" s="23">
        <v>2011</v>
      </c>
      <c r="G191" s="13" t="s">
        <v>338</v>
      </c>
      <c r="H191" s="13"/>
      <c r="I191" s="13" t="s">
        <v>40</v>
      </c>
      <c r="J191" s="13" t="s">
        <v>40</v>
      </c>
      <c r="K191" s="13"/>
      <c r="L191" s="15">
        <v>100</v>
      </c>
      <c r="M191" s="16" t="s">
        <v>41</v>
      </c>
      <c r="N191" s="13" t="s">
        <v>50</v>
      </c>
      <c r="O191" s="14"/>
      <c r="P191" s="12">
        <f>IF(Q191="", 0, 1)</f>
        <v>0</v>
      </c>
      <c r="Q191" s="15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2">
        <f>IF(AC191="", 0, 1)</f>
        <v>0</v>
      </c>
      <c r="AC191" s="13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>
        <f>IF(AO191="", 0, 1)</f>
        <v>1</v>
      </c>
      <c r="AO191" s="12">
        <v>154</v>
      </c>
      <c r="AP191" s="12">
        <f>4*7</f>
        <v>28</v>
      </c>
      <c r="AQ191" s="12"/>
      <c r="AR191" s="12"/>
      <c r="AS191" s="12"/>
      <c r="AT191" s="12"/>
      <c r="AU191" s="12"/>
      <c r="AV191" s="12"/>
      <c r="AW191" s="12"/>
      <c r="AX191" s="12" t="str">
        <f>IF(AR191="", "mean", "med")</f>
        <v>mean</v>
      </c>
      <c r="AY191" s="12">
        <f>IF(AR191="", AP191, AR191)</f>
        <v>28</v>
      </c>
      <c r="AZ191" s="49" t="s">
        <v>52</v>
      </c>
      <c r="BA191" s="49" t="str">
        <f>IF(AZ191="high","high","lower")</f>
        <v>high</v>
      </c>
      <c r="BB191" s="49">
        <v>0.83799999999999997</v>
      </c>
      <c r="BC191" s="49"/>
      <c r="BD191" s="49"/>
      <c r="BE191" s="49"/>
      <c r="BF191" s="49"/>
      <c r="BG191" s="18" t="s">
        <v>1030</v>
      </c>
      <c r="BH191" s="18" t="s">
        <v>1031</v>
      </c>
    </row>
    <row r="192" spans="1:60" ht="15.75" customHeight="1" x14ac:dyDescent="0.2">
      <c r="A192" s="11">
        <v>191</v>
      </c>
      <c r="B192" s="12">
        <v>2755</v>
      </c>
      <c r="C192" s="13" t="s">
        <v>336</v>
      </c>
      <c r="D192" s="13" t="s">
        <v>339</v>
      </c>
      <c r="E192" s="23">
        <v>2011</v>
      </c>
      <c r="F192" s="23">
        <v>2011</v>
      </c>
      <c r="G192" s="13" t="s">
        <v>339</v>
      </c>
      <c r="H192" s="13"/>
      <c r="I192" s="13" t="s">
        <v>40</v>
      </c>
      <c r="J192" s="13" t="s">
        <v>40</v>
      </c>
      <c r="K192" s="14"/>
      <c r="L192" s="15">
        <v>100</v>
      </c>
      <c r="M192" s="16" t="s">
        <v>41</v>
      </c>
      <c r="N192" s="13" t="s">
        <v>50</v>
      </c>
      <c r="O192" s="13"/>
      <c r="P192" s="12">
        <f>IF(Q192="", 0, 1)</f>
        <v>0</v>
      </c>
      <c r="Q192" s="15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2">
        <f>IF(AC192="", 0, 1)</f>
        <v>0</v>
      </c>
      <c r="AC192" s="13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>
        <f>IF(AO192="", 0, 1)</f>
        <v>1</v>
      </c>
      <c r="AO192" s="12">
        <v>167</v>
      </c>
      <c r="AP192" s="12">
        <f>4.88*7</f>
        <v>34.159999999999997</v>
      </c>
      <c r="AQ192" s="12"/>
      <c r="AR192" s="12"/>
      <c r="AS192" s="12"/>
      <c r="AT192" s="12"/>
      <c r="AU192" s="12"/>
      <c r="AV192" s="12"/>
      <c r="AW192" s="12"/>
      <c r="AX192" s="12" t="str">
        <f>IF(AR192="", "mean", "med")</f>
        <v>mean</v>
      </c>
      <c r="AY192" s="12">
        <f>IF(AR192="", AP192, AR192)</f>
        <v>34.159999999999997</v>
      </c>
      <c r="AZ192" s="49" t="s">
        <v>52</v>
      </c>
      <c r="BA192" s="49" t="str">
        <f>IF(AZ192="high","high","lower")</f>
        <v>high</v>
      </c>
      <c r="BB192" s="49">
        <v>0.82299999999999995</v>
      </c>
      <c r="BC192" s="49"/>
      <c r="BD192" s="49"/>
      <c r="BE192" s="49"/>
      <c r="BF192" s="49"/>
      <c r="BG192" s="18" t="s">
        <v>1030</v>
      </c>
      <c r="BH192" s="18" t="s">
        <v>1031</v>
      </c>
    </row>
    <row r="193" spans="1:60" ht="15.75" customHeight="1" x14ac:dyDescent="0.2">
      <c r="A193" s="11">
        <v>192</v>
      </c>
      <c r="B193" s="12">
        <v>2755</v>
      </c>
      <c r="C193" s="13" t="s">
        <v>336</v>
      </c>
      <c r="D193" s="13" t="s">
        <v>340</v>
      </c>
      <c r="E193" s="23">
        <v>2011</v>
      </c>
      <c r="F193" s="23">
        <v>2011</v>
      </c>
      <c r="G193" s="13" t="s">
        <v>340</v>
      </c>
      <c r="H193" s="13"/>
      <c r="I193" s="14" t="s">
        <v>40</v>
      </c>
      <c r="J193" s="13" t="s">
        <v>40</v>
      </c>
      <c r="K193" s="13"/>
      <c r="L193" s="15">
        <v>100</v>
      </c>
      <c r="M193" s="16" t="s">
        <v>41</v>
      </c>
      <c r="N193" s="13" t="s">
        <v>50</v>
      </c>
      <c r="O193" s="14"/>
      <c r="P193" s="12">
        <f>IF(Q193="", 0, 1)</f>
        <v>0</v>
      </c>
      <c r="Q193" s="15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2">
        <f>IF(AC193="", 0, 1)</f>
        <v>0</v>
      </c>
      <c r="AC193" s="13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>
        <f>IF(AO193="", 0, 1)</f>
        <v>1</v>
      </c>
      <c r="AO193" s="12">
        <v>167</v>
      </c>
      <c r="AP193" s="12">
        <f>3.44*7</f>
        <v>24.08</v>
      </c>
      <c r="AQ193" s="12"/>
      <c r="AR193" s="12"/>
      <c r="AS193" s="12"/>
      <c r="AT193" s="12"/>
      <c r="AU193" s="12"/>
      <c r="AV193" s="12"/>
      <c r="AW193" s="12"/>
      <c r="AX193" s="12" t="str">
        <f>IF(AR193="", "mean", "med")</f>
        <v>mean</v>
      </c>
      <c r="AY193" s="12">
        <f>IF(AR193="", AP193, AR193)</f>
        <v>24.08</v>
      </c>
      <c r="AZ193" s="49" t="s">
        <v>52</v>
      </c>
      <c r="BA193" s="49" t="str">
        <f>IF(AZ193="high","high","lower")</f>
        <v>high</v>
      </c>
      <c r="BB193" s="49">
        <v>0.82799999999999996</v>
      </c>
      <c r="BC193" s="49"/>
      <c r="BD193" s="49"/>
      <c r="BE193" s="49"/>
      <c r="BF193" s="49"/>
      <c r="BG193" s="18" t="s">
        <v>1030</v>
      </c>
      <c r="BH193" s="18" t="s">
        <v>1031</v>
      </c>
    </row>
    <row r="194" spans="1:60" ht="15.75" customHeight="1" x14ac:dyDescent="0.2">
      <c r="A194" s="11">
        <v>193</v>
      </c>
      <c r="B194" s="12">
        <v>2755</v>
      </c>
      <c r="C194" s="13" t="s">
        <v>336</v>
      </c>
      <c r="D194" s="13" t="s">
        <v>145</v>
      </c>
      <c r="E194" s="23">
        <v>2011</v>
      </c>
      <c r="F194" s="23">
        <v>2011</v>
      </c>
      <c r="G194" s="13" t="s">
        <v>145</v>
      </c>
      <c r="H194" s="13"/>
      <c r="I194" s="13" t="s">
        <v>40</v>
      </c>
      <c r="J194" s="13" t="s">
        <v>40</v>
      </c>
      <c r="K194" s="13"/>
      <c r="L194" s="15">
        <v>100</v>
      </c>
      <c r="M194" s="16" t="s">
        <v>41</v>
      </c>
      <c r="N194" s="13" t="s">
        <v>50</v>
      </c>
      <c r="O194" s="14"/>
      <c r="P194" s="12">
        <f>IF(Q194="", 0, 1)</f>
        <v>0</v>
      </c>
      <c r="Q194" s="15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2">
        <f>IF(AC194="", 0, 1)</f>
        <v>0</v>
      </c>
      <c r="AC194" s="13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>
        <f>IF(AO194="", 0, 1)</f>
        <v>1</v>
      </c>
      <c r="AO194" s="12">
        <v>207</v>
      </c>
      <c r="AP194" s="12">
        <f>6.1*7</f>
        <v>42.699999999999996</v>
      </c>
      <c r="AQ194" s="12"/>
      <c r="AR194" s="12"/>
      <c r="AS194" s="12"/>
      <c r="AT194" s="12"/>
      <c r="AU194" s="12"/>
      <c r="AV194" s="12"/>
      <c r="AW194" s="12"/>
      <c r="AX194" s="12" t="str">
        <f>IF(AR194="", "mean", "med")</f>
        <v>mean</v>
      </c>
      <c r="AY194" s="12">
        <f>IF(AR194="", AP194, AR194)</f>
        <v>42.699999999999996</v>
      </c>
      <c r="AZ194" s="12" t="s">
        <v>46</v>
      </c>
      <c r="BA194" s="12" t="str">
        <f>IF(AZ194="high","high","lower")</f>
        <v>lower</v>
      </c>
      <c r="BB194" s="49">
        <v>0.58799999999999997</v>
      </c>
      <c r="BC194" s="12">
        <v>64.900000000000006</v>
      </c>
      <c r="BD194" s="12">
        <v>80.8</v>
      </c>
      <c r="BE194" s="12">
        <v>58.3</v>
      </c>
      <c r="BF194" s="12">
        <v>61.3</v>
      </c>
      <c r="BG194" s="18" t="s">
        <v>1030</v>
      </c>
      <c r="BH194" s="18" t="s">
        <v>1031</v>
      </c>
    </row>
    <row r="195" spans="1:60" ht="15.75" customHeight="1" x14ac:dyDescent="0.2">
      <c r="A195" s="11">
        <v>194</v>
      </c>
      <c r="B195" s="12">
        <v>2755</v>
      </c>
      <c r="C195" s="13" t="s">
        <v>336</v>
      </c>
      <c r="D195" s="13" t="s">
        <v>341</v>
      </c>
      <c r="E195" s="23">
        <v>2011</v>
      </c>
      <c r="F195" s="23">
        <v>2011</v>
      </c>
      <c r="G195" s="13" t="s">
        <v>341</v>
      </c>
      <c r="H195" s="13"/>
      <c r="I195" s="13" t="s">
        <v>40</v>
      </c>
      <c r="J195" s="13" t="s">
        <v>40</v>
      </c>
      <c r="K195" s="13"/>
      <c r="L195" s="15">
        <v>100</v>
      </c>
      <c r="M195" s="16" t="s">
        <v>41</v>
      </c>
      <c r="N195" s="13" t="s">
        <v>50</v>
      </c>
      <c r="O195" s="14"/>
      <c r="P195" s="12">
        <f>IF(Q195="", 0, 1)</f>
        <v>0</v>
      </c>
      <c r="Q195" s="15"/>
      <c r="R195" s="21"/>
      <c r="S195" s="17"/>
      <c r="T195" s="17"/>
      <c r="U195" s="17"/>
      <c r="V195" s="17"/>
      <c r="W195" s="17"/>
      <c r="X195" s="17"/>
      <c r="Y195" s="17"/>
      <c r="Z195" s="17"/>
      <c r="AA195" s="17"/>
      <c r="AB195" s="12">
        <f>IF(AC195="", 0, 1)</f>
        <v>0</v>
      </c>
      <c r="AC195" s="13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>
        <f>IF(AO195="", 0, 1)</f>
        <v>1</v>
      </c>
      <c r="AO195" s="12">
        <v>271</v>
      </c>
      <c r="AP195" s="12">
        <f>6.02*7</f>
        <v>42.14</v>
      </c>
      <c r="AQ195" s="12"/>
      <c r="AR195" s="12"/>
      <c r="AS195" s="12"/>
      <c r="AT195" s="12"/>
      <c r="AU195" s="12"/>
      <c r="AV195" s="12"/>
      <c r="AW195" s="12"/>
      <c r="AX195" s="12" t="str">
        <f>IF(AR195="", "mean", "med")</f>
        <v>mean</v>
      </c>
      <c r="AY195" s="12">
        <f>IF(AR195="", AP195, AR195)</f>
        <v>42.14</v>
      </c>
      <c r="AZ195" s="12" t="s">
        <v>43</v>
      </c>
      <c r="BA195" s="12" t="str">
        <f>IF(AZ195="high","high","lower")</f>
        <v>lower</v>
      </c>
      <c r="BB195" s="49">
        <v>0.80600000000000005</v>
      </c>
      <c r="BC195" s="12">
        <v>51.1</v>
      </c>
      <c r="BD195" s="12">
        <v>59.4</v>
      </c>
      <c r="BE195" s="12">
        <v>12.5</v>
      </c>
      <c r="BF195" s="12">
        <v>45</v>
      </c>
      <c r="BG195" s="18" t="s">
        <v>1030</v>
      </c>
      <c r="BH195" s="18" t="s">
        <v>1031</v>
      </c>
    </row>
    <row r="196" spans="1:60" ht="15.75" customHeight="1" x14ac:dyDescent="0.2">
      <c r="A196" s="11">
        <v>195</v>
      </c>
      <c r="B196" s="12">
        <v>2755</v>
      </c>
      <c r="C196" s="13" t="s">
        <v>336</v>
      </c>
      <c r="D196" s="13" t="s">
        <v>166</v>
      </c>
      <c r="E196" s="23">
        <v>2011</v>
      </c>
      <c r="F196" s="23">
        <v>2011</v>
      </c>
      <c r="G196" s="13" t="s">
        <v>166</v>
      </c>
      <c r="H196" s="13"/>
      <c r="I196" s="13" t="s">
        <v>40</v>
      </c>
      <c r="J196" s="13" t="s">
        <v>40</v>
      </c>
      <c r="K196" s="13"/>
      <c r="L196" s="15">
        <v>100</v>
      </c>
      <c r="M196" s="16" t="s">
        <v>41</v>
      </c>
      <c r="N196" s="13" t="s">
        <v>50</v>
      </c>
      <c r="O196" s="14"/>
      <c r="P196" s="12">
        <f>IF(Q196="", 0, 1)</f>
        <v>0</v>
      </c>
      <c r="Q196" s="15"/>
      <c r="R196" s="21"/>
      <c r="S196" s="17"/>
      <c r="T196" s="17"/>
      <c r="U196" s="17"/>
      <c r="V196" s="17"/>
      <c r="W196" s="17"/>
      <c r="X196" s="17"/>
      <c r="Y196" s="17"/>
      <c r="Z196" s="17"/>
      <c r="AA196" s="17"/>
      <c r="AB196" s="12">
        <f>IF(AC196="", 0, 1)</f>
        <v>0</v>
      </c>
      <c r="AC196" s="13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>
        <f>IF(AO196="", 0, 1)</f>
        <v>1</v>
      </c>
      <c r="AO196" s="12">
        <v>368</v>
      </c>
      <c r="AP196" s="12">
        <f>4.85*7</f>
        <v>33.949999999999996</v>
      </c>
      <c r="AQ196" s="12"/>
      <c r="AR196" s="12"/>
      <c r="AS196" s="12"/>
      <c r="AT196" s="12"/>
      <c r="AU196" s="12"/>
      <c r="AV196" s="12"/>
      <c r="AW196" s="12"/>
      <c r="AX196" s="12" t="str">
        <f>IF(AR196="", "mean", "med")</f>
        <v>mean</v>
      </c>
      <c r="AY196" s="12">
        <f>IF(AR196="", AP196, AR196)</f>
        <v>33.949999999999996</v>
      </c>
      <c r="AZ196" s="49" t="s">
        <v>46</v>
      </c>
      <c r="BA196" s="49" t="str">
        <f>IF(AZ196="high","high","lower")</f>
        <v>lower</v>
      </c>
      <c r="BB196" s="49">
        <v>0.83799999999999997</v>
      </c>
      <c r="BC196" s="49"/>
      <c r="BD196" s="49"/>
      <c r="BE196" s="49"/>
      <c r="BF196" s="49"/>
      <c r="BG196" s="18" t="s">
        <v>1030</v>
      </c>
      <c r="BH196" s="18" t="s">
        <v>1031</v>
      </c>
    </row>
    <row r="197" spans="1:60" ht="15.75" customHeight="1" x14ac:dyDescent="0.2">
      <c r="A197" s="11">
        <v>196</v>
      </c>
      <c r="B197" s="12">
        <v>2755</v>
      </c>
      <c r="C197" s="13" t="s">
        <v>336</v>
      </c>
      <c r="D197" s="13" t="s">
        <v>342</v>
      </c>
      <c r="E197" s="23">
        <v>2011</v>
      </c>
      <c r="F197" s="23">
        <v>2011</v>
      </c>
      <c r="G197" s="13" t="s">
        <v>342</v>
      </c>
      <c r="H197" s="13"/>
      <c r="I197" s="13" t="s">
        <v>40</v>
      </c>
      <c r="J197" s="13" t="s">
        <v>40</v>
      </c>
      <c r="K197" s="13"/>
      <c r="L197" s="15">
        <v>100</v>
      </c>
      <c r="M197" s="16" t="s">
        <v>41</v>
      </c>
      <c r="N197" s="13" t="s">
        <v>50</v>
      </c>
      <c r="O197" s="13"/>
      <c r="P197" s="12">
        <f>IF(Q197="", 0, 1)</f>
        <v>0</v>
      </c>
      <c r="Q197" s="19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2">
        <f>IF(AC197="", 0, 1)</f>
        <v>0</v>
      </c>
      <c r="AC197" s="13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>
        <f>IF(AO197="", 0, 1)</f>
        <v>1</v>
      </c>
      <c r="AO197" s="12">
        <v>448</v>
      </c>
      <c r="AP197" s="12">
        <f>4.83*7</f>
        <v>33.81</v>
      </c>
      <c r="AQ197" s="12"/>
      <c r="AR197" s="12"/>
      <c r="AS197" s="12"/>
      <c r="AT197" s="12"/>
      <c r="AU197" s="12"/>
      <c r="AV197" s="12"/>
      <c r="AW197" s="12"/>
      <c r="AX197" s="12" t="str">
        <f>IF(AR197="", "mean", "med")</f>
        <v>mean</v>
      </c>
      <c r="AY197" s="12">
        <f>IF(AR197="", AP197, AR197)</f>
        <v>33.81</v>
      </c>
      <c r="AZ197" s="49" t="s">
        <v>43</v>
      </c>
      <c r="BA197" s="49" t="str">
        <f>IF(AZ197="high","high","lower")</f>
        <v>lower</v>
      </c>
      <c r="BB197" s="49">
        <v>0.79100000000000004</v>
      </c>
      <c r="BC197" s="49"/>
      <c r="BD197" s="49"/>
      <c r="BE197" s="49"/>
      <c r="BF197" s="49"/>
      <c r="BG197" s="18" t="s">
        <v>1030</v>
      </c>
      <c r="BH197" s="18" t="s">
        <v>1031</v>
      </c>
    </row>
    <row r="198" spans="1:60" ht="15.75" customHeight="1" x14ac:dyDescent="0.2">
      <c r="A198" s="11">
        <v>197</v>
      </c>
      <c r="B198" s="12">
        <v>2755</v>
      </c>
      <c r="C198" s="13" t="s">
        <v>336</v>
      </c>
      <c r="D198" s="13" t="s">
        <v>140</v>
      </c>
      <c r="E198" s="23">
        <v>2011</v>
      </c>
      <c r="F198" s="23">
        <v>2011</v>
      </c>
      <c r="G198" s="13" t="s">
        <v>140</v>
      </c>
      <c r="H198" s="13"/>
      <c r="I198" s="13" t="s">
        <v>40</v>
      </c>
      <c r="J198" s="13" t="s">
        <v>40</v>
      </c>
      <c r="K198" s="13"/>
      <c r="L198" s="15">
        <v>100</v>
      </c>
      <c r="M198" s="16" t="s">
        <v>41</v>
      </c>
      <c r="N198" s="13" t="s">
        <v>50</v>
      </c>
      <c r="O198" s="14"/>
      <c r="P198" s="12">
        <f>IF(Q198="", 0, 1)</f>
        <v>0</v>
      </c>
      <c r="Q198" s="15"/>
      <c r="R198" s="21"/>
      <c r="S198" s="17"/>
      <c r="T198" s="17"/>
      <c r="U198" s="17"/>
      <c r="V198" s="17"/>
      <c r="W198" s="17"/>
      <c r="X198" s="17"/>
      <c r="Y198" s="17"/>
      <c r="Z198" s="17"/>
      <c r="AA198" s="17"/>
      <c r="AB198" s="12">
        <f>IF(AC198="", 0, 1)</f>
        <v>0</v>
      </c>
      <c r="AC198" s="13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>
        <f>IF(AO198="", 0, 1)</f>
        <v>1</v>
      </c>
      <c r="AO198" s="12">
        <v>557</v>
      </c>
      <c r="AP198" s="12">
        <f>3.61*7</f>
        <v>25.27</v>
      </c>
      <c r="AQ198" s="12"/>
      <c r="AR198" s="12"/>
      <c r="AS198" s="12"/>
      <c r="AT198" s="12"/>
      <c r="AU198" s="12"/>
      <c r="AV198" s="12"/>
      <c r="AW198" s="12"/>
      <c r="AX198" s="12" t="str">
        <f>IF(AR198="", "mean", "med")</f>
        <v>mean</v>
      </c>
      <c r="AY198" s="12">
        <f>IF(AR198="", AP198, AR198)</f>
        <v>25.27</v>
      </c>
      <c r="AZ198" s="49" t="s">
        <v>52</v>
      </c>
      <c r="BA198" s="49" t="str">
        <f>IF(AZ198="high","high","lower")</f>
        <v>high</v>
      </c>
      <c r="BB198" s="49">
        <v>0.84499999999999997</v>
      </c>
      <c r="BC198" s="49"/>
      <c r="BD198" s="49"/>
      <c r="BE198" s="49"/>
      <c r="BF198" s="49"/>
      <c r="BG198" s="18" t="s">
        <v>1030</v>
      </c>
      <c r="BH198" s="18" t="s">
        <v>1031</v>
      </c>
    </row>
    <row r="199" spans="1:60" ht="15.75" customHeight="1" x14ac:dyDescent="0.2">
      <c r="A199" s="11">
        <v>198</v>
      </c>
      <c r="B199" s="12">
        <v>2755</v>
      </c>
      <c r="C199" s="13" t="s">
        <v>336</v>
      </c>
      <c r="D199" s="13" t="s">
        <v>343</v>
      </c>
      <c r="E199" s="23">
        <v>2011</v>
      </c>
      <c r="F199" s="23">
        <v>2011</v>
      </c>
      <c r="G199" s="13" t="s">
        <v>343</v>
      </c>
      <c r="H199" s="13"/>
      <c r="I199" s="13" t="s">
        <v>40</v>
      </c>
      <c r="J199" s="13" t="s">
        <v>40</v>
      </c>
      <c r="K199" s="13"/>
      <c r="L199" s="15">
        <v>100</v>
      </c>
      <c r="M199" s="16" t="s">
        <v>41</v>
      </c>
      <c r="N199" s="13" t="s">
        <v>50</v>
      </c>
      <c r="O199" s="14"/>
      <c r="P199" s="12">
        <f>IF(Q199="", 0, 1)</f>
        <v>0</v>
      </c>
      <c r="Q199" s="15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2">
        <f>IF(AC199="", 0, 1)</f>
        <v>0</v>
      </c>
      <c r="AC199" s="13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>
        <f>IF(AO199="", 0, 1)</f>
        <v>1</v>
      </c>
      <c r="AO199" s="12">
        <v>663</v>
      </c>
      <c r="AP199" s="12">
        <f>4.47*7</f>
        <v>31.29</v>
      </c>
      <c r="AQ199" s="12"/>
      <c r="AR199" s="12"/>
      <c r="AS199" s="12"/>
      <c r="AT199" s="12"/>
      <c r="AU199" s="12"/>
      <c r="AV199" s="12"/>
      <c r="AW199" s="12"/>
      <c r="AX199" s="12" t="str">
        <f>IF(AR199="", "mean", "med")</f>
        <v>mean</v>
      </c>
      <c r="AY199" s="12">
        <f>IF(AR199="", AP199, AR199)</f>
        <v>31.29</v>
      </c>
      <c r="AZ199" s="49" t="s">
        <v>43</v>
      </c>
      <c r="BA199" s="49" t="str">
        <f>IF(AZ199="high","high","lower")</f>
        <v>lower</v>
      </c>
      <c r="BB199" s="49">
        <v>0.77600000000000002</v>
      </c>
      <c r="BC199" s="49"/>
      <c r="BD199" s="49"/>
      <c r="BE199" s="49"/>
      <c r="BF199" s="49"/>
      <c r="BG199" s="18" t="s">
        <v>1030</v>
      </c>
      <c r="BH199" s="18" t="s">
        <v>1031</v>
      </c>
    </row>
    <row r="200" spans="1:60" ht="15.75" customHeight="1" x14ac:dyDescent="0.2">
      <c r="A200" s="11">
        <v>199</v>
      </c>
      <c r="B200" s="12">
        <v>2755</v>
      </c>
      <c r="C200" s="13" t="s">
        <v>336</v>
      </c>
      <c r="D200" s="13" t="s">
        <v>201</v>
      </c>
      <c r="E200" s="23">
        <v>2011</v>
      </c>
      <c r="F200" s="23">
        <v>2011</v>
      </c>
      <c r="G200" s="14" t="s">
        <v>201</v>
      </c>
      <c r="H200" s="14"/>
      <c r="I200" s="13" t="s">
        <v>40</v>
      </c>
      <c r="J200" s="13" t="s">
        <v>40</v>
      </c>
      <c r="K200" s="13"/>
      <c r="L200" s="15">
        <v>100</v>
      </c>
      <c r="M200" s="16" t="s">
        <v>41</v>
      </c>
      <c r="N200" s="13" t="s">
        <v>50</v>
      </c>
      <c r="O200" s="14"/>
      <c r="P200" s="12">
        <f>IF(Q200="", 0, 1)</f>
        <v>0</v>
      </c>
      <c r="Q200" s="15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2">
        <f>IF(AC200="", 0, 1)</f>
        <v>0</v>
      </c>
      <c r="AC200" s="13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>
        <f>IF(AO200="", 0, 1)</f>
        <v>1</v>
      </c>
      <c r="AO200" s="12">
        <v>694</v>
      </c>
      <c r="AP200" s="12">
        <f>4.84*7</f>
        <v>33.879999999999995</v>
      </c>
      <c r="AQ200" s="12"/>
      <c r="AR200" s="12"/>
      <c r="AS200" s="12"/>
      <c r="AT200" s="12"/>
      <c r="AU200" s="12"/>
      <c r="AV200" s="12"/>
      <c r="AW200" s="12"/>
      <c r="AX200" s="12" t="str">
        <f>IF(AR200="", "mean", "med")</f>
        <v>mean</v>
      </c>
      <c r="AY200" s="12">
        <f>IF(AR200="", AP200, AR200)</f>
        <v>33.879999999999995</v>
      </c>
      <c r="AZ200" s="12" t="s">
        <v>52</v>
      </c>
      <c r="BA200" s="12" t="str">
        <f>IF(AZ200="high","high","lower")</f>
        <v>high</v>
      </c>
      <c r="BB200" s="49">
        <v>0.753</v>
      </c>
      <c r="BC200" s="12">
        <v>65.5</v>
      </c>
      <c r="BD200" s="12">
        <v>87.4</v>
      </c>
      <c r="BE200" s="12">
        <v>91.7</v>
      </c>
      <c r="BF200" s="12">
        <v>52.6</v>
      </c>
      <c r="BG200" s="18" t="s">
        <v>1030</v>
      </c>
      <c r="BH200" s="18" t="s">
        <v>1031</v>
      </c>
    </row>
    <row r="201" spans="1:60" ht="15.75" customHeight="1" x14ac:dyDescent="0.2">
      <c r="A201" s="11">
        <v>200</v>
      </c>
      <c r="B201" s="12">
        <v>2755</v>
      </c>
      <c r="C201" s="13" t="s">
        <v>336</v>
      </c>
      <c r="D201" s="13" t="s">
        <v>344</v>
      </c>
      <c r="E201" s="23">
        <v>2011</v>
      </c>
      <c r="F201" s="23">
        <v>2011</v>
      </c>
      <c r="G201" s="13" t="s">
        <v>344</v>
      </c>
      <c r="H201" s="13"/>
      <c r="I201" s="13" t="s">
        <v>40</v>
      </c>
      <c r="J201" s="13" t="s">
        <v>40</v>
      </c>
      <c r="K201" s="13"/>
      <c r="L201" s="15">
        <v>100</v>
      </c>
      <c r="M201" s="16" t="s">
        <v>41</v>
      </c>
      <c r="N201" s="13" t="s">
        <v>50</v>
      </c>
      <c r="O201" s="14"/>
      <c r="P201" s="12">
        <f>IF(Q201="", 0, 1)</f>
        <v>0</v>
      </c>
      <c r="Q201" s="15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2">
        <f>IF(AC201="", 0, 1)</f>
        <v>0</v>
      </c>
      <c r="AC201" s="13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>
        <f>IF(AO201="", 0, 1)</f>
        <v>1</v>
      </c>
      <c r="AO201" s="12">
        <v>718</v>
      </c>
      <c r="AP201" s="12">
        <f>4.81*7</f>
        <v>33.669999999999995</v>
      </c>
      <c r="AQ201" s="12"/>
      <c r="AR201" s="12"/>
      <c r="AS201" s="12"/>
      <c r="AT201" s="12"/>
      <c r="AU201" s="12"/>
      <c r="AV201" s="12"/>
      <c r="AW201" s="12"/>
      <c r="AX201" s="12" t="str">
        <f>IF(AR201="", "mean", "med")</f>
        <v>mean</v>
      </c>
      <c r="AY201" s="12">
        <f>IF(AR201="", AP201, AR201)</f>
        <v>33.669999999999995</v>
      </c>
      <c r="AZ201" s="12" t="s">
        <v>43</v>
      </c>
      <c r="BA201" s="12" t="str">
        <f>IF(AZ201="high","high","lower")</f>
        <v>lower</v>
      </c>
      <c r="BB201" s="49">
        <v>0.79</v>
      </c>
      <c r="BC201" s="12">
        <v>63.4</v>
      </c>
      <c r="BD201" s="12">
        <v>64.900000000000006</v>
      </c>
      <c r="BE201" s="12">
        <v>29.2</v>
      </c>
      <c r="BF201" s="12">
        <v>72.900000000000006</v>
      </c>
      <c r="BG201" s="18" t="s">
        <v>1030</v>
      </c>
      <c r="BH201" s="18" t="s">
        <v>1031</v>
      </c>
    </row>
    <row r="202" spans="1:60" ht="15.75" customHeight="1" x14ac:dyDescent="0.2">
      <c r="A202" s="11">
        <v>201</v>
      </c>
      <c r="B202" s="12">
        <v>2765</v>
      </c>
      <c r="C202" s="13" t="s">
        <v>345</v>
      </c>
      <c r="D202" s="13" t="s">
        <v>346</v>
      </c>
      <c r="E202" s="23">
        <v>2004</v>
      </c>
      <c r="F202" s="23">
        <v>2005</v>
      </c>
      <c r="G202" s="13" t="s">
        <v>205</v>
      </c>
      <c r="H202" s="13"/>
      <c r="I202" s="13" t="s">
        <v>40</v>
      </c>
      <c r="J202" s="13" t="s">
        <v>40</v>
      </c>
      <c r="K202" s="44"/>
      <c r="L202" s="15" t="s">
        <v>41</v>
      </c>
      <c r="M202" s="16" t="s">
        <v>41</v>
      </c>
      <c r="N202" s="13" t="s">
        <v>99</v>
      </c>
      <c r="O202" s="13"/>
      <c r="P202" s="12">
        <f>IF(Q202="", 0, 1)</f>
        <v>0</v>
      </c>
      <c r="Q202" s="15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2">
        <f>IF(AC202="", 0, 1)</f>
        <v>1</v>
      </c>
      <c r="AC202" s="13">
        <v>305</v>
      </c>
      <c r="AD202" s="12"/>
      <c r="AE202" s="12"/>
      <c r="AF202" s="12">
        <v>36</v>
      </c>
      <c r="AG202" s="12">
        <v>19</v>
      </c>
      <c r="AH202" s="12">
        <v>56</v>
      </c>
      <c r="AI202" s="12"/>
      <c r="AJ202" s="12"/>
      <c r="AK202" s="12"/>
      <c r="AL202" s="12" t="str">
        <f>IF(AF202="", "mean", "med")</f>
        <v>med</v>
      </c>
      <c r="AM202" s="12">
        <f>IF(AF202="", AD202, AF202)</f>
        <v>36</v>
      </c>
      <c r="AN202" s="12">
        <f>IF(AO202="", 0, 1)</f>
        <v>0</v>
      </c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49" t="s">
        <v>52</v>
      </c>
      <c r="BA202" s="49" t="str">
        <f>IF(AZ202="high","high","lower")</f>
        <v>high</v>
      </c>
      <c r="BB202" s="49">
        <v>0.90800000000000003</v>
      </c>
      <c r="BC202" s="49"/>
      <c r="BD202" s="49"/>
      <c r="BE202" s="49"/>
      <c r="BF202" s="49"/>
      <c r="BG202" s="18" t="s">
        <v>1034</v>
      </c>
      <c r="BH202" s="18" t="s">
        <v>1031</v>
      </c>
    </row>
    <row r="203" spans="1:60" ht="15.75" customHeight="1" x14ac:dyDescent="0.2">
      <c r="A203" s="11">
        <v>202</v>
      </c>
      <c r="B203" s="12">
        <v>2765</v>
      </c>
      <c r="C203" s="13" t="s">
        <v>345</v>
      </c>
      <c r="D203" s="14" t="s">
        <v>347</v>
      </c>
      <c r="E203" s="23">
        <v>2010</v>
      </c>
      <c r="F203" s="23">
        <v>2010</v>
      </c>
      <c r="G203" s="13" t="s">
        <v>205</v>
      </c>
      <c r="H203" s="13"/>
      <c r="I203" s="13" t="s">
        <v>40</v>
      </c>
      <c r="J203" s="13" t="s">
        <v>40</v>
      </c>
      <c r="K203" s="44"/>
      <c r="L203" s="15" t="s">
        <v>41</v>
      </c>
      <c r="M203" s="16" t="s">
        <v>41</v>
      </c>
      <c r="N203" s="13" t="s">
        <v>99</v>
      </c>
      <c r="O203" s="13"/>
      <c r="P203" s="12">
        <f>IF(Q203="", 0, 1)</f>
        <v>0</v>
      </c>
      <c r="Q203" s="15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2">
        <f>IF(AC203="", 0, 1)</f>
        <v>1</v>
      </c>
      <c r="AC203" s="13">
        <v>524</v>
      </c>
      <c r="AD203" s="12"/>
      <c r="AE203" s="12"/>
      <c r="AF203" s="12">
        <v>18</v>
      </c>
      <c r="AG203" s="12">
        <v>8</v>
      </c>
      <c r="AH203" s="12">
        <v>34</v>
      </c>
      <c r="AI203" s="12"/>
      <c r="AJ203" s="12"/>
      <c r="AK203" s="12"/>
      <c r="AL203" s="12" t="str">
        <f>IF(AF203="", "mean", "med")</f>
        <v>med</v>
      </c>
      <c r="AM203" s="12">
        <f>IF(AF203="", AD203, AF203)</f>
        <v>18</v>
      </c>
      <c r="AN203" s="12">
        <f>IF(AO203="", 0, 1)</f>
        <v>0</v>
      </c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49" t="s">
        <v>52</v>
      </c>
      <c r="BA203" s="49" t="str">
        <f>IF(AZ203="high","high","lower")</f>
        <v>high</v>
      </c>
      <c r="BB203" s="49">
        <v>0.91700000000000004</v>
      </c>
      <c r="BC203" s="49"/>
      <c r="BD203" s="49"/>
      <c r="BE203" s="49"/>
      <c r="BF203" s="49"/>
      <c r="BG203" s="18" t="s">
        <v>1034</v>
      </c>
      <c r="BH203" s="18" t="s">
        <v>1031</v>
      </c>
    </row>
    <row r="204" spans="1:60" ht="15.75" customHeight="1" x14ac:dyDescent="0.2">
      <c r="A204" s="11">
        <v>203</v>
      </c>
      <c r="B204" s="12">
        <v>2765</v>
      </c>
      <c r="C204" s="14" t="s">
        <v>345</v>
      </c>
      <c r="D204" s="13" t="s">
        <v>348</v>
      </c>
      <c r="E204" s="23">
        <v>2007</v>
      </c>
      <c r="F204" s="23">
        <v>2008</v>
      </c>
      <c r="G204" s="14" t="s">
        <v>205</v>
      </c>
      <c r="H204" s="14"/>
      <c r="I204" s="13" t="s">
        <v>40</v>
      </c>
      <c r="J204" s="13" t="s">
        <v>40</v>
      </c>
      <c r="K204" s="44"/>
      <c r="L204" s="19" t="s">
        <v>41</v>
      </c>
      <c r="M204" s="16" t="s">
        <v>41</v>
      </c>
      <c r="N204" s="13" t="s">
        <v>99</v>
      </c>
      <c r="O204" s="13"/>
      <c r="P204" s="12">
        <f>IF(Q204="", 0, 1)</f>
        <v>0</v>
      </c>
      <c r="Q204" s="15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2">
        <f>IF(AC204="", 0, 1)</f>
        <v>1</v>
      </c>
      <c r="AC204" s="13">
        <v>1084</v>
      </c>
      <c r="AD204" s="12"/>
      <c r="AE204" s="12"/>
      <c r="AF204" s="12">
        <v>21</v>
      </c>
      <c r="AG204" s="12">
        <v>13</v>
      </c>
      <c r="AH204" s="12">
        <v>36</v>
      </c>
      <c r="AI204" s="12"/>
      <c r="AJ204" s="12"/>
      <c r="AK204" s="12"/>
      <c r="AL204" s="12" t="str">
        <f>IF(AF204="", "mean", "med")</f>
        <v>med</v>
      </c>
      <c r="AM204" s="12">
        <f>IF(AF204="", AD204, AF204)</f>
        <v>21</v>
      </c>
      <c r="AN204" s="12">
        <f>IF(AO204="", 0, 1)</f>
        <v>0</v>
      </c>
      <c r="AO204" s="2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49" t="s">
        <v>52</v>
      </c>
      <c r="BA204" s="49" t="str">
        <f>IF(AZ204="high","high","lower")</f>
        <v>high</v>
      </c>
      <c r="BB204" s="49">
        <v>0.91400000000000003</v>
      </c>
      <c r="BC204" s="49"/>
      <c r="BD204" s="49"/>
      <c r="BE204" s="49"/>
      <c r="BF204" s="49"/>
      <c r="BG204" s="18" t="s">
        <v>1034</v>
      </c>
      <c r="BH204" s="18" t="s">
        <v>1031</v>
      </c>
    </row>
    <row r="205" spans="1:60" ht="15.75" customHeight="1" x14ac:dyDescent="0.2">
      <c r="A205" s="11">
        <v>204</v>
      </c>
      <c r="B205" s="12">
        <v>2765</v>
      </c>
      <c r="C205" s="13" t="s">
        <v>345</v>
      </c>
      <c r="D205" s="13" t="s">
        <v>349</v>
      </c>
      <c r="E205" s="23">
        <v>2004</v>
      </c>
      <c r="F205" s="23">
        <v>2005</v>
      </c>
      <c r="G205" s="13" t="s">
        <v>205</v>
      </c>
      <c r="H205" s="13"/>
      <c r="I205" s="13" t="s">
        <v>54</v>
      </c>
      <c r="J205" s="13" t="s">
        <v>55</v>
      </c>
      <c r="K205" s="13"/>
      <c r="L205" s="15" t="s">
        <v>41</v>
      </c>
      <c r="M205" s="16" t="s">
        <v>41</v>
      </c>
      <c r="N205" s="13" t="s">
        <v>99</v>
      </c>
      <c r="O205" s="13"/>
      <c r="P205" s="12">
        <f>IF(Q205="", 0, 1)</f>
        <v>0</v>
      </c>
      <c r="Q205" s="15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2">
        <f>IF(AC205="", 0, 1)</f>
        <v>1</v>
      </c>
      <c r="AC205" s="13">
        <v>282</v>
      </c>
      <c r="AD205" s="12"/>
      <c r="AE205" s="12"/>
      <c r="AF205" s="12">
        <v>55</v>
      </c>
      <c r="AG205" s="12">
        <v>27</v>
      </c>
      <c r="AH205" s="12">
        <v>95</v>
      </c>
      <c r="AI205" s="12"/>
      <c r="AJ205" s="12"/>
      <c r="AK205" s="12"/>
      <c r="AL205" s="12" t="str">
        <f>IF(AF205="", "mean", "med")</f>
        <v>med</v>
      </c>
      <c r="AM205" s="12">
        <f>IF(AF205="", AD205, AF205)</f>
        <v>55</v>
      </c>
      <c r="AN205" s="12">
        <f>IF(AO205="", 0, 1)</f>
        <v>0</v>
      </c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49" t="s">
        <v>52</v>
      </c>
      <c r="BA205" s="49" t="str">
        <f>IF(AZ205="high","high","lower")</f>
        <v>high</v>
      </c>
      <c r="BB205" s="49">
        <v>0.90800000000000003</v>
      </c>
      <c r="BC205" s="49"/>
      <c r="BD205" s="49"/>
      <c r="BE205" s="49"/>
      <c r="BF205" s="49"/>
      <c r="BG205" s="18" t="s">
        <v>1034</v>
      </c>
      <c r="BH205" s="18" t="s">
        <v>1031</v>
      </c>
    </row>
    <row r="206" spans="1:60" ht="15.75" customHeight="1" x14ac:dyDescent="0.2">
      <c r="A206" s="11">
        <v>205</v>
      </c>
      <c r="B206" s="22">
        <v>2765</v>
      </c>
      <c r="C206" s="13" t="s">
        <v>345</v>
      </c>
      <c r="D206" s="13" t="s">
        <v>350</v>
      </c>
      <c r="E206" s="23">
        <v>2010</v>
      </c>
      <c r="F206" s="23">
        <v>2010</v>
      </c>
      <c r="G206" s="13" t="s">
        <v>205</v>
      </c>
      <c r="H206" s="13"/>
      <c r="I206" s="13" t="s">
        <v>54</v>
      </c>
      <c r="J206" s="13" t="s">
        <v>55</v>
      </c>
      <c r="K206" s="14"/>
      <c r="L206" s="15" t="s">
        <v>41</v>
      </c>
      <c r="M206" s="20" t="s">
        <v>41</v>
      </c>
      <c r="N206" s="13" t="s">
        <v>99</v>
      </c>
      <c r="O206" s="13"/>
      <c r="P206" s="12">
        <f>IF(Q206="", 0, 1)</f>
        <v>0</v>
      </c>
      <c r="Q206" s="15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2">
        <f>IF(AC206="", 0, 1)</f>
        <v>1</v>
      </c>
      <c r="AC206" s="13">
        <v>619</v>
      </c>
      <c r="AD206" s="12"/>
      <c r="AE206" s="12"/>
      <c r="AF206" s="12">
        <v>31</v>
      </c>
      <c r="AG206" s="12">
        <v>14</v>
      </c>
      <c r="AH206" s="12">
        <v>69</v>
      </c>
      <c r="AI206" s="12"/>
      <c r="AJ206" s="12"/>
      <c r="AK206" s="12"/>
      <c r="AL206" s="12" t="str">
        <f>IF(AF206="", "mean", "med")</f>
        <v>med</v>
      </c>
      <c r="AM206" s="12">
        <f>IF(AF206="", AD206, AF206)</f>
        <v>31</v>
      </c>
      <c r="AN206" s="12">
        <f>IF(AO206="", 0, 1)</f>
        <v>0</v>
      </c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49" t="s">
        <v>52</v>
      </c>
      <c r="BA206" s="49" t="str">
        <f>IF(AZ206="high","high","lower")</f>
        <v>high</v>
      </c>
      <c r="BB206" s="49">
        <v>0.91700000000000004</v>
      </c>
      <c r="BC206" s="49"/>
      <c r="BD206" s="49"/>
      <c r="BE206" s="49"/>
      <c r="BF206" s="49"/>
      <c r="BG206" s="18" t="s">
        <v>1034</v>
      </c>
      <c r="BH206" s="18" t="s">
        <v>1031</v>
      </c>
    </row>
    <row r="207" spans="1:60" ht="15.75" customHeight="1" x14ac:dyDescent="0.2">
      <c r="A207" s="11">
        <v>206</v>
      </c>
      <c r="B207" s="12">
        <v>2765</v>
      </c>
      <c r="C207" s="13" t="s">
        <v>345</v>
      </c>
      <c r="D207" s="13" t="s">
        <v>351</v>
      </c>
      <c r="E207" s="23">
        <v>2007</v>
      </c>
      <c r="F207" s="23">
        <v>2008</v>
      </c>
      <c r="G207" s="13" t="s">
        <v>205</v>
      </c>
      <c r="H207" s="13"/>
      <c r="I207" s="13" t="s">
        <v>54</v>
      </c>
      <c r="J207" s="13" t="s">
        <v>55</v>
      </c>
      <c r="K207" s="14"/>
      <c r="L207" s="15" t="s">
        <v>41</v>
      </c>
      <c r="M207" s="16" t="s">
        <v>41</v>
      </c>
      <c r="N207" s="13" t="s">
        <v>99</v>
      </c>
      <c r="O207" s="13"/>
      <c r="P207" s="12">
        <f>IF(Q207="", 0, 1)</f>
        <v>0</v>
      </c>
      <c r="Q207" s="15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2">
        <f>IF(AC207="", 0, 1)</f>
        <v>1</v>
      </c>
      <c r="AC207" s="13">
        <v>1020</v>
      </c>
      <c r="AD207" s="12"/>
      <c r="AE207" s="12"/>
      <c r="AF207" s="12">
        <v>37</v>
      </c>
      <c r="AG207" s="12">
        <v>17</v>
      </c>
      <c r="AH207" s="12">
        <v>84</v>
      </c>
      <c r="AI207" s="12"/>
      <c r="AJ207" s="12"/>
      <c r="AK207" s="12"/>
      <c r="AL207" s="12" t="str">
        <f>IF(AF207="", "mean", "med")</f>
        <v>med</v>
      </c>
      <c r="AM207" s="12">
        <f>IF(AF207="", AD207, AF207)</f>
        <v>37</v>
      </c>
      <c r="AN207" s="12">
        <f>IF(AO207="", 0, 1)</f>
        <v>0</v>
      </c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49" t="s">
        <v>52</v>
      </c>
      <c r="BA207" s="49" t="str">
        <f>IF(AZ207="high","high","lower")</f>
        <v>high</v>
      </c>
      <c r="BB207" s="49">
        <v>0.91400000000000003</v>
      </c>
      <c r="BC207" s="49"/>
      <c r="BD207" s="49"/>
      <c r="BE207" s="49"/>
      <c r="BF207" s="49"/>
      <c r="BG207" s="18" t="s">
        <v>1034</v>
      </c>
      <c r="BH207" s="18" t="s">
        <v>1031</v>
      </c>
    </row>
    <row r="208" spans="1:60" ht="15.75" customHeight="1" x14ac:dyDescent="0.2">
      <c r="A208" s="11">
        <v>207</v>
      </c>
      <c r="B208" s="12">
        <v>2765</v>
      </c>
      <c r="C208" s="13" t="s">
        <v>345</v>
      </c>
      <c r="D208" s="13" t="s">
        <v>352</v>
      </c>
      <c r="E208" s="23">
        <v>2004</v>
      </c>
      <c r="F208" s="23">
        <v>2005</v>
      </c>
      <c r="G208" s="13" t="s">
        <v>205</v>
      </c>
      <c r="H208" s="13"/>
      <c r="I208" s="13" t="s">
        <v>57</v>
      </c>
      <c r="J208" s="32" t="s">
        <v>58</v>
      </c>
      <c r="K208" s="44"/>
      <c r="L208" s="15" t="s">
        <v>41</v>
      </c>
      <c r="M208" s="16" t="s">
        <v>41</v>
      </c>
      <c r="N208" s="13" t="s">
        <v>99</v>
      </c>
      <c r="O208" s="13"/>
      <c r="P208" s="12">
        <f>IF(Q208="", 0, 1)</f>
        <v>0</v>
      </c>
      <c r="Q208" s="15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2">
        <f>IF(AC208="", 0, 1)</f>
        <v>1</v>
      </c>
      <c r="AC208" s="13">
        <v>278</v>
      </c>
      <c r="AD208" s="12"/>
      <c r="AE208" s="12"/>
      <c r="AF208" s="12">
        <v>49</v>
      </c>
      <c r="AG208" s="12">
        <v>27</v>
      </c>
      <c r="AH208" s="12">
        <v>85</v>
      </c>
      <c r="AI208" s="12"/>
      <c r="AJ208" s="12"/>
      <c r="AK208" s="12"/>
      <c r="AL208" s="12" t="str">
        <f>IF(AF208="", "mean", "med")</f>
        <v>med</v>
      </c>
      <c r="AM208" s="12">
        <f>IF(AF208="", AD208, AF208)</f>
        <v>49</v>
      </c>
      <c r="AN208" s="12">
        <f>IF(AO208="", 0, 1)</f>
        <v>0</v>
      </c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49" t="s">
        <v>52</v>
      </c>
      <c r="BA208" s="49" t="str">
        <f>IF(AZ208="high","high","lower")</f>
        <v>high</v>
      </c>
      <c r="BB208" s="49">
        <v>0.90800000000000003</v>
      </c>
      <c r="BC208" s="49"/>
      <c r="BD208" s="49"/>
      <c r="BE208" s="49"/>
      <c r="BF208" s="49"/>
      <c r="BG208" s="18" t="s">
        <v>1034</v>
      </c>
      <c r="BH208" s="18" t="s">
        <v>1031</v>
      </c>
    </row>
    <row r="209" spans="1:60" ht="15.75" customHeight="1" x14ac:dyDescent="0.2">
      <c r="A209" s="11">
        <v>208</v>
      </c>
      <c r="B209" s="12">
        <v>2765</v>
      </c>
      <c r="C209" s="13" t="s">
        <v>345</v>
      </c>
      <c r="D209" s="13" t="s">
        <v>353</v>
      </c>
      <c r="E209" s="23">
        <v>2010</v>
      </c>
      <c r="F209" s="23">
        <v>2010</v>
      </c>
      <c r="G209" s="13" t="s">
        <v>205</v>
      </c>
      <c r="H209" s="13"/>
      <c r="I209" s="13" t="s">
        <v>57</v>
      </c>
      <c r="J209" s="32" t="s">
        <v>58</v>
      </c>
      <c r="K209" s="44"/>
      <c r="L209" s="15" t="s">
        <v>41</v>
      </c>
      <c r="M209" s="16" t="s">
        <v>41</v>
      </c>
      <c r="N209" s="13" t="s">
        <v>99</v>
      </c>
      <c r="O209" s="14"/>
      <c r="P209" s="12">
        <f>IF(Q209="", 0, 1)</f>
        <v>0</v>
      </c>
      <c r="Q209" s="15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2">
        <f>IF(AC209="", 0, 1)</f>
        <v>1</v>
      </c>
      <c r="AC209" s="13">
        <v>477</v>
      </c>
      <c r="AD209" s="12"/>
      <c r="AE209" s="12"/>
      <c r="AF209" s="12">
        <v>28</v>
      </c>
      <c r="AG209" s="12">
        <v>11</v>
      </c>
      <c r="AH209" s="12">
        <v>67</v>
      </c>
      <c r="AI209" s="12"/>
      <c r="AJ209" s="12"/>
      <c r="AK209" s="12"/>
      <c r="AL209" s="12" t="str">
        <f>IF(AF209="", "mean", "med")</f>
        <v>med</v>
      </c>
      <c r="AM209" s="12">
        <f>IF(AF209="", AD209, AF209)</f>
        <v>28</v>
      </c>
      <c r="AN209" s="12">
        <f>IF(AO209="", 0, 1)</f>
        <v>0</v>
      </c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49" t="s">
        <v>52</v>
      </c>
      <c r="BA209" s="49" t="str">
        <f>IF(AZ209="high","high","lower")</f>
        <v>high</v>
      </c>
      <c r="BB209" s="49">
        <v>0.91700000000000004</v>
      </c>
      <c r="BC209" s="49"/>
      <c r="BD209" s="49"/>
      <c r="BE209" s="49"/>
      <c r="BF209" s="49"/>
      <c r="BG209" s="18" t="s">
        <v>1034</v>
      </c>
      <c r="BH209" s="18" t="s">
        <v>1031</v>
      </c>
    </row>
    <row r="210" spans="1:60" ht="15.75" customHeight="1" x14ac:dyDescent="0.2">
      <c r="A210" s="11">
        <v>209</v>
      </c>
      <c r="B210" s="12">
        <v>2765</v>
      </c>
      <c r="C210" s="13" t="s">
        <v>345</v>
      </c>
      <c r="D210" s="13" t="s">
        <v>354</v>
      </c>
      <c r="E210" s="23">
        <v>2007</v>
      </c>
      <c r="F210" s="23">
        <v>2008</v>
      </c>
      <c r="G210" s="13" t="s">
        <v>205</v>
      </c>
      <c r="H210" s="13"/>
      <c r="I210" s="13" t="s">
        <v>57</v>
      </c>
      <c r="J210" s="32" t="s">
        <v>58</v>
      </c>
      <c r="K210" s="44"/>
      <c r="L210" s="15" t="s">
        <v>41</v>
      </c>
      <c r="M210" s="20" t="s">
        <v>41</v>
      </c>
      <c r="N210" s="13" t="s">
        <v>99</v>
      </c>
      <c r="O210" s="13"/>
      <c r="P210" s="12">
        <f>IF(Q210="", 0, 1)</f>
        <v>0</v>
      </c>
      <c r="Q210" s="15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2">
        <f>IF(AC210="", 0, 1)</f>
        <v>1</v>
      </c>
      <c r="AC210" s="13">
        <v>930</v>
      </c>
      <c r="AD210" s="12"/>
      <c r="AE210" s="12"/>
      <c r="AF210" s="12">
        <v>28</v>
      </c>
      <c r="AG210" s="12">
        <v>12</v>
      </c>
      <c r="AH210" s="12">
        <v>64</v>
      </c>
      <c r="AI210" s="12"/>
      <c r="AJ210" s="12"/>
      <c r="AK210" s="12"/>
      <c r="AL210" s="12" t="str">
        <f>IF(AF210="", "mean", "med")</f>
        <v>med</v>
      </c>
      <c r="AM210" s="12">
        <f>IF(AF210="", AD210, AF210)</f>
        <v>28</v>
      </c>
      <c r="AN210" s="12">
        <f>IF(AO210="", 0, 1)</f>
        <v>0</v>
      </c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49" t="s">
        <v>52</v>
      </c>
      <c r="BA210" s="49" t="str">
        <f>IF(AZ210="high","high","lower")</f>
        <v>high</v>
      </c>
      <c r="BB210" s="49">
        <v>0.91400000000000003</v>
      </c>
      <c r="BC210" s="49"/>
      <c r="BD210" s="49"/>
      <c r="BE210" s="49"/>
      <c r="BF210" s="49"/>
      <c r="BG210" s="18" t="s">
        <v>1034</v>
      </c>
      <c r="BH210" s="18" t="s">
        <v>1031</v>
      </c>
    </row>
    <row r="211" spans="1:60" ht="15.75" customHeight="1" x14ac:dyDescent="0.2">
      <c r="A211" s="11">
        <v>210</v>
      </c>
      <c r="B211" s="12">
        <v>2765</v>
      </c>
      <c r="C211" s="13" t="s">
        <v>345</v>
      </c>
      <c r="D211" s="14" t="s">
        <v>355</v>
      </c>
      <c r="E211" s="23">
        <v>2004</v>
      </c>
      <c r="F211" s="23">
        <v>2005</v>
      </c>
      <c r="G211" s="13" t="s">
        <v>205</v>
      </c>
      <c r="H211" s="13"/>
      <c r="I211" s="13" t="s">
        <v>70</v>
      </c>
      <c r="J211" s="32" t="s">
        <v>119</v>
      </c>
      <c r="K211" s="44"/>
      <c r="L211" s="15" t="s">
        <v>41</v>
      </c>
      <c r="M211" s="16" t="s">
        <v>41</v>
      </c>
      <c r="N211" s="13" t="s">
        <v>99</v>
      </c>
      <c r="O211" s="13"/>
      <c r="P211" s="12">
        <f>IF(Q211="", 0, 1)</f>
        <v>0</v>
      </c>
      <c r="Q211" s="15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2">
        <f>IF(AC211="", 0, 1)</f>
        <v>1</v>
      </c>
      <c r="AC211" s="13">
        <v>125</v>
      </c>
      <c r="AD211" s="12"/>
      <c r="AE211" s="12"/>
      <c r="AF211" s="12">
        <v>39</v>
      </c>
      <c r="AG211" s="12">
        <v>23</v>
      </c>
      <c r="AH211" s="12">
        <v>67</v>
      </c>
      <c r="AI211" s="12"/>
      <c r="AJ211" s="12"/>
      <c r="AK211" s="12"/>
      <c r="AL211" s="12" t="str">
        <f>IF(AF211="", "mean", "med")</f>
        <v>med</v>
      </c>
      <c r="AM211" s="12">
        <f>IF(AF211="", AD211, AF211)</f>
        <v>39</v>
      </c>
      <c r="AN211" s="12">
        <f>IF(AO211="", 0, 1)</f>
        <v>0</v>
      </c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49" t="s">
        <v>52</v>
      </c>
      <c r="BA211" s="49" t="str">
        <f>IF(AZ211="high","high","lower")</f>
        <v>high</v>
      </c>
      <c r="BB211" s="49">
        <v>0.90800000000000003</v>
      </c>
      <c r="BC211" s="49"/>
      <c r="BD211" s="49"/>
      <c r="BE211" s="49"/>
      <c r="BF211" s="49"/>
      <c r="BG211" s="18" t="s">
        <v>1034</v>
      </c>
      <c r="BH211" s="18" t="s">
        <v>1031</v>
      </c>
    </row>
    <row r="212" spans="1:60" ht="15.75" customHeight="1" x14ac:dyDescent="0.2">
      <c r="A212" s="11">
        <v>211</v>
      </c>
      <c r="B212" s="12">
        <v>2765</v>
      </c>
      <c r="C212" s="13" t="s">
        <v>345</v>
      </c>
      <c r="D212" s="13" t="s">
        <v>356</v>
      </c>
      <c r="E212" s="23">
        <v>2010</v>
      </c>
      <c r="F212" s="23">
        <v>2010</v>
      </c>
      <c r="G212" s="13" t="s">
        <v>205</v>
      </c>
      <c r="H212" s="13"/>
      <c r="I212" s="13" t="s">
        <v>70</v>
      </c>
      <c r="J212" s="32" t="s">
        <v>119</v>
      </c>
      <c r="K212" s="44"/>
      <c r="L212" s="15" t="s">
        <v>41</v>
      </c>
      <c r="M212" s="16" t="s">
        <v>41</v>
      </c>
      <c r="N212" s="13" t="s">
        <v>99</v>
      </c>
      <c r="O212" s="13"/>
      <c r="P212" s="12">
        <f>IF(Q212="", 0, 1)</f>
        <v>0</v>
      </c>
      <c r="Q212" s="15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2">
        <f>IF(AC212="", 0, 1)</f>
        <v>1</v>
      </c>
      <c r="AC212" s="13">
        <v>228</v>
      </c>
      <c r="AD212" s="12"/>
      <c r="AE212" s="12"/>
      <c r="AF212" s="12">
        <v>28</v>
      </c>
      <c r="AG212" s="12">
        <v>12</v>
      </c>
      <c r="AH212" s="12">
        <v>55</v>
      </c>
      <c r="AI212" s="12"/>
      <c r="AJ212" s="12"/>
      <c r="AK212" s="12"/>
      <c r="AL212" s="12" t="str">
        <f>IF(AF212="", "mean", "med")</f>
        <v>med</v>
      </c>
      <c r="AM212" s="12">
        <f>IF(AF212="", AD212, AF212)</f>
        <v>28</v>
      </c>
      <c r="AN212" s="12">
        <f>IF(AO212="", 0, 1)</f>
        <v>0</v>
      </c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49" t="s">
        <v>52</v>
      </c>
      <c r="BA212" s="49" t="str">
        <f>IF(AZ212="high","high","lower")</f>
        <v>high</v>
      </c>
      <c r="BB212" s="49">
        <v>0.91700000000000004</v>
      </c>
      <c r="BC212" s="49"/>
      <c r="BD212" s="49"/>
      <c r="BE212" s="49"/>
      <c r="BF212" s="49"/>
      <c r="BG212" s="18" t="s">
        <v>1034</v>
      </c>
      <c r="BH212" s="18" t="s">
        <v>1031</v>
      </c>
    </row>
    <row r="213" spans="1:60" ht="15.75" customHeight="1" x14ac:dyDescent="0.2">
      <c r="A213" s="11">
        <v>212</v>
      </c>
      <c r="B213" s="12">
        <v>2765</v>
      </c>
      <c r="C213" s="13" t="s">
        <v>345</v>
      </c>
      <c r="D213" s="13" t="s">
        <v>357</v>
      </c>
      <c r="E213" s="23">
        <v>2007</v>
      </c>
      <c r="F213" s="23">
        <v>2008</v>
      </c>
      <c r="G213" s="13" t="s">
        <v>205</v>
      </c>
      <c r="H213" s="13"/>
      <c r="I213" s="13" t="s">
        <v>70</v>
      </c>
      <c r="J213" s="32" t="s">
        <v>119</v>
      </c>
      <c r="K213" s="44"/>
      <c r="L213" s="15" t="s">
        <v>41</v>
      </c>
      <c r="M213" s="16" t="s">
        <v>41</v>
      </c>
      <c r="N213" s="13" t="s">
        <v>99</v>
      </c>
      <c r="O213" s="14"/>
      <c r="P213" s="12">
        <f>IF(Q213="", 0, 1)</f>
        <v>0</v>
      </c>
      <c r="Q213" s="15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2">
        <f>IF(AC213="", 0, 1)</f>
        <v>1</v>
      </c>
      <c r="AC213" s="13">
        <v>371</v>
      </c>
      <c r="AD213" s="12"/>
      <c r="AE213" s="12"/>
      <c r="AF213" s="12">
        <v>35</v>
      </c>
      <c r="AG213" s="12">
        <v>17</v>
      </c>
      <c r="AH213" s="12">
        <v>69</v>
      </c>
      <c r="AI213" s="12"/>
      <c r="AJ213" s="12"/>
      <c r="AK213" s="12"/>
      <c r="AL213" s="12" t="str">
        <f>IF(AF213="", "mean", "med")</f>
        <v>med</v>
      </c>
      <c r="AM213" s="12">
        <f>IF(AF213="", AD213, AF213)</f>
        <v>35</v>
      </c>
      <c r="AN213" s="12">
        <f>IF(AO213="", 0, 1)</f>
        <v>0</v>
      </c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49" t="s">
        <v>52</v>
      </c>
      <c r="BA213" s="49" t="str">
        <f>IF(AZ213="high","high","lower")</f>
        <v>high</v>
      </c>
      <c r="BB213" s="49">
        <v>0.91400000000000003</v>
      </c>
      <c r="BC213" s="49"/>
      <c r="BD213" s="49"/>
      <c r="BE213" s="49"/>
      <c r="BF213" s="49"/>
      <c r="BG213" s="18" t="s">
        <v>1034</v>
      </c>
      <c r="BH213" s="18" t="s">
        <v>1031</v>
      </c>
    </row>
    <row r="214" spans="1:60" ht="15.75" customHeight="1" x14ac:dyDescent="0.2">
      <c r="A214" s="11">
        <v>213</v>
      </c>
      <c r="B214" s="12">
        <v>2765</v>
      </c>
      <c r="C214" s="13" t="s">
        <v>345</v>
      </c>
      <c r="D214" s="13" t="s">
        <v>358</v>
      </c>
      <c r="E214" s="23">
        <v>2004</v>
      </c>
      <c r="F214" s="23">
        <v>2005</v>
      </c>
      <c r="G214" s="13" t="s">
        <v>205</v>
      </c>
      <c r="H214" s="13"/>
      <c r="I214" s="13" t="s">
        <v>59</v>
      </c>
      <c r="J214" s="13" t="s">
        <v>60</v>
      </c>
      <c r="K214" s="13"/>
      <c r="L214" s="15" t="s">
        <v>41</v>
      </c>
      <c r="M214" s="16" t="s">
        <v>41</v>
      </c>
      <c r="N214" s="13" t="s">
        <v>99</v>
      </c>
      <c r="O214" s="14"/>
      <c r="P214" s="12">
        <f>IF(Q214="", 0, 1)</f>
        <v>0</v>
      </c>
      <c r="Q214" s="15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2">
        <f>IF(AC214="", 0, 1)</f>
        <v>1</v>
      </c>
      <c r="AC214" s="13">
        <v>213</v>
      </c>
      <c r="AD214" s="12"/>
      <c r="AE214" s="12"/>
      <c r="AF214" s="12">
        <v>85</v>
      </c>
      <c r="AG214" s="12">
        <v>44</v>
      </c>
      <c r="AH214" s="12">
        <v>160</v>
      </c>
      <c r="AI214" s="12"/>
      <c r="AJ214" s="12"/>
      <c r="AK214" s="12"/>
      <c r="AL214" s="12" t="str">
        <f>IF(AF214="", "mean", "med")</f>
        <v>med</v>
      </c>
      <c r="AM214" s="12">
        <f>IF(AF214="", AD214, AF214)</f>
        <v>85</v>
      </c>
      <c r="AN214" s="12">
        <f>IF(AO214="", 0, 1)</f>
        <v>0</v>
      </c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49" t="s">
        <v>52</v>
      </c>
      <c r="BA214" s="49" t="str">
        <f>IF(AZ214="high","high","lower")</f>
        <v>high</v>
      </c>
      <c r="BB214" s="49">
        <v>0.90800000000000003</v>
      </c>
      <c r="BC214" s="49"/>
      <c r="BD214" s="49"/>
      <c r="BE214" s="49"/>
      <c r="BF214" s="49"/>
      <c r="BG214" s="18" t="s">
        <v>1034</v>
      </c>
      <c r="BH214" s="18" t="s">
        <v>1031</v>
      </c>
    </row>
    <row r="215" spans="1:60" ht="15.75" customHeight="1" x14ac:dyDescent="0.2">
      <c r="A215" s="11">
        <v>214</v>
      </c>
      <c r="B215" s="12">
        <v>2765</v>
      </c>
      <c r="C215" s="13" t="s">
        <v>345</v>
      </c>
      <c r="D215" s="13" t="s">
        <v>359</v>
      </c>
      <c r="E215" s="23">
        <v>2010</v>
      </c>
      <c r="F215" s="23">
        <v>2010</v>
      </c>
      <c r="G215" s="13" t="s">
        <v>205</v>
      </c>
      <c r="H215" s="13"/>
      <c r="I215" s="13" t="s">
        <v>59</v>
      </c>
      <c r="J215" s="13" t="s">
        <v>60</v>
      </c>
      <c r="K215" s="13"/>
      <c r="L215" s="15" t="s">
        <v>41</v>
      </c>
      <c r="M215" s="16" t="s">
        <v>41</v>
      </c>
      <c r="N215" s="13" t="s">
        <v>99</v>
      </c>
      <c r="O215" s="14"/>
      <c r="P215" s="12">
        <f>IF(Q215="", 0, 1)</f>
        <v>0</v>
      </c>
      <c r="Q215" s="15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2">
        <f>IF(AC215="", 0, 1)</f>
        <v>1</v>
      </c>
      <c r="AC215" s="13">
        <v>560</v>
      </c>
      <c r="AD215" s="12"/>
      <c r="AE215" s="12"/>
      <c r="AF215" s="12">
        <v>46</v>
      </c>
      <c r="AG215" s="12">
        <v>21</v>
      </c>
      <c r="AH215" s="12">
        <v>108</v>
      </c>
      <c r="AI215" s="12"/>
      <c r="AJ215" s="12"/>
      <c r="AK215" s="12"/>
      <c r="AL215" s="12" t="str">
        <f>IF(AF215="", "mean", "med")</f>
        <v>med</v>
      </c>
      <c r="AM215" s="12">
        <f>IF(AF215="", AD215, AF215)</f>
        <v>46</v>
      </c>
      <c r="AN215" s="12">
        <f>IF(AO215="", 0, 1)</f>
        <v>0</v>
      </c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49" t="s">
        <v>52</v>
      </c>
      <c r="BA215" s="49" t="str">
        <f>IF(AZ215="high","high","lower")</f>
        <v>high</v>
      </c>
      <c r="BB215" s="49">
        <v>0.91700000000000004</v>
      </c>
      <c r="BC215" s="49"/>
      <c r="BD215" s="49"/>
      <c r="BE215" s="49"/>
      <c r="BF215" s="49"/>
      <c r="BG215" s="18" t="s">
        <v>1034</v>
      </c>
      <c r="BH215" s="18" t="s">
        <v>1031</v>
      </c>
    </row>
    <row r="216" spans="1:60" ht="15.75" customHeight="1" x14ac:dyDescent="0.2">
      <c r="A216" s="11">
        <v>215</v>
      </c>
      <c r="B216" s="12">
        <v>2765</v>
      </c>
      <c r="C216" s="13" t="s">
        <v>345</v>
      </c>
      <c r="D216" s="14" t="s">
        <v>360</v>
      </c>
      <c r="E216" s="23">
        <v>2007</v>
      </c>
      <c r="F216" s="23">
        <v>2008</v>
      </c>
      <c r="G216" s="13" t="s">
        <v>205</v>
      </c>
      <c r="H216" s="13"/>
      <c r="I216" s="13" t="s">
        <v>59</v>
      </c>
      <c r="J216" s="13" t="s">
        <v>60</v>
      </c>
      <c r="K216" s="13"/>
      <c r="L216" s="15" t="s">
        <v>41</v>
      </c>
      <c r="M216" s="16" t="s">
        <v>41</v>
      </c>
      <c r="N216" s="13" t="s">
        <v>99</v>
      </c>
      <c r="O216" s="13"/>
      <c r="P216" s="12">
        <f>IF(Q216="", 0, 1)</f>
        <v>0</v>
      </c>
      <c r="Q216" s="15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2">
        <f>IF(AC216="", 0, 1)</f>
        <v>1</v>
      </c>
      <c r="AC216" s="13">
        <v>858</v>
      </c>
      <c r="AD216" s="12"/>
      <c r="AE216" s="12"/>
      <c r="AF216" s="12">
        <v>57</v>
      </c>
      <c r="AG216" s="12">
        <v>30</v>
      </c>
      <c r="AH216" s="12">
        <v>128</v>
      </c>
      <c r="AI216" s="12"/>
      <c r="AJ216" s="12"/>
      <c r="AK216" s="12"/>
      <c r="AL216" s="12" t="str">
        <f>IF(AF216="", "mean", "med")</f>
        <v>med</v>
      </c>
      <c r="AM216" s="12">
        <f>IF(AF216="", AD216, AF216)</f>
        <v>57</v>
      </c>
      <c r="AN216" s="12">
        <f>IF(AO216="", 0, 1)</f>
        <v>0</v>
      </c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49" t="s">
        <v>52</v>
      </c>
      <c r="BA216" s="49" t="str">
        <f>IF(AZ216="high","high","lower")</f>
        <v>high</v>
      </c>
      <c r="BB216" s="49">
        <v>0.91400000000000003</v>
      </c>
      <c r="BC216" s="49"/>
      <c r="BD216" s="49"/>
      <c r="BE216" s="49"/>
      <c r="BF216" s="49"/>
      <c r="BG216" s="18" t="s">
        <v>1034</v>
      </c>
      <c r="BH216" s="18" t="s">
        <v>1031</v>
      </c>
    </row>
    <row r="217" spans="1:60" ht="15.75" customHeight="1" x14ac:dyDescent="0.2">
      <c r="A217" s="11">
        <v>216</v>
      </c>
      <c r="B217" s="22">
        <v>2769</v>
      </c>
      <c r="C217" s="13" t="s">
        <v>345</v>
      </c>
      <c r="D217" s="13" t="s">
        <v>38</v>
      </c>
      <c r="E217" s="23">
        <v>2010</v>
      </c>
      <c r="F217" s="23">
        <v>2010</v>
      </c>
      <c r="G217" s="13" t="s">
        <v>205</v>
      </c>
      <c r="H217" s="13"/>
      <c r="I217" s="13" t="s">
        <v>54</v>
      </c>
      <c r="J217" s="13" t="s">
        <v>55</v>
      </c>
      <c r="K217" s="14"/>
      <c r="L217" s="15">
        <v>44.3</v>
      </c>
      <c r="M217" s="16">
        <v>67.7</v>
      </c>
      <c r="N217" s="13" t="s">
        <v>42</v>
      </c>
      <c r="O217" s="14"/>
      <c r="P217" s="12">
        <f>IF(Q217="", 0, 1)</f>
        <v>0</v>
      </c>
      <c r="Q217" s="15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2">
        <f>IF(AC217="", 0, 1)</f>
        <v>0</v>
      </c>
      <c r="AC217" s="13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>
        <f>IF(AO217="", 0, 1)</f>
        <v>1</v>
      </c>
      <c r="AO217" s="12">
        <v>436</v>
      </c>
      <c r="AP217" s="12"/>
      <c r="AQ217" s="12"/>
      <c r="AR217" s="12">
        <v>30</v>
      </c>
      <c r="AS217" s="12"/>
      <c r="AT217" s="12"/>
      <c r="AU217" s="12"/>
      <c r="AV217" s="12"/>
      <c r="AW217" s="12"/>
      <c r="AX217" s="12" t="str">
        <f>IF(AR217="", "mean", "med")</f>
        <v>med</v>
      </c>
      <c r="AY217" s="12">
        <f>IF(AR217="", AP217, AR217)</f>
        <v>30</v>
      </c>
      <c r="AZ217" s="49" t="s">
        <v>52</v>
      </c>
      <c r="BA217" s="49" t="str">
        <f>IF(AZ217="high","high","lower")</f>
        <v>high</v>
      </c>
      <c r="BB217" s="49">
        <v>0.91700000000000004</v>
      </c>
      <c r="BC217" s="49"/>
      <c r="BD217" s="49"/>
      <c r="BE217" s="49"/>
      <c r="BF217" s="49"/>
      <c r="BG217" s="18" t="s">
        <v>1030</v>
      </c>
      <c r="BH217" s="18" t="s">
        <v>1031</v>
      </c>
    </row>
    <row r="218" spans="1:60" ht="15.75" customHeight="1" x14ac:dyDescent="0.2">
      <c r="A218" s="11">
        <v>217</v>
      </c>
      <c r="B218" s="12">
        <v>2772</v>
      </c>
      <c r="C218" s="13" t="s">
        <v>361</v>
      </c>
      <c r="D218" s="13" t="s">
        <v>362</v>
      </c>
      <c r="E218" s="23">
        <v>1999</v>
      </c>
      <c r="F218" s="23">
        <v>2013</v>
      </c>
      <c r="G218" s="13" t="s">
        <v>363</v>
      </c>
      <c r="H218" s="13"/>
      <c r="I218" s="13" t="s">
        <v>79</v>
      </c>
      <c r="J218" s="13" t="s">
        <v>364</v>
      </c>
      <c r="K218" s="13" t="s">
        <v>1019</v>
      </c>
      <c r="L218" s="15">
        <v>84</v>
      </c>
      <c r="M218" s="16">
        <v>48.2</v>
      </c>
      <c r="N218" s="13" t="s">
        <v>42</v>
      </c>
      <c r="O218" s="13" t="s">
        <v>90</v>
      </c>
      <c r="P218" s="12">
        <f>IF(Q218="", 0, 1)</f>
        <v>1</v>
      </c>
      <c r="Q218" s="15">
        <v>4209</v>
      </c>
      <c r="R218" s="17"/>
      <c r="S218" s="17"/>
      <c r="T218" s="17">
        <f>3*30</f>
        <v>90</v>
      </c>
      <c r="U218" s="17">
        <f>1.6*30</f>
        <v>48</v>
      </c>
      <c r="V218" s="17">
        <f>4.4*30</f>
        <v>132</v>
      </c>
      <c r="W218" s="17"/>
      <c r="X218" s="17"/>
      <c r="Y218" s="17"/>
      <c r="Z218" s="17" t="str">
        <f>IF(T218="", "mean", "med")</f>
        <v>med</v>
      </c>
      <c r="AA218" s="17">
        <f>IF(T218="", R218, T218)</f>
        <v>90</v>
      </c>
      <c r="AB218" s="12">
        <f>IF(AC218="", 0, 1)</f>
        <v>0</v>
      </c>
      <c r="AC218" s="13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>
        <f>IF(AO218="", 0, 1)</f>
        <v>0</v>
      </c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 t="s">
        <v>52</v>
      </c>
      <c r="BA218" s="12" t="str">
        <f>IF(AZ218="high","high","lower")</f>
        <v>high</v>
      </c>
      <c r="BB218" s="49">
        <v>0.86299999999999999</v>
      </c>
      <c r="BC218" s="12">
        <v>80.400000000000006</v>
      </c>
      <c r="BD218" s="12">
        <v>86.7</v>
      </c>
      <c r="BE218" s="12">
        <v>83.3</v>
      </c>
      <c r="BF218" s="12">
        <v>80</v>
      </c>
      <c r="BG218" s="18" t="s">
        <v>1030</v>
      </c>
      <c r="BH218" s="18" t="s">
        <v>1031</v>
      </c>
    </row>
    <row r="219" spans="1:60" ht="15.75" customHeight="1" x14ac:dyDescent="0.2">
      <c r="A219" s="11">
        <v>218</v>
      </c>
      <c r="B219" s="12">
        <v>2772</v>
      </c>
      <c r="C219" s="13" t="s">
        <v>361</v>
      </c>
      <c r="D219" s="13" t="s">
        <v>365</v>
      </c>
      <c r="E219" s="23">
        <v>1999</v>
      </c>
      <c r="F219" s="23">
        <v>2013</v>
      </c>
      <c r="G219" s="13" t="s">
        <v>363</v>
      </c>
      <c r="H219" s="13"/>
      <c r="I219" s="13" t="s">
        <v>79</v>
      </c>
      <c r="J219" s="13" t="s">
        <v>364</v>
      </c>
      <c r="K219" s="13" t="s">
        <v>1019</v>
      </c>
      <c r="L219" s="15">
        <v>81</v>
      </c>
      <c r="M219" s="16">
        <v>48.9</v>
      </c>
      <c r="N219" s="13" t="s">
        <v>42</v>
      </c>
      <c r="O219" s="13" t="s">
        <v>90</v>
      </c>
      <c r="P219" s="12">
        <f>IF(Q219="", 0, 1)</f>
        <v>1</v>
      </c>
      <c r="Q219" s="15">
        <v>1560</v>
      </c>
      <c r="R219" s="21"/>
      <c r="S219" s="17"/>
      <c r="T219" s="17">
        <f>8*30</f>
        <v>240</v>
      </c>
      <c r="U219" s="17">
        <f>6.7*30</f>
        <v>201</v>
      </c>
      <c r="V219" s="17">
        <f>9.4*30</f>
        <v>282</v>
      </c>
      <c r="W219" s="17"/>
      <c r="X219" s="17"/>
      <c r="Y219" s="17"/>
      <c r="Z219" s="17" t="str">
        <f>IF(T219="", "mean", "med")</f>
        <v>med</v>
      </c>
      <c r="AA219" s="17">
        <f>IF(T219="", R219, T219)</f>
        <v>240</v>
      </c>
      <c r="AB219" s="12">
        <f>IF(AC219="", 0, 1)</f>
        <v>0</v>
      </c>
      <c r="AC219" s="13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>
        <f>IF(AO219="", 0, 1)</f>
        <v>0</v>
      </c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 t="s">
        <v>52</v>
      </c>
      <c r="BA219" s="12" t="str">
        <f>IF(AZ219="high","high","lower")</f>
        <v>high</v>
      </c>
      <c r="BB219" s="49">
        <v>0.86299999999999999</v>
      </c>
      <c r="BC219" s="12">
        <v>80.400000000000006</v>
      </c>
      <c r="BD219" s="12">
        <v>86.7</v>
      </c>
      <c r="BE219" s="12">
        <v>83.3</v>
      </c>
      <c r="BF219" s="12">
        <v>80</v>
      </c>
      <c r="BG219" s="18" t="s">
        <v>1030</v>
      </c>
      <c r="BH219" s="18" t="s">
        <v>1031</v>
      </c>
    </row>
    <row r="220" spans="1:60" ht="15.75" customHeight="1" x14ac:dyDescent="0.2">
      <c r="A220" s="11">
        <v>219</v>
      </c>
      <c r="B220" s="12">
        <v>2772</v>
      </c>
      <c r="C220" s="13" t="s">
        <v>361</v>
      </c>
      <c r="D220" s="13" t="s">
        <v>366</v>
      </c>
      <c r="E220" s="23">
        <v>1999</v>
      </c>
      <c r="F220" s="23">
        <v>2013</v>
      </c>
      <c r="G220" s="13" t="s">
        <v>363</v>
      </c>
      <c r="H220" s="13"/>
      <c r="I220" s="13" t="s">
        <v>79</v>
      </c>
      <c r="J220" s="13" t="s">
        <v>364</v>
      </c>
      <c r="K220" s="13" t="s">
        <v>1019</v>
      </c>
      <c r="L220" s="15">
        <v>80</v>
      </c>
      <c r="M220" s="16">
        <v>50.1</v>
      </c>
      <c r="N220" s="13" t="s">
        <v>42</v>
      </c>
      <c r="O220" s="13" t="s">
        <v>90</v>
      </c>
      <c r="P220" s="12">
        <f>IF(Q220="", 0, 1)</f>
        <v>1</v>
      </c>
      <c r="Q220" s="15">
        <v>448</v>
      </c>
      <c r="R220" s="21"/>
      <c r="S220" s="17"/>
      <c r="T220" s="17">
        <f>17*30</f>
        <v>510</v>
      </c>
      <c r="U220" s="17">
        <f>13.6*30</f>
        <v>408</v>
      </c>
      <c r="V220" s="17">
        <f>23.9*30</f>
        <v>717</v>
      </c>
      <c r="W220" s="17"/>
      <c r="X220" s="17"/>
      <c r="Y220" s="17"/>
      <c r="Z220" s="17" t="str">
        <f>IF(T220="", "mean", "med")</f>
        <v>med</v>
      </c>
      <c r="AA220" s="17">
        <f>IF(T220="", R220, T220)</f>
        <v>510</v>
      </c>
      <c r="AB220" s="12">
        <f>IF(AC220="", 0, 1)</f>
        <v>0</v>
      </c>
      <c r="AC220" s="13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>
        <f>IF(AO220="", 0, 1)</f>
        <v>0</v>
      </c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 t="s">
        <v>52</v>
      </c>
      <c r="BA220" s="12" t="str">
        <f>IF(AZ220="high","high","lower")</f>
        <v>high</v>
      </c>
      <c r="BB220" s="49">
        <v>0.86299999999999999</v>
      </c>
      <c r="BC220" s="12">
        <v>80.400000000000006</v>
      </c>
      <c r="BD220" s="12">
        <v>86.7</v>
      </c>
      <c r="BE220" s="12">
        <v>83.3</v>
      </c>
      <c r="BF220" s="12">
        <v>80</v>
      </c>
      <c r="BG220" s="18" t="s">
        <v>1030</v>
      </c>
      <c r="BH220" s="18" t="s">
        <v>1031</v>
      </c>
    </row>
    <row r="221" spans="1:60" ht="15.75" customHeight="1" x14ac:dyDescent="0.2">
      <c r="A221" s="11">
        <v>220</v>
      </c>
      <c r="B221" s="12">
        <v>2784</v>
      </c>
      <c r="C221" s="13" t="s">
        <v>367</v>
      </c>
      <c r="D221" s="13" t="s">
        <v>38</v>
      </c>
      <c r="E221" s="23">
        <v>2006</v>
      </c>
      <c r="F221" s="23">
        <v>2015</v>
      </c>
      <c r="G221" s="13" t="s">
        <v>264</v>
      </c>
      <c r="H221" s="13"/>
      <c r="I221" s="13" t="s">
        <v>57</v>
      </c>
      <c r="J221" s="13" t="s">
        <v>58</v>
      </c>
      <c r="K221" s="13"/>
      <c r="L221" s="15">
        <v>26.2</v>
      </c>
      <c r="M221" s="16">
        <v>37</v>
      </c>
      <c r="N221" s="13" t="s">
        <v>50</v>
      </c>
      <c r="O221" s="13" t="s">
        <v>41</v>
      </c>
      <c r="P221" s="12">
        <f>IF(Q221="", 0, 1)</f>
        <v>1</v>
      </c>
      <c r="Q221" s="15">
        <v>103</v>
      </c>
      <c r="R221" s="17"/>
      <c r="S221" s="17"/>
      <c r="T221" s="17">
        <v>6</v>
      </c>
      <c r="U221" s="17">
        <v>3</v>
      </c>
      <c r="V221" s="17">
        <v>13</v>
      </c>
      <c r="W221" s="17"/>
      <c r="X221" s="17"/>
      <c r="Y221" s="17"/>
      <c r="Z221" s="17" t="str">
        <f>IF(T221="", "mean", "med")</f>
        <v>med</v>
      </c>
      <c r="AA221" s="17">
        <f>IF(T221="", R221, T221)</f>
        <v>6</v>
      </c>
      <c r="AB221" s="12">
        <f>IF(AC221="", 0, 1)</f>
        <v>0</v>
      </c>
      <c r="AC221" s="13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>
        <f>IF(AO221="", 0, 1)</f>
        <v>0</v>
      </c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 t="s">
        <v>43</v>
      </c>
      <c r="BA221" s="12" t="str">
        <f>IF(AZ221="high","high","lower")</f>
        <v>lower</v>
      </c>
      <c r="BB221" s="49">
        <v>0.7</v>
      </c>
      <c r="BC221" s="12">
        <v>64.5</v>
      </c>
      <c r="BD221" s="12">
        <v>73.099999999999994</v>
      </c>
      <c r="BE221" s="12">
        <v>50</v>
      </c>
      <c r="BF221" s="12">
        <v>61.3</v>
      </c>
      <c r="BG221" s="18" t="s">
        <v>1032</v>
      </c>
      <c r="BH221" s="18" t="s">
        <v>1033</v>
      </c>
    </row>
    <row r="222" spans="1:60" ht="15.75" customHeight="1" x14ac:dyDescent="0.2">
      <c r="A222" s="11">
        <v>221</v>
      </c>
      <c r="B222" s="12">
        <v>2793</v>
      </c>
      <c r="C222" s="13" t="s">
        <v>368</v>
      </c>
      <c r="D222" s="13" t="s">
        <v>369</v>
      </c>
      <c r="E222" s="23">
        <v>1992</v>
      </c>
      <c r="F222" s="23">
        <v>2009</v>
      </c>
      <c r="G222" s="13" t="s">
        <v>370</v>
      </c>
      <c r="H222" s="13"/>
      <c r="I222" s="13" t="s">
        <v>40</v>
      </c>
      <c r="J222" s="13" t="s">
        <v>40</v>
      </c>
      <c r="K222" s="13"/>
      <c r="L222" s="15">
        <v>100</v>
      </c>
      <c r="M222" s="16" t="s">
        <v>41</v>
      </c>
      <c r="N222" s="13" t="s">
        <v>99</v>
      </c>
      <c r="O222" s="14" t="s">
        <v>41</v>
      </c>
      <c r="P222" s="12">
        <f>IF(Q222="", 0, 1)</f>
        <v>1</v>
      </c>
      <c r="Q222" s="15">
        <v>28</v>
      </c>
      <c r="R222" s="17"/>
      <c r="S222" s="17"/>
      <c r="T222" s="17">
        <v>26</v>
      </c>
      <c r="U222" s="17"/>
      <c r="V222" s="17"/>
      <c r="W222" s="17"/>
      <c r="X222" s="17"/>
      <c r="Y222" s="17"/>
      <c r="Z222" s="17" t="str">
        <f>IF(T222="", "mean", "med")</f>
        <v>med</v>
      </c>
      <c r="AA222" s="17">
        <f>IF(T222="", R222, T222)</f>
        <v>26</v>
      </c>
      <c r="AB222" s="12">
        <f>IF(AC222="", 0, 1)</f>
        <v>1</v>
      </c>
      <c r="AC222" s="13">
        <v>28</v>
      </c>
      <c r="AD222" s="12"/>
      <c r="AE222" s="12"/>
      <c r="AF222" s="12">
        <v>10</v>
      </c>
      <c r="AG222" s="12"/>
      <c r="AH222" s="12"/>
      <c r="AI222" s="12"/>
      <c r="AJ222" s="12"/>
      <c r="AK222" s="12"/>
      <c r="AL222" s="12" t="str">
        <f>IF(AF222="", "mean", "med")</f>
        <v>med</v>
      </c>
      <c r="AM222" s="12">
        <f>IF(AF222="", AD222, AF222)</f>
        <v>10</v>
      </c>
      <c r="AN222" s="12">
        <f>IF(AO222="", 0, 1)</f>
        <v>1</v>
      </c>
      <c r="AO222" s="12">
        <v>14</v>
      </c>
      <c r="AP222" s="12"/>
      <c r="AQ222" s="12"/>
      <c r="AR222" s="12">
        <v>48</v>
      </c>
      <c r="AS222" s="12"/>
      <c r="AT222" s="12"/>
      <c r="AU222" s="12"/>
      <c r="AV222" s="12"/>
      <c r="AW222" s="12"/>
      <c r="AX222" s="12" t="str">
        <f>IF(AR222="", "mean", "med")</f>
        <v>med</v>
      </c>
      <c r="AY222" s="12">
        <f>IF(AR222="", AP222, AR222)</f>
        <v>48</v>
      </c>
      <c r="AZ222" s="12" t="s">
        <v>52</v>
      </c>
      <c r="BA222" s="12" t="str">
        <f>IF(AZ222="high","high","lower")</f>
        <v>high</v>
      </c>
      <c r="BB222" s="49">
        <v>0.88900000000000001</v>
      </c>
      <c r="BC222" s="12">
        <v>82.5</v>
      </c>
      <c r="BD222" s="12">
        <v>77.3</v>
      </c>
      <c r="BE222" s="12">
        <v>83.3</v>
      </c>
      <c r="BF222" s="12">
        <v>85.6</v>
      </c>
      <c r="BG222" s="18" t="s">
        <v>1030</v>
      </c>
      <c r="BH222" s="18" t="s">
        <v>1031</v>
      </c>
    </row>
    <row r="223" spans="1:60" ht="15.75" customHeight="1" x14ac:dyDescent="0.2">
      <c r="A223" s="11">
        <v>222</v>
      </c>
      <c r="B223" s="12">
        <v>2793</v>
      </c>
      <c r="C223" s="13" t="s">
        <v>368</v>
      </c>
      <c r="D223" s="13" t="s">
        <v>371</v>
      </c>
      <c r="E223" s="23">
        <v>1992</v>
      </c>
      <c r="F223" s="23">
        <v>2009</v>
      </c>
      <c r="G223" s="13" t="s">
        <v>370</v>
      </c>
      <c r="H223" s="13"/>
      <c r="I223" s="13" t="s">
        <v>40</v>
      </c>
      <c r="J223" s="13" t="s">
        <v>40</v>
      </c>
      <c r="K223" s="13"/>
      <c r="L223" s="15">
        <v>100</v>
      </c>
      <c r="M223" s="16" t="s">
        <v>41</v>
      </c>
      <c r="N223" s="13" t="s">
        <v>99</v>
      </c>
      <c r="O223" s="14" t="s">
        <v>41</v>
      </c>
      <c r="P223" s="12">
        <f>IF(Q223="", 0, 1)</f>
        <v>1</v>
      </c>
      <c r="Q223" s="15">
        <v>34</v>
      </c>
      <c r="R223" s="17"/>
      <c r="S223" s="17"/>
      <c r="T223" s="17">
        <v>27</v>
      </c>
      <c r="U223" s="17"/>
      <c r="V223" s="17"/>
      <c r="W223" s="17"/>
      <c r="X223" s="17"/>
      <c r="Y223" s="17"/>
      <c r="Z223" s="17" t="str">
        <f>IF(T223="", "mean", "med")</f>
        <v>med</v>
      </c>
      <c r="AA223" s="17">
        <f>IF(T223="", R223, T223)</f>
        <v>27</v>
      </c>
      <c r="AB223" s="12">
        <f>IF(AC223="", 0, 1)</f>
        <v>1</v>
      </c>
      <c r="AC223" s="13">
        <v>34</v>
      </c>
      <c r="AD223" s="12"/>
      <c r="AE223" s="12"/>
      <c r="AF223" s="12">
        <v>6</v>
      </c>
      <c r="AG223" s="12"/>
      <c r="AH223" s="12"/>
      <c r="AI223" s="12"/>
      <c r="AJ223" s="12"/>
      <c r="AK223" s="12"/>
      <c r="AL223" s="12" t="str">
        <f>IF(AF223="", "mean", "med")</f>
        <v>med</v>
      </c>
      <c r="AM223" s="12">
        <f>IF(AF223="", AD223, AF223)</f>
        <v>6</v>
      </c>
      <c r="AN223" s="12">
        <f>IF(AO223="", 0, 1)</f>
        <v>1</v>
      </c>
      <c r="AO223" s="12">
        <v>17</v>
      </c>
      <c r="AP223" s="12"/>
      <c r="AQ223" s="12"/>
      <c r="AR223" s="12">
        <v>23</v>
      </c>
      <c r="AS223" s="12"/>
      <c r="AT223" s="12"/>
      <c r="AU223" s="12"/>
      <c r="AV223" s="12"/>
      <c r="AW223" s="12"/>
      <c r="AX223" s="12" t="str">
        <f>IF(AR223="", "mean", "med")</f>
        <v>med</v>
      </c>
      <c r="AY223" s="12">
        <f>IF(AR223="", AP223, AR223)</f>
        <v>23</v>
      </c>
      <c r="AZ223" s="12" t="s">
        <v>52</v>
      </c>
      <c r="BA223" s="12" t="str">
        <f>IF(AZ223="high","high","lower")</f>
        <v>high</v>
      </c>
      <c r="BB223" s="49">
        <v>0.88900000000000001</v>
      </c>
      <c r="BC223" s="12">
        <v>82.5</v>
      </c>
      <c r="BD223" s="12">
        <v>77.3</v>
      </c>
      <c r="BE223" s="12">
        <v>83.3</v>
      </c>
      <c r="BF223" s="12">
        <v>85.6</v>
      </c>
      <c r="BG223" s="18" t="s">
        <v>1030</v>
      </c>
      <c r="BH223" s="18" t="s">
        <v>1031</v>
      </c>
    </row>
    <row r="224" spans="1:60" ht="15.75" customHeight="1" x14ac:dyDescent="0.2">
      <c r="A224" s="11">
        <v>223</v>
      </c>
      <c r="B224" s="12">
        <v>2793</v>
      </c>
      <c r="C224" s="13" t="s">
        <v>368</v>
      </c>
      <c r="D224" s="13" t="s">
        <v>372</v>
      </c>
      <c r="E224" s="23">
        <v>1992</v>
      </c>
      <c r="F224" s="23">
        <v>2009</v>
      </c>
      <c r="G224" s="13" t="s">
        <v>370</v>
      </c>
      <c r="H224" s="13"/>
      <c r="I224" s="13" t="s">
        <v>40</v>
      </c>
      <c r="J224" s="13" t="s">
        <v>40</v>
      </c>
      <c r="K224" s="13"/>
      <c r="L224" s="15">
        <v>100</v>
      </c>
      <c r="M224" s="16" t="s">
        <v>41</v>
      </c>
      <c r="N224" s="13" t="s">
        <v>99</v>
      </c>
      <c r="O224" s="13" t="s">
        <v>41</v>
      </c>
      <c r="P224" s="12">
        <f>IF(Q224="", 0, 1)</f>
        <v>1</v>
      </c>
      <c r="Q224" s="15">
        <v>55</v>
      </c>
      <c r="R224" s="17"/>
      <c r="S224" s="17"/>
      <c r="T224" s="17">
        <v>27</v>
      </c>
      <c r="U224" s="17"/>
      <c r="V224" s="17"/>
      <c r="W224" s="17"/>
      <c r="X224" s="17"/>
      <c r="Y224" s="17"/>
      <c r="Z224" s="17" t="str">
        <f>IF(T224="", "mean", "med")</f>
        <v>med</v>
      </c>
      <c r="AA224" s="17">
        <f>IF(T224="", R224, T224)</f>
        <v>27</v>
      </c>
      <c r="AB224" s="12">
        <f>IF(AC224="", 0, 1)</f>
        <v>1</v>
      </c>
      <c r="AC224" s="13">
        <v>55</v>
      </c>
      <c r="AD224" s="12"/>
      <c r="AE224" s="12"/>
      <c r="AF224" s="12">
        <v>9</v>
      </c>
      <c r="AG224" s="12"/>
      <c r="AH224" s="12"/>
      <c r="AI224" s="12"/>
      <c r="AJ224" s="12"/>
      <c r="AK224" s="12"/>
      <c r="AL224" s="12" t="str">
        <f>IF(AF224="", "mean", "med")</f>
        <v>med</v>
      </c>
      <c r="AM224" s="12">
        <f>IF(AF224="", AD224, AF224)</f>
        <v>9</v>
      </c>
      <c r="AN224" s="12">
        <f>IF(AO224="", 0, 1)</f>
        <v>1</v>
      </c>
      <c r="AO224" s="12">
        <v>31</v>
      </c>
      <c r="AP224" s="12"/>
      <c r="AQ224" s="12"/>
      <c r="AR224" s="12">
        <v>45</v>
      </c>
      <c r="AS224" s="12"/>
      <c r="AT224" s="12"/>
      <c r="AU224" s="12"/>
      <c r="AV224" s="12"/>
      <c r="AW224" s="12"/>
      <c r="AX224" s="12" t="str">
        <f>IF(AR224="", "mean", "med")</f>
        <v>med</v>
      </c>
      <c r="AY224" s="12">
        <f>IF(AR224="", AP224, AR224)</f>
        <v>45</v>
      </c>
      <c r="AZ224" s="12" t="s">
        <v>52</v>
      </c>
      <c r="BA224" s="12" t="str">
        <f>IF(AZ224="high","high","lower")</f>
        <v>high</v>
      </c>
      <c r="BB224" s="49">
        <v>0.88900000000000001</v>
      </c>
      <c r="BC224" s="12">
        <v>82.5</v>
      </c>
      <c r="BD224" s="12">
        <v>77.3</v>
      </c>
      <c r="BE224" s="12">
        <v>83.3</v>
      </c>
      <c r="BF224" s="12">
        <v>85.6</v>
      </c>
      <c r="BG224" s="18" t="s">
        <v>1030</v>
      </c>
      <c r="BH224" s="18" t="s">
        <v>1031</v>
      </c>
    </row>
    <row r="225" spans="1:60" ht="15.75" customHeight="1" x14ac:dyDescent="0.2">
      <c r="A225" s="11">
        <v>224</v>
      </c>
      <c r="B225" s="12">
        <v>2793</v>
      </c>
      <c r="C225" s="13" t="s">
        <v>368</v>
      </c>
      <c r="D225" s="13" t="s">
        <v>373</v>
      </c>
      <c r="E225" s="23">
        <v>1992</v>
      </c>
      <c r="F225" s="23">
        <v>2009</v>
      </c>
      <c r="G225" s="13" t="s">
        <v>370</v>
      </c>
      <c r="H225" s="13"/>
      <c r="I225" s="13" t="s">
        <v>40</v>
      </c>
      <c r="J225" s="13" t="s">
        <v>40</v>
      </c>
      <c r="K225" s="13"/>
      <c r="L225" s="15">
        <v>100</v>
      </c>
      <c r="M225" s="16" t="s">
        <v>41</v>
      </c>
      <c r="N225" s="13" t="s">
        <v>99</v>
      </c>
      <c r="O225" s="14" t="s">
        <v>41</v>
      </c>
      <c r="P225" s="12">
        <f>IF(Q225="", 0, 1)</f>
        <v>1</v>
      </c>
      <c r="Q225" s="15">
        <v>116</v>
      </c>
      <c r="R225" s="17"/>
      <c r="S225" s="17"/>
      <c r="T225" s="17">
        <v>25</v>
      </c>
      <c r="U225" s="17"/>
      <c r="V225" s="17"/>
      <c r="W225" s="17"/>
      <c r="X225" s="17"/>
      <c r="Y225" s="17"/>
      <c r="Z225" s="17" t="str">
        <f>IF(T225="", "mean", "med")</f>
        <v>med</v>
      </c>
      <c r="AA225" s="17">
        <f>IF(T225="", R225, T225)</f>
        <v>25</v>
      </c>
      <c r="AB225" s="12">
        <f>IF(AC225="", 0, 1)</f>
        <v>1</v>
      </c>
      <c r="AC225" s="13">
        <v>116</v>
      </c>
      <c r="AD225" s="12"/>
      <c r="AE225" s="12"/>
      <c r="AF225" s="12">
        <v>5</v>
      </c>
      <c r="AG225" s="12"/>
      <c r="AH225" s="12"/>
      <c r="AI225" s="12"/>
      <c r="AJ225" s="12"/>
      <c r="AK225" s="12"/>
      <c r="AL225" s="12" t="str">
        <f>IF(AF225="", "mean", "med")</f>
        <v>med</v>
      </c>
      <c r="AM225" s="12">
        <f>IF(AF225="", AD225, AF225)</f>
        <v>5</v>
      </c>
      <c r="AN225" s="12">
        <f>IF(AO225="", 0, 1)</f>
        <v>1</v>
      </c>
      <c r="AO225" s="12">
        <v>51</v>
      </c>
      <c r="AP225" s="12"/>
      <c r="AQ225" s="12"/>
      <c r="AR225" s="12">
        <v>52</v>
      </c>
      <c r="AS225" s="12"/>
      <c r="AT225" s="12"/>
      <c r="AU225" s="12"/>
      <c r="AV225" s="12"/>
      <c r="AW225" s="12"/>
      <c r="AX225" s="12" t="str">
        <f>IF(AR225="", "mean", "med")</f>
        <v>med</v>
      </c>
      <c r="AY225" s="12">
        <f>IF(AR225="", AP225, AR225)</f>
        <v>52</v>
      </c>
      <c r="AZ225" s="12" t="s">
        <v>52</v>
      </c>
      <c r="BA225" s="12" t="str">
        <f>IF(AZ225="high","high","lower")</f>
        <v>high</v>
      </c>
      <c r="BB225" s="49">
        <v>0.88900000000000001</v>
      </c>
      <c r="BC225" s="12">
        <v>82.5</v>
      </c>
      <c r="BD225" s="12">
        <v>77.3</v>
      </c>
      <c r="BE225" s="12">
        <v>83.3</v>
      </c>
      <c r="BF225" s="12">
        <v>85.6</v>
      </c>
      <c r="BG225" s="18" t="s">
        <v>1030</v>
      </c>
      <c r="BH225" s="18" t="s">
        <v>1031</v>
      </c>
    </row>
    <row r="226" spans="1:60" ht="15.75" customHeight="1" x14ac:dyDescent="0.2">
      <c r="A226" s="11">
        <v>225</v>
      </c>
      <c r="B226" s="22">
        <v>2793</v>
      </c>
      <c r="C226" s="13" t="s">
        <v>368</v>
      </c>
      <c r="D226" s="13" t="s">
        <v>374</v>
      </c>
      <c r="E226" s="23">
        <v>1992</v>
      </c>
      <c r="F226" s="23">
        <v>2009</v>
      </c>
      <c r="G226" s="13" t="s">
        <v>370</v>
      </c>
      <c r="H226" s="13"/>
      <c r="I226" s="13" t="s">
        <v>40</v>
      </c>
      <c r="J226" s="13" t="s">
        <v>173</v>
      </c>
      <c r="K226" s="14"/>
      <c r="L226" s="15">
        <v>100</v>
      </c>
      <c r="M226" s="16" t="s">
        <v>41</v>
      </c>
      <c r="N226" s="13" t="s">
        <v>99</v>
      </c>
      <c r="O226" s="13" t="s">
        <v>41</v>
      </c>
      <c r="P226" s="12">
        <f>IF(Q226="", 0, 1)</f>
        <v>1</v>
      </c>
      <c r="Q226" s="15">
        <v>28</v>
      </c>
      <c r="R226" s="17"/>
      <c r="S226" s="17"/>
      <c r="T226" s="17">
        <v>19</v>
      </c>
      <c r="U226" s="17"/>
      <c r="V226" s="17"/>
      <c r="W226" s="17"/>
      <c r="X226" s="17"/>
      <c r="Y226" s="17"/>
      <c r="Z226" s="17" t="str">
        <f>IF(T226="", "mean", "med")</f>
        <v>med</v>
      </c>
      <c r="AA226" s="17">
        <f>IF(T226="", R226, T226)</f>
        <v>19</v>
      </c>
      <c r="AB226" s="12">
        <f>IF(AC226="", 0, 1)</f>
        <v>1</v>
      </c>
      <c r="AC226" s="13">
        <v>28</v>
      </c>
      <c r="AD226" s="12"/>
      <c r="AE226" s="12"/>
      <c r="AF226" s="12">
        <v>1</v>
      </c>
      <c r="AG226" s="12"/>
      <c r="AH226" s="12"/>
      <c r="AI226" s="12"/>
      <c r="AJ226" s="12"/>
      <c r="AK226" s="12"/>
      <c r="AL226" s="12" t="str">
        <f>IF(AF226="", "mean", "med")</f>
        <v>med</v>
      </c>
      <c r="AM226" s="12">
        <f>IF(AF226="", AD226, AF226)</f>
        <v>1</v>
      </c>
      <c r="AN226" s="12">
        <f>IF(AO226="", 0, 1)</f>
        <v>1</v>
      </c>
      <c r="AO226" s="12">
        <v>14</v>
      </c>
      <c r="AP226" s="12"/>
      <c r="AQ226" s="12"/>
      <c r="AR226" s="12">
        <v>61</v>
      </c>
      <c r="AS226" s="12"/>
      <c r="AT226" s="12"/>
      <c r="AU226" s="12"/>
      <c r="AV226" s="12"/>
      <c r="AW226" s="12"/>
      <c r="AX226" s="12" t="str">
        <f>IF(AR226="", "mean", "med")</f>
        <v>med</v>
      </c>
      <c r="AY226" s="12">
        <f>IF(AR226="", AP226, AR226)</f>
        <v>61</v>
      </c>
      <c r="AZ226" s="12" t="s">
        <v>52</v>
      </c>
      <c r="BA226" s="12" t="str">
        <f>IF(AZ226="high","high","lower")</f>
        <v>high</v>
      </c>
      <c r="BB226" s="49">
        <v>0.88900000000000001</v>
      </c>
      <c r="BC226" s="12">
        <v>82.5</v>
      </c>
      <c r="BD226" s="12">
        <v>77.3</v>
      </c>
      <c r="BE226" s="12">
        <v>83.3</v>
      </c>
      <c r="BF226" s="12">
        <v>85.6</v>
      </c>
      <c r="BG226" s="18" t="s">
        <v>1030</v>
      </c>
      <c r="BH226" s="18" t="s">
        <v>1031</v>
      </c>
    </row>
    <row r="227" spans="1:60" ht="15.75" customHeight="1" x14ac:dyDescent="0.2">
      <c r="A227" s="11">
        <v>226</v>
      </c>
      <c r="B227" s="12">
        <v>2793</v>
      </c>
      <c r="C227" s="13" t="s">
        <v>368</v>
      </c>
      <c r="D227" s="44" t="s">
        <v>375</v>
      </c>
      <c r="E227" s="23">
        <v>1992</v>
      </c>
      <c r="F227" s="23">
        <v>2009</v>
      </c>
      <c r="G227" s="13" t="s">
        <v>370</v>
      </c>
      <c r="H227" s="13"/>
      <c r="I227" s="13" t="s">
        <v>40</v>
      </c>
      <c r="J227" s="13" t="s">
        <v>173</v>
      </c>
      <c r="K227" s="13"/>
      <c r="L227" s="15">
        <v>100</v>
      </c>
      <c r="M227" s="16" t="s">
        <v>41</v>
      </c>
      <c r="N227" s="13" t="s">
        <v>99</v>
      </c>
      <c r="O227" s="13" t="s">
        <v>41</v>
      </c>
      <c r="P227" s="12">
        <f>IF(Q227="", 0, 1)</f>
        <v>1</v>
      </c>
      <c r="Q227" s="19">
        <v>34</v>
      </c>
      <c r="R227" s="21"/>
      <c r="S227" s="21"/>
      <c r="T227" s="17">
        <v>21</v>
      </c>
      <c r="U227" s="17"/>
      <c r="V227" s="17"/>
      <c r="W227" s="17"/>
      <c r="X227" s="17"/>
      <c r="Y227" s="17"/>
      <c r="Z227" s="17" t="str">
        <f>IF(T227="", "mean", "med")</f>
        <v>med</v>
      </c>
      <c r="AA227" s="17">
        <f>IF(T227="", R227, T227)</f>
        <v>21</v>
      </c>
      <c r="AB227" s="12">
        <f>IF(AC227="", 0, 1)</f>
        <v>1</v>
      </c>
      <c r="AC227" s="13">
        <v>34</v>
      </c>
      <c r="AD227" s="12"/>
      <c r="AE227" s="12"/>
      <c r="AF227" s="12">
        <v>2</v>
      </c>
      <c r="AG227" s="12"/>
      <c r="AH227" s="12"/>
      <c r="AI227" s="12"/>
      <c r="AJ227" s="12"/>
      <c r="AK227" s="12"/>
      <c r="AL227" s="12" t="str">
        <f>IF(AF227="", "mean", "med")</f>
        <v>med</v>
      </c>
      <c r="AM227" s="12">
        <f>IF(AF227="", AD227, AF227)</f>
        <v>2</v>
      </c>
      <c r="AN227" s="12">
        <f>IF(AO227="", 0, 1)</f>
        <v>1</v>
      </c>
      <c r="AO227" s="12">
        <v>17</v>
      </c>
      <c r="AP227" s="12"/>
      <c r="AQ227" s="12"/>
      <c r="AR227" s="12">
        <v>35</v>
      </c>
      <c r="AS227" s="12"/>
      <c r="AT227" s="12"/>
      <c r="AU227" s="12"/>
      <c r="AV227" s="12"/>
      <c r="AW227" s="12"/>
      <c r="AX227" s="12" t="str">
        <f>IF(AR227="", "mean", "med")</f>
        <v>med</v>
      </c>
      <c r="AY227" s="12">
        <f>IF(AR227="", AP227, AR227)</f>
        <v>35</v>
      </c>
      <c r="AZ227" s="12" t="s">
        <v>52</v>
      </c>
      <c r="BA227" s="12" t="str">
        <f>IF(AZ227="high","high","lower")</f>
        <v>high</v>
      </c>
      <c r="BB227" s="49">
        <v>0.88900000000000001</v>
      </c>
      <c r="BC227" s="12">
        <v>82.5</v>
      </c>
      <c r="BD227" s="12">
        <v>77.3</v>
      </c>
      <c r="BE227" s="12">
        <v>83.3</v>
      </c>
      <c r="BF227" s="12">
        <v>85.6</v>
      </c>
      <c r="BG227" s="18" t="s">
        <v>1030</v>
      </c>
      <c r="BH227" s="18" t="s">
        <v>1031</v>
      </c>
    </row>
    <row r="228" spans="1:60" ht="15.75" customHeight="1" x14ac:dyDescent="0.2">
      <c r="A228" s="11">
        <v>227</v>
      </c>
      <c r="B228" s="22">
        <v>2793</v>
      </c>
      <c r="C228" s="13" t="s">
        <v>368</v>
      </c>
      <c r="D228" s="14" t="s">
        <v>376</v>
      </c>
      <c r="E228" s="23">
        <v>1992</v>
      </c>
      <c r="F228" s="23">
        <v>2009</v>
      </c>
      <c r="G228" s="13" t="s">
        <v>370</v>
      </c>
      <c r="H228" s="13"/>
      <c r="I228" s="13" t="s">
        <v>40</v>
      </c>
      <c r="J228" s="14" t="s">
        <v>173</v>
      </c>
      <c r="K228" s="14"/>
      <c r="L228" s="15">
        <v>100</v>
      </c>
      <c r="M228" s="20" t="s">
        <v>41</v>
      </c>
      <c r="N228" s="13" t="s">
        <v>99</v>
      </c>
      <c r="O228" s="13" t="s">
        <v>41</v>
      </c>
      <c r="P228" s="12">
        <f>IF(Q228="", 0, 1)</f>
        <v>1</v>
      </c>
      <c r="Q228" s="15">
        <v>55</v>
      </c>
      <c r="R228" s="17"/>
      <c r="S228" s="17"/>
      <c r="T228" s="17">
        <v>19</v>
      </c>
      <c r="U228" s="17"/>
      <c r="V228" s="17"/>
      <c r="W228" s="17"/>
      <c r="X228" s="17"/>
      <c r="Y228" s="17"/>
      <c r="Z228" s="17" t="str">
        <f>IF(T228="", "mean", "med")</f>
        <v>med</v>
      </c>
      <c r="AA228" s="17">
        <f>IF(T228="", R228, T228)</f>
        <v>19</v>
      </c>
      <c r="AB228" s="12">
        <f>IF(AC228="", 0, 1)</f>
        <v>1</v>
      </c>
      <c r="AC228" s="13">
        <v>55</v>
      </c>
      <c r="AD228" s="12"/>
      <c r="AE228" s="12"/>
      <c r="AF228" s="12">
        <v>9</v>
      </c>
      <c r="AG228" s="12"/>
      <c r="AH228" s="12"/>
      <c r="AI228" s="12"/>
      <c r="AJ228" s="12"/>
      <c r="AK228" s="12"/>
      <c r="AL228" s="12" t="str">
        <f>IF(AF228="", "mean", "med")</f>
        <v>med</v>
      </c>
      <c r="AM228" s="12">
        <f>IF(AF228="", AD228, AF228)</f>
        <v>9</v>
      </c>
      <c r="AN228" s="12">
        <f>IF(AO228="", 0, 1)</f>
        <v>1</v>
      </c>
      <c r="AO228" s="12">
        <v>31</v>
      </c>
      <c r="AP228" s="12"/>
      <c r="AQ228" s="12"/>
      <c r="AR228" s="12">
        <v>61</v>
      </c>
      <c r="AS228" s="12"/>
      <c r="AT228" s="12"/>
      <c r="AU228" s="12"/>
      <c r="AV228" s="12"/>
      <c r="AW228" s="12"/>
      <c r="AX228" s="12" t="str">
        <f>IF(AR228="", "mean", "med")</f>
        <v>med</v>
      </c>
      <c r="AY228" s="12">
        <f>IF(AR228="", AP228, AR228)</f>
        <v>61</v>
      </c>
      <c r="AZ228" s="12" t="s">
        <v>52</v>
      </c>
      <c r="BA228" s="12" t="str">
        <f>IF(AZ228="high","high","lower")</f>
        <v>high</v>
      </c>
      <c r="BB228" s="49">
        <v>0.88900000000000001</v>
      </c>
      <c r="BC228" s="12">
        <v>82.5</v>
      </c>
      <c r="BD228" s="12">
        <v>77.3</v>
      </c>
      <c r="BE228" s="12">
        <v>83.3</v>
      </c>
      <c r="BF228" s="12">
        <v>85.6</v>
      </c>
      <c r="BG228" s="18" t="s">
        <v>1030</v>
      </c>
      <c r="BH228" s="18" t="s">
        <v>1031</v>
      </c>
    </row>
    <row r="229" spans="1:60" ht="15.75" customHeight="1" x14ac:dyDescent="0.2">
      <c r="A229" s="11">
        <v>228</v>
      </c>
      <c r="B229" s="22">
        <v>2793</v>
      </c>
      <c r="C229" s="13" t="s">
        <v>368</v>
      </c>
      <c r="D229" s="14" t="s">
        <v>377</v>
      </c>
      <c r="E229" s="23">
        <v>1992</v>
      </c>
      <c r="F229" s="23">
        <v>2009</v>
      </c>
      <c r="G229" s="13" t="s">
        <v>370</v>
      </c>
      <c r="H229" s="13"/>
      <c r="I229" s="13" t="s">
        <v>40</v>
      </c>
      <c r="J229" s="13" t="s">
        <v>173</v>
      </c>
      <c r="K229" s="14"/>
      <c r="L229" s="15">
        <v>100</v>
      </c>
      <c r="M229" s="20" t="s">
        <v>41</v>
      </c>
      <c r="N229" s="13" t="s">
        <v>99</v>
      </c>
      <c r="O229" s="13" t="s">
        <v>41</v>
      </c>
      <c r="P229" s="12">
        <f>IF(Q229="", 0, 1)</f>
        <v>1</v>
      </c>
      <c r="Q229" s="19">
        <v>116</v>
      </c>
      <c r="R229" s="17"/>
      <c r="S229" s="17"/>
      <c r="T229" s="17">
        <v>24</v>
      </c>
      <c r="U229" s="17"/>
      <c r="V229" s="17"/>
      <c r="W229" s="17"/>
      <c r="X229" s="17"/>
      <c r="Y229" s="17"/>
      <c r="Z229" s="17" t="str">
        <f>IF(T229="", "mean", "med")</f>
        <v>med</v>
      </c>
      <c r="AA229" s="17">
        <f>IF(T229="", R229, T229)</f>
        <v>24</v>
      </c>
      <c r="AB229" s="12">
        <f>IF(AC229="", 0, 1)</f>
        <v>1</v>
      </c>
      <c r="AC229" s="13">
        <v>116</v>
      </c>
      <c r="AD229" s="12"/>
      <c r="AE229" s="12"/>
      <c r="AF229" s="12">
        <v>8</v>
      </c>
      <c r="AG229" s="12"/>
      <c r="AH229" s="12"/>
      <c r="AI229" s="12"/>
      <c r="AJ229" s="12"/>
      <c r="AK229" s="12"/>
      <c r="AL229" s="12" t="str">
        <f>IF(AF229="", "mean", "med")</f>
        <v>med</v>
      </c>
      <c r="AM229" s="12">
        <f>IF(AF229="", AD229, AF229)</f>
        <v>8</v>
      </c>
      <c r="AN229" s="12">
        <f>IF(AO229="", 0, 1)</f>
        <v>1</v>
      </c>
      <c r="AO229" s="12">
        <v>51</v>
      </c>
      <c r="AP229" s="12"/>
      <c r="AQ229" s="12"/>
      <c r="AR229" s="12">
        <v>30</v>
      </c>
      <c r="AS229" s="12"/>
      <c r="AT229" s="12"/>
      <c r="AU229" s="12"/>
      <c r="AV229" s="12"/>
      <c r="AW229" s="12"/>
      <c r="AX229" s="12" t="str">
        <f>IF(AR229="", "mean", "med")</f>
        <v>med</v>
      </c>
      <c r="AY229" s="12">
        <f>IF(AR229="", AP229, AR229)</f>
        <v>30</v>
      </c>
      <c r="AZ229" s="12" t="s">
        <v>52</v>
      </c>
      <c r="BA229" s="12" t="str">
        <f>IF(AZ229="high","high","lower")</f>
        <v>high</v>
      </c>
      <c r="BB229" s="49">
        <v>0.88900000000000001</v>
      </c>
      <c r="BC229" s="12">
        <v>82.5</v>
      </c>
      <c r="BD229" s="12">
        <v>77.3</v>
      </c>
      <c r="BE229" s="12">
        <v>83.3</v>
      </c>
      <c r="BF229" s="12">
        <v>85.6</v>
      </c>
      <c r="BG229" s="18" t="s">
        <v>1030</v>
      </c>
      <c r="BH229" s="18" t="s">
        <v>1031</v>
      </c>
    </row>
    <row r="230" spans="1:60" ht="15.75" customHeight="1" x14ac:dyDescent="0.2">
      <c r="A230" s="11">
        <v>229</v>
      </c>
      <c r="B230" s="12">
        <v>2821</v>
      </c>
      <c r="C230" s="13" t="s">
        <v>378</v>
      </c>
      <c r="D230" s="13" t="s">
        <v>38</v>
      </c>
      <c r="E230" s="23">
        <v>2008</v>
      </c>
      <c r="F230" s="23">
        <v>2010</v>
      </c>
      <c r="G230" s="13" t="s">
        <v>117</v>
      </c>
      <c r="H230" s="13"/>
      <c r="I230" s="13" t="s">
        <v>79</v>
      </c>
      <c r="J230" s="31" t="s">
        <v>236</v>
      </c>
      <c r="K230" s="13"/>
      <c r="L230" s="19">
        <v>37.6</v>
      </c>
      <c r="M230" s="16">
        <v>63</v>
      </c>
      <c r="N230" s="13" t="s">
        <v>42</v>
      </c>
      <c r="O230" s="14" t="s">
        <v>41</v>
      </c>
      <c r="P230" s="12">
        <f>IF(Q230="", 0, 1)</f>
        <v>1</v>
      </c>
      <c r="Q230" s="15">
        <v>101</v>
      </c>
      <c r="R230" s="17">
        <v>30</v>
      </c>
      <c r="S230" s="17"/>
      <c r="T230" s="17">
        <v>30</v>
      </c>
      <c r="U230" s="17"/>
      <c r="V230" s="17"/>
      <c r="W230" s="17"/>
      <c r="X230" s="17">
        <v>0</v>
      </c>
      <c r="Y230" s="17">
        <v>63</v>
      </c>
      <c r="Z230" s="17" t="str">
        <f>IF(T230="", "mean", "med")</f>
        <v>med</v>
      </c>
      <c r="AA230" s="17">
        <f>IF(T230="", R230, T230)</f>
        <v>30</v>
      </c>
      <c r="AB230" s="12">
        <f>IF(AC230="", 0, 1)</f>
        <v>0</v>
      </c>
      <c r="AC230" s="13"/>
      <c r="AD230" s="12"/>
      <c r="AE230" s="12"/>
      <c r="AF230" s="12"/>
      <c r="AG230" s="12"/>
      <c r="AH230" s="22"/>
      <c r="AI230" s="12"/>
      <c r="AJ230" s="12"/>
      <c r="AK230" s="12"/>
      <c r="AL230" s="12"/>
      <c r="AM230" s="12"/>
      <c r="AN230" s="12">
        <f>IF(AO230="", 0, 1)</f>
        <v>0</v>
      </c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 t="s">
        <v>52</v>
      </c>
      <c r="BA230" s="12" t="str">
        <f>IF(AZ230="high","high","lower")</f>
        <v>high</v>
      </c>
      <c r="BB230" s="49">
        <v>0.92800000000000005</v>
      </c>
      <c r="BC230" s="12">
        <v>90.6</v>
      </c>
      <c r="BD230" s="12">
        <v>98</v>
      </c>
      <c r="BE230" s="12">
        <v>100</v>
      </c>
      <c r="BF230" s="12">
        <v>90</v>
      </c>
      <c r="BG230" s="18" t="s">
        <v>1032</v>
      </c>
      <c r="BH230" s="18" t="s">
        <v>1033</v>
      </c>
    </row>
    <row r="231" spans="1:60" ht="15.75" customHeight="1" x14ac:dyDescent="0.2">
      <c r="A231" s="11">
        <v>230</v>
      </c>
      <c r="B231" s="12">
        <v>2831</v>
      </c>
      <c r="C231" s="13" t="s">
        <v>379</v>
      </c>
      <c r="D231" s="13" t="s">
        <v>38</v>
      </c>
      <c r="E231" s="23">
        <v>2003</v>
      </c>
      <c r="F231" s="23">
        <v>2009</v>
      </c>
      <c r="G231" s="13" t="s">
        <v>49</v>
      </c>
      <c r="H231" s="13"/>
      <c r="I231" s="13" t="s">
        <v>57</v>
      </c>
      <c r="J231" s="13" t="s">
        <v>58</v>
      </c>
      <c r="K231" s="13"/>
      <c r="L231" s="15">
        <f>96/174*100</f>
        <v>55.172413793103445</v>
      </c>
      <c r="M231" s="16" t="s">
        <v>41</v>
      </c>
      <c r="N231" s="13" t="s">
        <v>42</v>
      </c>
      <c r="O231" s="14" t="s">
        <v>90</v>
      </c>
      <c r="P231" s="12">
        <f>IF(Q231="", 0, 1)</f>
        <v>1</v>
      </c>
      <c r="Q231" s="15">
        <v>174</v>
      </c>
      <c r="R231" s="17">
        <v>67.2</v>
      </c>
      <c r="S231" s="17"/>
      <c r="T231" s="17"/>
      <c r="U231" s="17"/>
      <c r="V231" s="17"/>
      <c r="W231" s="17"/>
      <c r="X231" s="17"/>
      <c r="Y231" s="17"/>
      <c r="Z231" s="17" t="str">
        <f>IF(T231="", "mean", "med")</f>
        <v>mean</v>
      </c>
      <c r="AA231" s="17">
        <f>IF(T231="", R231, T231)</f>
        <v>67.2</v>
      </c>
      <c r="AB231" s="12">
        <f>IF(AC231="", 0, 1)</f>
        <v>0</v>
      </c>
      <c r="AC231" s="13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>
        <f>IF(AO231="", 0, 1)</f>
        <v>0</v>
      </c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 t="s">
        <v>52</v>
      </c>
      <c r="BA231" s="12" t="str">
        <f>IF(AZ231="high","high","lower")</f>
        <v>high</v>
      </c>
      <c r="BB231" s="49">
        <v>0.90300000000000002</v>
      </c>
      <c r="BC231" s="12">
        <v>84</v>
      </c>
      <c r="BD231" s="12">
        <v>88</v>
      </c>
      <c r="BE231" s="12">
        <v>100</v>
      </c>
      <c r="BF231" s="12">
        <v>84.2</v>
      </c>
      <c r="BG231" s="18" t="s">
        <v>1032</v>
      </c>
      <c r="BH231" s="18" t="s">
        <v>1033</v>
      </c>
    </row>
    <row r="232" spans="1:60" ht="15.75" customHeight="1" x14ac:dyDescent="0.2">
      <c r="A232" s="11">
        <v>231</v>
      </c>
      <c r="B232" s="12">
        <v>2835</v>
      </c>
      <c r="C232" s="13" t="s">
        <v>380</v>
      </c>
      <c r="D232" s="13" t="s">
        <v>38</v>
      </c>
      <c r="E232" s="23">
        <v>2014</v>
      </c>
      <c r="F232" s="23">
        <v>2015</v>
      </c>
      <c r="G232" s="13" t="s">
        <v>134</v>
      </c>
      <c r="H232" s="13"/>
      <c r="I232" s="13" t="s">
        <v>54</v>
      </c>
      <c r="J232" s="13" t="s">
        <v>229</v>
      </c>
      <c r="K232" s="14" t="s">
        <v>288</v>
      </c>
      <c r="L232" s="15">
        <f>128/(128+129)*100</f>
        <v>49.805447470817121</v>
      </c>
      <c r="M232" s="16">
        <v>71.8</v>
      </c>
      <c r="N232" s="13" t="s">
        <v>42</v>
      </c>
      <c r="O232" s="13"/>
      <c r="P232" s="12">
        <f>IF(Q232="", 0, 1)</f>
        <v>0</v>
      </c>
      <c r="Q232" s="15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2">
        <f>IF(AC232="", 0, 1)</f>
        <v>1</v>
      </c>
      <c r="AC232" s="13">
        <v>257</v>
      </c>
      <c r="AD232" s="12">
        <v>77</v>
      </c>
      <c r="AE232" s="12">
        <v>158</v>
      </c>
      <c r="AF232" s="12"/>
      <c r="AG232" s="12"/>
      <c r="AH232" s="12"/>
      <c r="AI232" s="12">
        <v>59</v>
      </c>
      <c r="AJ232" s="12">
        <v>0</v>
      </c>
      <c r="AK232" s="12">
        <v>1433</v>
      </c>
      <c r="AL232" s="12" t="str">
        <f>IF(AF232="", "mean", "med")</f>
        <v>mean</v>
      </c>
      <c r="AM232" s="12">
        <f>IF(AF232="", AD232, AF232)</f>
        <v>77</v>
      </c>
      <c r="AN232" s="12">
        <f>IF(AO232="", 0, 1)</f>
        <v>0</v>
      </c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 t="s">
        <v>52</v>
      </c>
      <c r="BA232" s="12" t="str">
        <f>IF(AZ232="high","high","lower")</f>
        <v>high</v>
      </c>
      <c r="BB232" s="49">
        <v>0.92</v>
      </c>
      <c r="BC232" s="12">
        <v>84.8</v>
      </c>
      <c r="BD232" s="12">
        <v>94</v>
      </c>
      <c r="BE232" s="12">
        <v>100</v>
      </c>
      <c r="BF232" s="12">
        <v>82.2</v>
      </c>
      <c r="BG232" s="18" t="s">
        <v>1034</v>
      </c>
      <c r="BH232" s="18" t="s">
        <v>1031</v>
      </c>
    </row>
    <row r="233" spans="1:60" ht="15.75" customHeight="1" x14ac:dyDescent="0.2">
      <c r="A233" s="11">
        <v>232</v>
      </c>
      <c r="B233" s="12">
        <v>2853</v>
      </c>
      <c r="C233" s="13" t="s">
        <v>381</v>
      </c>
      <c r="D233" s="14" t="s">
        <v>82</v>
      </c>
      <c r="E233" s="23">
        <v>2009</v>
      </c>
      <c r="F233" s="23">
        <v>2010</v>
      </c>
      <c r="G233" s="13" t="s">
        <v>77</v>
      </c>
      <c r="H233" s="13"/>
      <c r="I233" s="13" t="s">
        <v>59</v>
      </c>
      <c r="J233" s="13" t="s">
        <v>82</v>
      </c>
      <c r="K233" s="14"/>
      <c r="L233" s="19" t="s">
        <v>41</v>
      </c>
      <c r="M233" s="20" t="s">
        <v>41</v>
      </c>
      <c r="N233" s="13" t="s">
        <v>50</v>
      </c>
      <c r="O233" s="14"/>
      <c r="P233" s="12">
        <f>IF(Q233="", 0, 1)</f>
        <v>0</v>
      </c>
      <c r="Q233" s="19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2">
        <f>IF(AC233="", 0, 1)</f>
        <v>0</v>
      </c>
      <c r="AC233" s="13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>
        <f>IF(AO233="", 0, 1)</f>
        <v>1</v>
      </c>
      <c r="AO233" s="22">
        <v>601</v>
      </c>
      <c r="AP233" s="12"/>
      <c r="AQ233" s="12"/>
      <c r="AR233" s="22">
        <v>2</v>
      </c>
      <c r="AS233" s="12">
        <v>0</v>
      </c>
      <c r="AT233" s="12">
        <v>16</v>
      </c>
      <c r="AU233" s="12"/>
      <c r="AV233" s="12"/>
      <c r="AW233" s="12"/>
      <c r="AX233" s="12" t="str">
        <f>IF(AR233="", "mean", "med")</f>
        <v>med</v>
      </c>
      <c r="AY233" s="12">
        <f>IF(AR233="", AP233, AR233)</f>
        <v>2</v>
      </c>
      <c r="AZ233" s="12" t="s">
        <v>52</v>
      </c>
      <c r="BA233" s="12" t="str">
        <f>IF(AZ233="high","high","lower")</f>
        <v>high</v>
      </c>
      <c r="BB233" s="49">
        <v>0.90900000000000003</v>
      </c>
      <c r="BC233" s="12">
        <v>85.3</v>
      </c>
      <c r="BD233" s="12">
        <v>96.3</v>
      </c>
      <c r="BE233" s="12">
        <v>91.7</v>
      </c>
      <c r="BF233" s="12">
        <v>80</v>
      </c>
      <c r="BG233" s="18" t="s">
        <v>1034</v>
      </c>
      <c r="BH233" s="18" t="s">
        <v>1031</v>
      </c>
    </row>
    <row r="234" spans="1:60" ht="15.75" customHeight="1" x14ac:dyDescent="0.2">
      <c r="A234" s="11">
        <v>233</v>
      </c>
      <c r="B234" s="12">
        <v>2853</v>
      </c>
      <c r="C234" s="13" t="s">
        <v>381</v>
      </c>
      <c r="D234" s="13" t="s">
        <v>382</v>
      </c>
      <c r="E234" s="23">
        <v>2009</v>
      </c>
      <c r="F234" s="23">
        <v>2010</v>
      </c>
      <c r="G234" s="13" t="s">
        <v>77</v>
      </c>
      <c r="H234" s="13"/>
      <c r="I234" s="13" t="s">
        <v>324</v>
      </c>
      <c r="J234" s="13" t="s">
        <v>382</v>
      </c>
      <c r="K234" s="14"/>
      <c r="L234" s="19" t="s">
        <v>41</v>
      </c>
      <c r="M234" s="16" t="s">
        <v>41</v>
      </c>
      <c r="N234" s="13" t="s">
        <v>50</v>
      </c>
      <c r="O234" s="13"/>
      <c r="P234" s="12">
        <f>IF(Q234="", 0, 1)</f>
        <v>0</v>
      </c>
      <c r="Q234" s="19"/>
      <c r="R234" s="21"/>
      <c r="S234" s="17"/>
      <c r="T234" s="17"/>
      <c r="U234" s="17"/>
      <c r="V234" s="17"/>
      <c r="W234" s="17"/>
      <c r="X234" s="17"/>
      <c r="Y234" s="17"/>
      <c r="Z234" s="17"/>
      <c r="AA234" s="17"/>
      <c r="AB234" s="12">
        <f>IF(AC234="", 0, 1)</f>
        <v>0</v>
      </c>
      <c r="AC234" s="13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>
        <f>IF(AO234="", 0, 1)</f>
        <v>1</v>
      </c>
      <c r="AO234" s="12">
        <v>125</v>
      </c>
      <c r="AP234" s="12"/>
      <c r="AQ234" s="12"/>
      <c r="AR234" s="12">
        <v>7</v>
      </c>
      <c r="AS234" s="12">
        <v>1</v>
      </c>
      <c r="AT234" s="12">
        <v>26</v>
      </c>
      <c r="AU234" s="12"/>
      <c r="AV234" s="12"/>
      <c r="AW234" s="12"/>
      <c r="AX234" s="12" t="str">
        <f>IF(AR234="", "mean", "med")</f>
        <v>med</v>
      </c>
      <c r="AY234" s="12">
        <f>IF(AR234="", AP234, AR234)</f>
        <v>7</v>
      </c>
      <c r="AZ234" s="12" t="s">
        <v>52</v>
      </c>
      <c r="BA234" s="12" t="str">
        <f>IF(AZ234="high","high","lower")</f>
        <v>high</v>
      </c>
      <c r="BB234" s="49">
        <v>0.90900000000000003</v>
      </c>
      <c r="BC234" s="12">
        <v>85.3</v>
      </c>
      <c r="BD234" s="12">
        <v>96.3</v>
      </c>
      <c r="BE234" s="12">
        <v>91.7</v>
      </c>
      <c r="BF234" s="12">
        <v>80</v>
      </c>
      <c r="BG234" s="18" t="s">
        <v>1034</v>
      </c>
      <c r="BH234" s="18" t="s">
        <v>1031</v>
      </c>
    </row>
    <row r="235" spans="1:60" ht="15.75" customHeight="1" x14ac:dyDescent="0.2">
      <c r="A235" s="11">
        <v>234</v>
      </c>
      <c r="B235" s="12">
        <v>2853</v>
      </c>
      <c r="C235" s="13" t="s">
        <v>381</v>
      </c>
      <c r="D235" s="14" t="s">
        <v>40</v>
      </c>
      <c r="E235" s="23">
        <v>2009</v>
      </c>
      <c r="F235" s="23">
        <v>2010</v>
      </c>
      <c r="G235" s="13" t="s">
        <v>77</v>
      </c>
      <c r="H235" s="13"/>
      <c r="I235" s="13" t="s">
        <v>40</v>
      </c>
      <c r="J235" s="13" t="s">
        <v>40</v>
      </c>
      <c r="K235" s="14"/>
      <c r="L235" s="19" t="s">
        <v>41</v>
      </c>
      <c r="M235" s="16" t="s">
        <v>41</v>
      </c>
      <c r="N235" s="13" t="s">
        <v>50</v>
      </c>
      <c r="O235" s="13"/>
      <c r="P235" s="12">
        <f>IF(Q235="", 0, 1)</f>
        <v>0</v>
      </c>
      <c r="Q235" s="19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2">
        <f>IF(AC235="", 0, 1)</f>
        <v>0</v>
      </c>
      <c r="AC235" s="13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>
        <f>IF(AO235="", 0, 1)</f>
        <v>1</v>
      </c>
      <c r="AO235" s="12">
        <v>2124</v>
      </c>
      <c r="AP235" s="12"/>
      <c r="AQ235" s="12"/>
      <c r="AR235" s="12">
        <v>7</v>
      </c>
      <c r="AS235" s="12">
        <v>1</v>
      </c>
      <c r="AT235" s="12">
        <v>27</v>
      </c>
      <c r="AU235" s="12"/>
      <c r="AV235" s="12"/>
      <c r="AW235" s="12"/>
      <c r="AX235" s="12" t="str">
        <f>IF(AR235="", "mean", "med")</f>
        <v>med</v>
      </c>
      <c r="AY235" s="12">
        <f>IF(AR235="", AP235, AR235)</f>
        <v>7</v>
      </c>
      <c r="AZ235" s="12" t="s">
        <v>52</v>
      </c>
      <c r="BA235" s="12" t="str">
        <f>IF(AZ235="high","high","lower")</f>
        <v>high</v>
      </c>
      <c r="BB235" s="49">
        <v>0.90900000000000003</v>
      </c>
      <c r="BC235" s="12">
        <v>85.3</v>
      </c>
      <c r="BD235" s="12">
        <v>96.3</v>
      </c>
      <c r="BE235" s="12">
        <v>91.7</v>
      </c>
      <c r="BF235" s="12">
        <v>80</v>
      </c>
      <c r="BG235" s="18" t="s">
        <v>1034</v>
      </c>
      <c r="BH235" s="18" t="s">
        <v>1031</v>
      </c>
    </row>
    <row r="236" spans="1:60" ht="15.75" customHeight="1" x14ac:dyDescent="0.2">
      <c r="A236" s="11">
        <v>235</v>
      </c>
      <c r="B236" s="12">
        <v>2853</v>
      </c>
      <c r="C236" s="13" t="s">
        <v>381</v>
      </c>
      <c r="D236" s="13" t="s">
        <v>55</v>
      </c>
      <c r="E236" s="23">
        <v>2009</v>
      </c>
      <c r="F236" s="23">
        <v>2010</v>
      </c>
      <c r="G236" s="13" t="s">
        <v>77</v>
      </c>
      <c r="H236" s="13"/>
      <c r="I236" s="13" t="s">
        <v>54</v>
      </c>
      <c r="J236" s="13" t="s">
        <v>55</v>
      </c>
      <c r="K236" s="14"/>
      <c r="L236" s="19" t="s">
        <v>41</v>
      </c>
      <c r="M236" s="16" t="s">
        <v>41</v>
      </c>
      <c r="N236" s="13" t="s">
        <v>50</v>
      </c>
      <c r="O236" s="13"/>
      <c r="P236" s="12">
        <f>IF(Q236="", 0, 1)</f>
        <v>0</v>
      </c>
      <c r="Q236" s="19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2">
        <f>IF(AC236="", 0, 1)</f>
        <v>0</v>
      </c>
      <c r="AC236" s="13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>
        <f>IF(AO236="", 0, 1)</f>
        <v>1</v>
      </c>
      <c r="AO236" s="12">
        <v>1697</v>
      </c>
      <c r="AP236" s="12"/>
      <c r="AQ236" s="12"/>
      <c r="AR236" s="12">
        <v>19</v>
      </c>
      <c r="AS236" s="12">
        <v>1</v>
      </c>
      <c r="AT236" s="12">
        <v>60</v>
      </c>
      <c r="AU236" s="12"/>
      <c r="AV236" s="12"/>
      <c r="AW236" s="12"/>
      <c r="AX236" s="12" t="str">
        <f>IF(AR236="", "mean", "med")</f>
        <v>med</v>
      </c>
      <c r="AY236" s="12">
        <f>IF(AR236="", AP236, AR236)</f>
        <v>19</v>
      </c>
      <c r="AZ236" s="12" t="s">
        <v>52</v>
      </c>
      <c r="BA236" s="12" t="str">
        <f>IF(AZ236="high","high","lower")</f>
        <v>high</v>
      </c>
      <c r="BB236" s="49">
        <v>0.90900000000000003</v>
      </c>
      <c r="BC236" s="12">
        <v>85.3</v>
      </c>
      <c r="BD236" s="12">
        <v>96.3</v>
      </c>
      <c r="BE236" s="12">
        <v>91.7</v>
      </c>
      <c r="BF236" s="12">
        <v>80</v>
      </c>
      <c r="BG236" s="18" t="s">
        <v>1034</v>
      </c>
      <c r="BH236" s="18" t="s">
        <v>1031</v>
      </c>
    </row>
    <row r="237" spans="1:60" ht="15.75" customHeight="1" x14ac:dyDescent="0.2">
      <c r="A237" s="11">
        <v>236</v>
      </c>
      <c r="B237" s="12">
        <v>2853</v>
      </c>
      <c r="C237" s="13" t="s">
        <v>381</v>
      </c>
      <c r="D237" s="13" t="s">
        <v>383</v>
      </c>
      <c r="E237" s="23">
        <v>2009</v>
      </c>
      <c r="F237" s="23">
        <v>2010</v>
      </c>
      <c r="G237" s="13" t="s">
        <v>77</v>
      </c>
      <c r="H237" s="13"/>
      <c r="I237" s="31" t="s">
        <v>104</v>
      </c>
      <c r="J237" s="13" t="s">
        <v>298</v>
      </c>
      <c r="K237" s="14"/>
      <c r="L237" s="19" t="s">
        <v>41</v>
      </c>
      <c r="M237" s="20" t="s">
        <v>41</v>
      </c>
      <c r="N237" s="13" t="s">
        <v>50</v>
      </c>
      <c r="O237" s="14"/>
      <c r="P237" s="12">
        <f>IF(Q237="", 0, 1)</f>
        <v>0</v>
      </c>
      <c r="Q237" s="19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2">
        <f>IF(AC237="", 0, 1)</f>
        <v>0</v>
      </c>
      <c r="AC237" s="13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>
        <f>IF(AO237="", 0, 1)</f>
        <v>1</v>
      </c>
      <c r="AO237" s="12">
        <v>311</v>
      </c>
      <c r="AP237" s="12"/>
      <c r="AQ237" s="12"/>
      <c r="AR237" s="12">
        <v>14</v>
      </c>
      <c r="AS237" s="12">
        <v>1</v>
      </c>
      <c r="AT237" s="12">
        <v>57</v>
      </c>
      <c r="AU237" s="12"/>
      <c r="AV237" s="12"/>
      <c r="AW237" s="12"/>
      <c r="AX237" s="12" t="str">
        <f>IF(AR237="", "mean", "med")</f>
        <v>med</v>
      </c>
      <c r="AY237" s="12">
        <f>IF(AR237="", AP237, AR237)</f>
        <v>14</v>
      </c>
      <c r="AZ237" s="12" t="s">
        <v>52</v>
      </c>
      <c r="BA237" s="12" t="str">
        <f>IF(AZ237="high","high","lower")</f>
        <v>high</v>
      </c>
      <c r="BB237" s="49">
        <v>0.90900000000000003</v>
      </c>
      <c r="BC237" s="12">
        <v>85.3</v>
      </c>
      <c r="BD237" s="12">
        <v>96.3</v>
      </c>
      <c r="BE237" s="12">
        <v>91.7</v>
      </c>
      <c r="BF237" s="12">
        <v>80</v>
      </c>
      <c r="BG237" s="18" t="s">
        <v>1034</v>
      </c>
      <c r="BH237" s="18" t="s">
        <v>1031</v>
      </c>
    </row>
    <row r="238" spans="1:60" ht="15.75" customHeight="1" x14ac:dyDescent="0.2">
      <c r="A238" s="11">
        <v>237</v>
      </c>
      <c r="B238" s="22">
        <v>2853</v>
      </c>
      <c r="C238" s="13" t="s">
        <v>381</v>
      </c>
      <c r="D238" s="13" t="s">
        <v>299</v>
      </c>
      <c r="E238" s="23">
        <v>2009</v>
      </c>
      <c r="F238" s="23">
        <v>2010</v>
      </c>
      <c r="G238" s="13" t="s">
        <v>77</v>
      </c>
      <c r="H238" s="13"/>
      <c r="I238" s="13" t="s">
        <v>94</v>
      </c>
      <c r="J238" s="13" t="s">
        <v>299</v>
      </c>
      <c r="K238" s="14"/>
      <c r="L238" s="19" t="s">
        <v>41</v>
      </c>
      <c r="M238" s="20" t="s">
        <v>41</v>
      </c>
      <c r="N238" s="13" t="s">
        <v>50</v>
      </c>
      <c r="O238" s="14"/>
      <c r="P238" s="12">
        <f>IF(Q238="", 0, 1)</f>
        <v>0</v>
      </c>
      <c r="Q238" s="19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2">
        <f>IF(AC238="", 0, 1)</f>
        <v>0</v>
      </c>
      <c r="AC238" s="13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>
        <f>IF(AO238="", 0, 1)</f>
        <v>1</v>
      </c>
      <c r="AO238" s="12">
        <v>239</v>
      </c>
      <c r="AP238" s="12"/>
      <c r="AQ238" s="12"/>
      <c r="AR238" s="12">
        <v>7</v>
      </c>
      <c r="AS238" s="12">
        <v>0</v>
      </c>
      <c r="AT238" s="12">
        <v>30</v>
      </c>
      <c r="AU238" s="12"/>
      <c r="AV238" s="12"/>
      <c r="AW238" s="12"/>
      <c r="AX238" s="12" t="str">
        <f>IF(AR238="", "mean", "med")</f>
        <v>med</v>
      </c>
      <c r="AY238" s="12">
        <f>IF(AR238="", AP238, AR238)</f>
        <v>7</v>
      </c>
      <c r="AZ238" s="12" t="s">
        <v>52</v>
      </c>
      <c r="BA238" s="12" t="str">
        <f>IF(AZ238="high","high","lower")</f>
        <v>high</v>
      </c>
      <c r="BB238" s="49">
        <v>0.90900000000000003</v>
      </c>
      <c r="BC238" s="12">
        <v>85.3</v>
      </c>
      <c r="BD238" s="12">
        <v>96.3</v>
      </c>
      <c r="BE238" s="12">
        <v>91.7</v>
      </c>
      <c r="BF238" s="12">
        <v>80</v>
      </c>
      <c r="BG238" s="18" t="s">
        <v>1034</v>
      </c>
      <c r="BH238" s="18" t="s">
        <v>1031</v>
      </c>
    </row>
    <row r="239" spans="1:60" ht="15.75" customHeight="1" x14ac:dyDescent="0.2">
      <c r="A239" s="11">
        <v>238</v>
      </c>
      <c r="B239" s="12">
        <v>2853</v>
      </c>
      <c r="C239" s="13" t="s">
        <v>381</v>
      </c>
      <c r="D239" s="13" t="s">
        <v>58</v>
      </c>
      <c r="E239" s="23">
        <v>2009</v>
      </c>
      <c r="F239" s="23">
        <v>2010</v>
      </c>
      <c r="G239" s="13" t="s">
        <v>77</v>
      </c>
      <c r="H239" s="13"/>
      <c r="I239" s="13" t="s">
        <v>57</v>
      </c>
      <c r="J239" s="13" t="s">
        <v>58</v>
      </c>
      <c r="K239" s="14"/>
      <c r="L239" s="19" t="s">
        <v>41</v>
      </c>
      <c r="M239" s="16" t="s">
        <v>41</v>
      </c>
      <c r="N239" s="13" t="s">
        <v>50</v>
      </c>
      <c r="O239" s="13"/>
      <c r="P239" s="12">
        <f>IF(Q239="", 0, 1)</f>
        <v>0</v>
      </c>
      <c r="Q239" s="19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2">
        <f>IF(AC239="", 0, 1)</f>
        <v>0</v>
      </c>
      <c r="AC239" s="13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>
        <f>IF(AO239="", 0, 1)</f>
        <v>1</v>
      </c>
      <c r="AO239" s="12">
        <v>1126</v>
      </c>
      <c r="AP239" s="12"/>
      <c r="AQ239" s="12"/>
      <c r="AR239" s="12">
        <v>12</v>
      </c>
      <c r="AS239" s="12">
        <v>0</v>
      </c>
      <c r="AT239" s="12">
        <v>33</v>
      </c>
      <c r="AU239" s="12"/>
      <c r="AV239" s="12"/>
      <c r="AW239" s="12"/>
      <c r="AX239" s="12" t="str">
        <f>IF(AR239="", "mean", "med")</f>
        <v>med</v>
      </c>
      <c r="AY239" s="12">
        <f>IF(AR239="", AP239, AR239)</f>
        <v>12</v>
      </c>
      <c r="AZ239" s="12" t="s">
        <v>52</v>
      </c>
      <c r="BA239" s="12" t="str">
        <f>IF(AZ239="high","high","lower")</f>
        <v>high</v>
      </c>
      <c r="BB239" s="49">
        <v>0.90900000000000003</v>
      </c>
      <c r="BC239" s="12">
        <v>85.3</v>
      </c>
      <c r="BD239" s="12">
        <v>96.3</v>
      </c>
      <c r="BE239" s="12">
        <v>91.7</v>
      </c>
      <c r="BF239" s="12">
        <v>80</v>
      </c>
      <c r="BG239" s="18" t="s">
        <v>1034</v>
      </c>
      <c r="BH239" s="18" t="s">
        <v>1031</v>
      </c>
    </row>
    <row r="240" spans="1:60" ht="15.75" customHeight="1" x14ac:dyDescent="0.2">
      <c r="A240" s="11">
        <v>239</v>
      </c>
      <c r="B240" s="22">
        <v>2853</v>
      </c>
      <c r="C240" s="13" t="s">
        <v>381</v>
      </c>
      <c r="D240" s="13" t="s">
        <v>95</v>
      </c>
      <c r="E240" s="23">
        <v>2009</v>
      </c>
      <c r="F240" s="23">
        <v>2010</v>
      </c>
      <c r="G240" s="13" t="s">
        <v>77</v>
      </c>
      <c r="H240" s="13"/>
      <c r="I240" s="13" t="s">
        <v>94</v>
      </c>
      <c r="J240" s="13" t="s">
        <v>95</v>
      </c>
      <c r="K240" s="13"/>
      <c r="L240" s="19" t="s">
        <v>41</v>
      </c>
      <c r="M240" s="20" t="s">
        <v>41</v>
      </c>
      <c r="N240" s="13" t="s">
        <v>50</v>
      </c>
      <c r="O240" s="13"/>
      <c r="P240" s="12">
        <f>IF(Q240="", 0, 1)</f>
        <v>0</v>
      </c>
      <c r="Q240" s="19"/>
      <c r="R240" s="17"/>
      <c r="S240" s="17"/>
      <c r="T240" s="17"/>
      <c r="U240" s="17"/>
      <c r="V240" s="17"/>
      <c r="W240" s="17"/>
      <c r="X240" s="21"/>
      <c r="Y240" s="21"/>
      <c r="Z240" s="17"/>
      <c r="AA240" s="17"/>
      <c r="AB240" s="12">
        <f>IF(AC240="", 0, 1)</f>
        <v>0</v>
      </c>
      <c r="AC240" s="13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>
        <f>IF(AO240="", 0, 1)</f>
        <v>1</v>
      </c>
      <c r="AO240" s="12">
        <v>482</v>
      </c>
      <c r="AP240" s="12"/>
      <c r="AQ240" s="12"/>
      <c r="AR240" s="12">
        <v>14</v>
      </c>
      <c r="AS240" s="12">
        <v>1</v>
      </c>
      <c r="AT240" s="12">
        <v>43</v>
      </c>
      <c r="AU240" s="12"/>
      <c r="AV240" s="12"/>
      <c r="AW240" s="12"/>
      <c r="AX240" s="12" t="str">
        <f>IF(AR240="", "mean", "med")</f>
        <v>med</v>
      </c>
      <c r="AY240" s="12">
        <f>IF(AR240="", AP240, AR240)</f>
        <v>14</v>
      </c>
      <c r="AZ240" s="12" t="s">
        <v>52</v>
      </c>
      <c r="BA240" s="12" t="str">
        <f>IF(AZ240="high","high","lower")</f>
        <v>high</v>
      </c>
      <c r="BB240" s="49">
        <v>0.90900000000000003</v>
      </c>
      <c r="BC240" s="12">
        <v>85.3</v>
      </c>
      <c r="BD240" s="12">
        <v>96.3</v>
      </c>
      <c r="BE240" s="12">
        <v>91.7</v>
      </c>
      <c r="BF240" s="12">
        <v>80</v>
      </c>
      <c r="BG240" s="18" t="s">
        <v>1034</v>
      </c>
      <c r="BH240" s="18" t="s">
        <v>1031</v>
      </c>
    </row>
    <row r="241" spans="1:60" ht="15.75" customHeight="1" x14ac:dyDescent="0.2">
      <c r="A241" s="11">
        <v>240</v>
      </c>
      <c r="B241" s="12">
        <v>2853</v>
      </c>
      <c r="C241" s="13" t="s">
        <v>381</v>
      </c>
      <c r="D241" s="13" t="s">
        <v>119</v>
      </c>
      <c r="E241" s="23">
        <v>2009</v>
      </c>
      <c r="F241" s="23">
        <v>2010</v>
      </c>
      <c r="G241" s="13" t="s">
        <v>77</v>
      </c>
      <c r="H241" s="13"/>
      <c r="I241" s="13" t="s">
        <v>70</v>
      </c>
      <c r="J241" s="13" t="s">
        <v>119</v>
      </c>
      <c r="K241" s="13"/>
      <c r="L241" s="19" t="s">
        <v>41</v>
      </c>
      <c r="M241" s="16" t="s">
        <v>41</v>
      </c>
      <c r="N241" s="14" t="s">
        <v>50</v>
      </c>
      <c r="O241" s="13"/>
      <c r="P241" s="12">
        <f>IF(Q241="", 0, 1)</f>
        <v>0</v>
      </c>
      <c r="Q241" s="19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2">
        <f>IF(AC241="", 0, 1)</f>
        <v>0</v>
      </c>
      <c r="AC241" s="13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>
        <f>IF(AO241="", 0, 1)</f>
        <v>1</v>
      </c>
      <c r="AO241" s="12">
        <v>477</v>
      </c>
      <c r="AP241" s="12"/>
      <c r="AQ241" s="12"/>
      <c r="AR241" s="12">
        <v>20</v>
      </c>
      <c r="AS241" s="12">
        <v>0</v>
      </c>
      <c r="AT241" s="12">
        <v>69</v>
      </c>
      <c r="AU241" s="12"/>
      <c r="AV241" s="12"/>
      <c r="AW241" s="12"/>
      <c r="AX241" s="12" t="str">
        <f>IF(AR241="", "mean", "med")</f>
        <v>med</v>
      </c>
      <c r="AY241" s="12">
        <f>IF(AR241="", AP241, AR241)</f>
        <v>20</v>
      </c>
      <c r="AZ241" s="12" t="s">
        <v>52</v>
      </c>
      <c r="BA241" s="12" t="str">
        <f>IF(AZ241="high","high","lower")</f>
        <v>high</v>
      </c>
      <c r="BB241" s="49">
        <v>0.90900000000000003</v>
      </c>
      <c r="BC241" s="12">
        <v>85.3</v>
      </c>
      <c r="BD241" s="12">
        <v>96.3</v>
      </c>
      <c r="BE241" s="12">
        <v>91.7</v>
      </c>
      <c r="BF241" s="12">
        <v>80</v>
      </c>
      <c r="BG241" s="18" t="s">
        <v>1034</v>
      </c>
      <c r="BH241" s="18" t="s">
        <v>1031</v>
      </c>
    </row>
    <row r="242" spans="1:60" ht="15.75" customHeight="1" x14ac:dyDescent="0.2">
      <c r="A242" s="11">
        <v>241</v>
      </c>
      <c r="B242" s="12">
        <v>2853</v>
      </c>
      <c r="C242" s="13" t="s">
        <v>381</v>
      </c>
      <c r="D242" s="13" t="s">
        <v>255</v>
      </c>
      <c r="E242" s="23">
        <v>2009</v>
      </c>
      <c r="F242" s="23">
        <v>2010</v>
      </c>
      <c r="G242" s="13" t="s">
        <v>77</v>
      </c>
      <c r="H242" s="13"/>
      <c r="I242" s="13" t="s">
        <v>94</v>
      </c>
      <c r="J242" s="13" t="s">
        <v>255</v>
      </c>
      <c r="K242" s="13"/>
      <c r="L242" s="19" t="s">
        <v>41</v>
      </c>
      <c r="M242" s="16" t="s">
        <v>41</v>
      </c>
      <c r="N242" s="13" t="s">
        <v>50</v>
      </c>
      <c r="O242" s="13"/>
      <c r="P242" s="12">
        <f>IF(Q242="", 0, 1)</f>
        <v>0</v>
      </c>
      <c r="Q242" s="19"/>
      <c r="R242" s="21"/>
      <c r="S242" s="21"/>
      <c r="T242" s="17"/>
      <c r="U242" s="17"/>
      <c r="V242" s="17"/>
      <c r="W242" s="17"/>
      <c r="X242" s="17"/>
      <c r="Y242" s="17"/>
      <c r="Z242" s="17"/>
      <c r="AA242" s="17"/>
      <c r="AB242" s="12">
        <f>IF(AC242="", 0, 1)</f>
        <v>0</v>
      </c>
      <c r="AC242" s="13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>
        <f>IF(AO242="", 0, 1)</f>
        <v>1</v>
      </c>
      <c r="AO242" s="12">
        <v>127</v>
      </c>
      <c r="AP242" s="12"/>
      <c r="AQ242" s="12"/>
      <c r="AR242" s="12">
        <v>14</v>
      </c>
      <c r="AS242" s="12">
        <v>0</v>
      </c>
      <c r="AT242" s="12">
        <v>40</v>
      </c>
      <c r="AU242" s="12"/>
      <c r="AV242" s="12"/>
      <c r="AW242" s="12"/>
      <c r="AX242" s="12" t="str">
        <f>IF(AR242="", "mean", "med")</f>
        <v>med</v>
      </c>
      <c r="AY242" s="12">
        <f>IF(AR242="", AP242, AR242)</f>
        <v>14</v>
      </c>
      <c r="AZ242" s="12" t="s">
        <v>52</v>
      </c>
      <c r="BA242" s="12" t="str">
        <f>IF(AZ242="high","high","lower")</f>
        <v>high</v>
      </c>
      <c r="BB242" s="49">
        <v>0.90900000000000003</v>
      </c>
      <c r="BC242" s="12">
        <v>85.3</v>
      </c>
      <c r="BD242" s="12">
        <v>96.3</v>
      </c>
      <c r="BE242" s="12">
        <v>91.7</v>
      </c>
      <c r="BF242" s="12">
        <v>80</v>
      </c>
      <c r="BG242" s="18" t="s">
        <v>1034</v>
      </c>
      <c r="BH242" s="18" t="s">
        <v>1031</v>
      </c>
    </row>
    <row r="243" spans="1:60" ht="15.75" customHeight="1" x14ac:dyDescent="0.2">
      <c r="A243" s="11">
        <v>242</v>
      </c>
      <c r="B243" s="22">
        <v>2853</v>
      </c>
      <c r="C243" s="13" t="s">
        <v>381</v>
      </c>
      <c r="D243" s="14" t="s">
        <v>384</v>
      </c>
      <c r="E243" s="23">
        <v>2009</v>
      </c>
      <c r="F243" s="23">
        <v>2010</v>
      </c>
      <c r="G243" s="13" t="s">
        <v>77</v>
      </c>
      <c r="H243" s="13"/>
      <c r="I243" s="13" t="s">
        <v>79</v>
      </c>
      <c r="J243" s="13" t="s">
        <v>238</v>
      </c>
      <c r="K243" s="14"/>
      <c r="L243" s="19" t="s">
        <v>41</v>
      </c>
      <c r="M243" s="20" t="s">
        <v>41</v>
      </c>
      <c r="N243" s="13" t="s">
        <v>50</v>
      </c>
      <c r="O243" s="14"/>
      <c r="P243" s="12">
        <f>IF(Q243="", 0, 1)</f>
        <v>0</v>
      </c>
      <c r="Q243" s="19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2">
        <f>IF(AC243="", 0, 1)</f>
        <v>0</v>
      </c>
      <c r="AC243" s="13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>
        <f>IF(AO243="", 0, 1)</f>
        <v>1</v>
      </c>
      <c r="AO243" s="22">
        <v>147</v>
      </c>
      <c r="AP243" s="12"/>
      <c r="AQ243" s="12"/>
      <c r="AR243" s="22">
        <v>30</v>
      </c>
      <c r="AS243" s="12">
        <v>7</v>
      </c>
      <c r="AT243" s="12">
        <v>62</v>
      </c>
      <c r="AU243" s="12"/>
      <c r="AV243" s="12"/>
      <c r="AW243" s="12"/>
      <c r="AX243" s="12" t="str">
        <f>IF(AR243="", "mean", "med")</f>
        <v>med</v>
      </c>
      <c r="AY243" s="12">
        <f>IF(AR243="", AP243, AR243)</f>
        <v>30</v>
      </c>
      <c r="AZ243" s="12" t="s">
        <v>52</v>
      </c>
      <c r="BA243" s="12" t="str">
        <f>IF(AZ243="high","high","lower")</f>
        <v>high</v>
      </c>
      <c r="BB243" s="49">
        <v>0.90900000000000003</v>
      </c>
      <c r="BC243" s="12">
        <v>85.3</v>
      </c>
      <c r="BD243" s="12">
        <v>96.3</v>
      </c>
      <c r="BE243" s="12">
        <v>91.7</v>
      </c>
      <c r="BF243" s="12">
        <v>80</v>
      </c>
      <c r="BG243" s="18" t="s">
        <v>1034</v>
      </c>
      <c r="BH243" s="18" t="s">
        <v>1031</v>
      </c>
    </row>
    <row r="244" spans="1:60" ht="15.75" customHeight="1" x14ac:dyDescent="0.2">
      <c r="A244" s="11">
        <v>243</v>
      </c>
      <c r="B244" s="12">
        <v>2853</v>
      </c>
      <c r="C244" s="13" t="s">
        <v>381</v>
      </c>
      <c r="D244" s="13" t="s">
        <v>206</v>
      </c>
      <c r="E244" s="23">
        <v>2009</v>
      </c>
      <c r="F244" s="23">
        <v>2010</v>
      </c>
      <c r="G244" s="13" t="s">
        <v>77</v>
      </c>
      <c r="H244" s="13"/>
      <c r="I244" s="31" t="s">
        <v>104</v>
      </c>
      <c r="J244" s="13" t="s">
        <v>206</v>
      </c>
      <c r="K244" s="13"/>
      <c r="L244" s="15" t="s">
        <v>41</v>
      </c>
      <c r="M244" s="16" t="s">
        <v>41</v>
      </c>
      <c r="N244" s="13" t="s">
        <v>50</v>
      </c>
      <c r="O244" s="14"/>
      <c r="P244" s="12">
        <f>IF(Q244="", 0, 1)</f>
        <v>0</v>
      </c>
      <c r="Q244" s="15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2">
        <f>IF(AC244="", 0, 1)</f>
        <v>0</v>
      </c>
      <c r="AC244" s="13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>
        <f>IF(AO244="", 0, 1)</f>
        <v>1</v>
      </c>
      <c r="AO244" s="12">
        <v>270</v>
      </c>
      <c r="AP244" s="12"/>
      <c r="AQ244" s="12"/>
      <c r="AR244" s="12">
        <v>14</v>
      </c>
      <c r="AS244" s="12">
        <v>2</v>
      </c>
      <c r="AT244" s="12">
        <v>51</v>
      </c>
      <c r="AU244" s="12"/>
      <c r="AV244" s="12"/>
      <c r="AW244" s="12"/>
      <c r="AX244" s="12" t="str">
        <f>IF(AR244="", "mean", "med")</f>
        <v>med</v>
      </c>
      <c r="AY244" s="12">
        <f>IF(AR244="", AP244, AR244)</f>
        <v>14</v>
      </c>
      <c r="AZ244" s="12" t="s">
        <v>52</v>
      </c>
      <c r="BA244" s="12" t="str">
        <f>IF(AZ244="high","high","lower")</f>
        <v>high</v>
      </c>
      <c r="BB244" s="49">
        <v>0.90900000000000003</v>
      </c>
      <c r="BC244" s="12">
        <v>85.3</v>
      </c>
      <c r="BD244" s="12">
        <v>96.3</v>
      </c>
      <c r="BE244" s="12">
        <v>91.7</v>
      </c>
      <c r="BF244" s="12">
        <v>80</v>
      </c>
      <c r="BG244" s="18" t="s">
        <v>1034</v>
      </c>
      <c r="BH244" s="18" t="s">
        <v>1031</v>
      </c>
    </row>
    <row r="245" spans="1:60" ht="15.75" customHeight="1" x14ac:dyDescent="0.2">
      <c r="A245" s="11">
        <v>244</v>
      </c>
      <c r="B245" s="12">
        <v>2853</v>
      </c>
      <c r="C245" s="13" t="s">
        <v>381</v>
      </c>
      <c r="D245" s="13" t="s">
        <v>288</v>
      </c>
      <c r="E245" s="23">
        <v>2009</v>
      </c>
      <c r="F245" s="23">
        <v>2010</v>
      </c>
      <c r="G245" s="13" t="s">
        <v>77</v>
      </c>
      <c r="H245" s="13"/>
      <c r="I245" s="13" t="s">
        <v>54</v>
      </c>
      <c r="J245" s="13" t="s">
        <v>229</v>
      </c>
      <c r="K245" s="14" t="s">
        <v>288</v>
      </c>
      <c r="L245" s="15" t="s">
        <v>41</v>
      </c>
      <c r="M245" s="20" t="s">
        <v>41</v>
      </c>
      <c r="N245" s="13" t="s">
        <v>50</v>
      </c>
      <c r="O245" s="14"/>
      <c r="P245" s="12">
        <f>IF(Q245="", 0, 1)</f>
        <v>0</v>
      </c>
      <c r="Q245" s="15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2">
        <f>IF(AC245="", 0, 1)</f>
        <v>0</v>
      </c>
      <c r="AC245" s="13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>
        <f>IF(AO245="", 0, 1)</f>
        <v>1</v>
      </c>
      <c r="AO245" s="12">
        <v>272</v>
      </c>
      <c r="AP245" s="12"/>
      <c r="AQ245" s="12"/>
      <c r="AR245" s="12">
        <v>9.5</v>
      </c>
      <c r="AS245" s="12">
        <v>1</v>
      </c>
      <c r="AT245" s="12">
        <v>31</v>
      </c>
      <c r="AU245" s="12"/>
      <c r="AV245" s="12"/>
      <c r="AW245" s="12"/>
      <c r="AX245" s="12" t="str">
        <f>IF(AR245="", "mean", "med")</f>
        <v>med</v>
      </c>
      <c r="AY245" s="12">
        <f>IF(AR245="", AP245, AR245)</f>
        <v>9.5</v>
      </c>
      <c r="AZ245" s="12" t="s">
        <v>52</v>
      </c>
      <c r="BA245" s="12" t="str">
        <f>IF(AZ245="high","high","lower")</f>
        <v>high</v>
      </c>
      <c r="BB245" s="49">
        <v>0.90900000000000003</v>
      </c>
      <c r="BC245" s="12">
        <v>85.3</v>
      </c>
      <c r="BD245" s="12">
        <v>96.3</v>
      </c>
      <c r="BE245" s="12">
        <v>91.7</v>
      </c>
      <c r="BF245" s="12">
        <v>80</v>
      </c>
      <c r="BG245" s="18" t="s">
        <v>1034</v>
      </c>
      <c r="BH245" s="18" t="s">
        <v>1031</v>
      </c>
    </row>
    <row r="246" spans="1:60" ht="15.75" customHeight="1" x14ac:dyDescent="0.2">
      <c r="A246" s="11">
        <v>245</v>
      </c>
      <c r="B246" s="12">
        <v>2853</v>
      </c>
      <c r="C246" s="13" t="s">
        <v>381</v>
      </c>
      <c r="D246" s="13" t="s">
        <v>60</v>
      </c>
      <c r="E246" s="23">
        <v>2009</v>
      </c>
      <c r="F246" s="23">
        <v>2010</v>
      </c>
      <c r="G246" s="13" t="s">
        <v>77</v>
      </c>
      <c r="H246" s="13"/>
      <c r="I246" s="13" t="s">
        <v>59</v>
      </c>
      <c r="J246" s="13" t="s">
        <v>60</v>
      </c>
      <c r="K246" s="13"/>
      <c r="L246" s="19" t="s">
        <v>41</v>
      </c>
      <c r="M246" s="16" t="s">
        <v>41</v>
      </c>
      <c r="N246" s="14" t="s">
        <v>50</v>
      </c>
      <c r="O246" s="14"/>
      <c r="P246" s="12">
        <f>IF(Q246="", 0, 1)</f>
        <v>0</v>
      </c>
      <c r="Q246" s="19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2">
        <f>IF(AC246="", 0, 1)</f>
        <v>0</v>
      </c>
      <c r="AC246" s="13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>
        <f>IF(AO246="", 0, 1)</f>
        <v>1</v>
      </c>
      <c r="AO246" s="12">
        <v>1386</v>
      </c>
      <c r="AP246" s="12"/>
      <c r="AQ246" s="12"/>
      <c r="AR246" s="12">
        <v>6</v>
      </c>
      <c r="AS246" s="12">
        <v>0</v>
      </c>
      <c r="AT246" s="12">
        <v>42</v>
      </c>
      <c r="AU246" s="12"/>
      <c r="AV246" s="12"/>
      <c r="AW246" s="12"/>
      <c r="AX246" s="12" t="str">
        <f>IF(AR246="", "mean", "med")</f>
        <v>med</v>
      </c>
      <c r="AY246" s="12">
        <f>IF(AR246="", AP246, AR246)</f>
        <v>6</v>
      </c>
      <c r="AZ246" s="12" t="s">
        <v>52</v>
      </c>
      <c r="BA246" s="12" t="str">
        <f>IF(AZ246="high","high","lower")</f>
        <v>high</v>
      </c>
      <c r="BB246" s="49">
        <v>0.90900000000000003</v>
      </c>
      <c r="BC246" s="12">
        <v>85.3</v>
      </c>
      <c r="BD246" s="12">
        <v>96.3</v>
      </c>
      <c r="BE246" s="12">
        <v>91.7</v>
      </c>
      <c r="BF246" s="12">
        <v>80</v>
      </c>
      <c r="BG246" s="18" t="s">
        <v>1034</v>
      </c>
      <c r="BH246" s="18" t="s">
        <v>1031</v>
      </c>
    </row>
    <row r="247" spans="1:60" ht="15.75" customHeight="1" x14ac:dyDescent="0.2">
      <c r="A247" s="11">
        <v>246</v>
      </c>
      <c r="B247" s="12">
        <v>2853</v>
      </c>
      <c r="C247" s="13" t="s">
        <v>381</v>
      </c>
      <c r="D247" s="13" t="s">
        <v>320</v>
      </c>
      <c r="E247" s="23">
        <v>2009</v>
      </c>
      <c r="F247" s="23">
        <v>2010</v>
      </c>
      <c r="G247" s="13" t="s">
        <v>77</v>
      </c>
      <c r="H247" s="13"/>
      <c r="I247" s="13" t="s">
        <v>59</v>
      </c>
      <c r="J247" s="13" t="s">
        <v>320</v>
      </c>
      <c r="K247" s="13"/>
      <c r="L247" s="19" t="s">
        <v>41</v>
      </c>
      <c r="M247" s="16" t="s">
        <v>41</v>
      </c>
      <c r="N247" s="13" t="s">
        <v>50</v>
      </c>
      <c r="O247" s="14"/>
      <c r="P247" s="12">
        <f>IF(Q247="", 0, 1)</f>
        <v>0</v>
      </c>
      <c r="Q247" s="19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2">
        <f>IF(AC247="", 0, 1)</f>
        <v>0</v>
      </c>
      <c r="AC247" s="13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>
        <f>IF(AO247="", 0, 1)</f>
        <v>1</v>
      </c>
      <c r="AO247" s="12">
        <v>209</v>
      </c>
      <c r="AP247" s="12"/>
      <c r="AQ247" s="12"/>
      <c r="AR247" s="12">
        <v>3</v>
      </c>
      <c r="AS247" s="12">
        <v>0</v>
      </c>
      <c r="AT247" s="12">
        <v>19</v>
      </c>
      <c r="AU247" s="12"/>
      <c r="AV247" s="12"/>
      <c r="AW247" s="12"/>
      <c r="AX247" s="12" t="str">
        <f>IF(AR247="", "mean", "med")</f>
        <v>med</v>
      </c>
      <c r="AY247" s="12">
        <f>IF(AR247="", AP247, AR247)</f>
        <v>3</v>
      </c>
      <c r="AZ247" s="12" t="s">
        <v>52</v>
      </c>
      <c r="BA247" s="12" t="str">
        <f>IF(AZ247="high","high","lower")</f>
        <v>high</v>
      </c>
      <c r="BB247" s="49">
        <v>0.90900000000000003</v>
      </c>
      <c r="BC247" s="12">
        <v>85.3</v>
      </c>
      <c r="BD247" s="12">
        <v>96.3</v>
      </c>
      <c r="BE247" s="12">
        <v>91.7</v>
      </c>
      <c r="BF247" s="12">
        <v>80</v>
      </c>
      <c r="BG247" s="18" t="s">
        <v>1034</v>
      </c>
      <c r="BH247" s="18" t="s">
        <v>1031</v>
      </c>
    </row>
    <row r="248" spans="1:60" ht="15.75" customHeight="1" x14ac:dyDescent="0.2">
      <c r="A248" s="11">
        <v>247</v>
      </c>
      <c r="B248" s="12">
        <v>2853</v>
      </c>
      <c r="C248" s="13" t="s">
        <v>381</v>
      </c>
      <c r="D248" s="13" t="s">
        <v>385</v>
      </c>
      <c r="E248" s="23">
        <v>2009</v>
      </c>
      <c r="F248" s="23">
        <v>2010</v>
      </c>
      <c r="G248" s="13" t="s">
        <v>77</v>
      </c>
      <c r="H248" s="13"/>
      <c r="I248" s="13" t="s">
        <v>386</v>
      </c>
      <c r="J248" s="13" t="s">
        <v>385</v>
      </c>
      <c r="K248" s="13"/>
      <c r="L248" s="15" t="s">
        <v>41</v>
      </c>
      <c r="M248" s="16" t="s">
        <v>41</v>
      </c>
      <c r="N248" s="13" t="s">
        <v>50</v>
      </c>
      <c r="O248" s="13"/>
      <c r="P248" s="12">
        <f>IF(Q248="", 0, 1)</f>
        <v>0</v>
      </c>
      <c r="Q248" s="15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2">
        <f>IF(AC248="", 0, 1)</f>
        <v>0</v>
      </c>
      <c r="AC248" s="13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>
        <f>IF(AO248="", 0, 1)</f>
        <v>1</v>
      </c>
      <c r="AO248" s="12">
        <v>110</v>
      </c>
      <c r="AP248" s="12"/>
      <c r="AQ248" s="12"/>
      <c r="AR248" s="12">
        <v>7</v>
      </c>
      <c r="AS248" s="12">
        <v>0</v>
      </c>
      <c r="AT248" s="12">
        <v>23</v>
      </c>
      <c r="AU248" s="12"/>
      <c r="AV248" s="12"/>
      <c r="AW248" s="12"/>
      <c r="AX248" s="12" t="str">
        <f>IF(AR248="", "mean", "med")</f>
        <v>med</v>
      </c>
      <c r="AY248" s="12">
        <f>IF(AR248="", AP248, AR248)</f>
        <v>7</v>
      </c>
      <c r="AZ248" s="12" t="s">
        <v>52</v>
      </c>
      <c r="BA248" s="12" t="str">
        <f>IF(AZ248="high","high","lower")</f>
        <v>high</v>
      </c>
      <c r="BB248" s="49">
        <v>0.90900000000000003</v>
      </c>
      <c r="BC248" s="12">
        <v>85.3</v>
      </c>
      <c r="BD248" s="12">
        <v>96.3</v>
      </c>
      <c r="BE248" s="12">
        <v>91.7</v>
      </c>
      <c r="BF248" s="12">
        <v>80</v>
      </c>
      <c r="BG248" s="18" t="s">
        <v>1034</v>
      </c>
      <c r="BH248" s="18" t="s">
        <v>1031</v>
      </c>
    </row>
    <row r="249" spans="1:60" ht="15.75" customHeight="1" x14ac:dyDescent="0.2">
      <c r="A249" s="11">
        <v>248</v>
      </c>
      <c r="B249" s="12">
        <v>2853</v>
      </c>
      <c r="C249" s="13" t="s">
        <v>381</v>
      </c>
      <c r="D249" s="13" t="s">
        <v>387</v>
      </c>
      <c r="E249" s="23">
        <v>2009</v>
      </c>
      <c r="F249" s="23">
        <v>2010</v>
      </c>
      <c r="G249" s="13" t="s">
        <v>77</v>
      </c>
      <c r="H249" s="13"/>
      <c r="I249" s="13" t="s">
        <v>54</v>
      </c>
      <c r="J249" s="13" t="s">
        <v>229</v>
      </c>
      <c r="K249" s="13" t="s">
        <v>387</v>
      </c>
      <c r="L249" s="15" t="s">
        <v>41</v>
      </c>
      <c r="M249" s="16" t="s">
        <v>41</v>
      </c>
      <c r="N249" s="13" t="s">
        <v>50</v>
      </c>
      <c r="O249" s="13"/>
      <c r="P249" s="12">
        <f>IF(Q249="", 0, 1)</f>
        <v>0</v>
      </c>
      <c r="Q249" s="15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2">
        <f>IF(AC249="", 0, 1)</f>
        <v>0</v>
      </c>
      <c r="AC249" s="13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>
        <f>IF(AO249="", 0, 1)</f>
        <v>1</v>
      </c>
      <c r="AO249" s="12">
        <v>187</v>
      </c>
      <c r="AP249" s="12"/>
      <c r="AQ249" s="12"/>
      <c r="AR249" s="12">
        <v>9</v>
      </c>
      <c r="AS249" s="12">
        <v>0</v>
      </c>
      <c r="AT249" s="12">
        <v>33</v>
      </c>
      <c r="AU249" s="12"/>
      <c r="AV249" s="12"/>
      <c r="AW249" s="12"/>
      <c r="AX249" s="12" t="str">
        <f>IF(AR249="", "mean", "med")</f>
        <v>med</v>
      </c>
      <c r="AY249" s="12">
        <f>IF(AR249="", AP249, AR249)</f>
        <v>9</v>
      </c>
      <c r="AZ249" s="12" t="s">
        <v>52</v>
      </c>
      <c r="BA249" s="12" t="str">
        <f>IF(AZ249="high","high","lower")</f>
        <v>high</v>
      </c>
      <c r="BB249" s="49">
        <v>0.90900000000000003</v>
      </c>
      <c r="BC249" s="12">
        <v>85.3</v>
      </c>
      <c r="BD249" s="12">
        <v>96.3</v>
      </c>
      <c r="BE249" s="12">
        <v>91.7</v>
      </c>
      <c r="BF249" s="12">
        <v>80</v>
      </c>
      <c r="BG249" s="18" t="s">
        <v>1034</v>
      </c>
      <c r="BH249" s="18" t="s">
        <v>1031</v>
      </c>
    </row>
    <row r="250" spans="1:60" ht="15.75" customHeight="1" x14ac:dyDescent="0.2">
      <c r="A250" s="11">
        <v>249</v>
      </c>
      <c r="B250" s="12">
        <v>2853</v>
      </c>
      <c r="C250" s="13" t="s">
        <v>381</v>
      </c>
      <c r="D250" s="13" t="s">
        <v>224</v>
      </c>
      <c r="E250" s="23">
        <v>2009</v>
      </c>
      <c r="F250" s="23">
        <v>2010</v>
      </c>
      <c r="G250" s="13" t="s">
        <v>77</v>
      </c>
      <c r="H250" s="13"/>
      <c r="I250" s="13" t="s">
        <v>54</v>
      </c>
      <c r="J250" s="13" t="s">
        <v>229</v>
      </c>
      <c r="K250" s="13" t="s">
        <v>224</v>
      </c>
      <c r="L250" s="19" t="s">
        <v>41</v>
      </c>
      <c r="M250" s="16" t="s">
        <v>41</v>
      </c>
      <c r="N250" s="13" t="s">
        <v>50</v>
      </c>
      <c r="O250" s="13"/>
      <c r="P250" s="12">
        <f>IF(Q250="", 0, 1)</f>
        <v>0</v>
      </c>
      <c r="Q250" s="19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2">
        <f>IF(AC250="", 0, 1)</f>
        <v>0</v>
      </c>
      <c r="AC250" s="13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>
        <f>IF(AO250="", 0, 1)</f>
        <v>1</v>
      </c>
      <c r="AO250" s="12">
        <v>407</v>
      </c>
      <c r="AP250" s="12"/>
      <c r="AQ250" s="12"/>
      <c r="AR250" s="12">
        <v>22</v>
      </c>
      <c r="AS250" s="12">
        <v>7</v>
      </c>
      <c r="AT250" s="12">
        <v>46</v>
      </c>
      <c r="AU250" s="12"/>
      <c r="AV250" s="12"/>
      <c r="AW250" s="12"/>
      <c r="AX250" s="12" t="str">
        <f>IF(AR250="", "mean", "med")</f>
        <v>med</v>
      </c>
      <c r="AY250" s="12">
        <f>IF(AR250="", AP250, AR250)</f>
        <v>22</v>
      </c>
      <c r="AZ250" s="12" t="s">
        <v>52</v>
      </c>
      <c r="BA250" s="12" t="str">
        <f>IF(AZ250="high","high","lower")</f>
        <v>high</v>
      </c>
      <c r="BB250" s="49">
        <v>0.90900000000000003</v>
      </c>
      <c r="BC250" s="12">
        <v>85.3</v>
      </c>
      <c r="BD250" s="12">
        <v>96.3</v>
      </c>
      <c r="BE250" s="12">
        <v>91.7</v>
      </c>
      <c r="BF250" s="12">
        <v>80</v>
      </c>
      <c r="BG250" s="18" t="s">
        <v>1034</v>
      </c>
      <c r="BH250" s="18" t="s">
        <v>1031</v>
      </c>
    </row>
    <row r="251" spans="1:60" ht="15.75" customHeight="1" x14ac:dyDescent="0.2">
      <c r="A251" s="11">
        <v>250</v>
      </c>
      <c r="B251" s="12">
        <v>2862</v>
      </c>
      <c r="C251" s="13" t="s">
        <v>388</v>
      </c>
      <c r="D251" s="13" t="s">
        <v>38</v>
      </c>
      <c r="E251" s="23">
        <v>2017</v>
      </c>
      <c r="F251" s="23">
        <v>2017</v>
      </c>
      <c r="G251" s="13" t="s">
        <v>389</v>
      </c>
      <c r="H251" s="13"/>
      <c r="I251" s="13" t="s">
        <v>40</v>
      </c>
      <c r="J251" s="13" t="s">
        <v>40</v>
      </c>
      <c r="K251" s="13"/>
      <c r="L251" s="19">
        <v>100</v>
      </c>
      <c r="M251" s="20">
        <v>57</v>
      </c>
      <c r="N251" s="13" t="s">
        <v>50</v>
      </c>
      <c r="O251" s="13" t="s">
        <v>41</v>
      </c>
      <c r="P251" s="12">
        <f>IF(Q251="", 0, 1)</f>
        <v>1</v>
      </c>
      <c r="Q251" s="15">
        <v>355</v>
      </c>
      <c r="R251" s="17"/>
      <c r="S251" s="17"/>
      <c r="T251" s="17">
        <v>72</v>
      </c>
      <c r="U251" s="17"/>
      <c r="V251" s="17"/>
      <c r="W251" s="17">
        <v>90</v>
      </c>
      <c r="X251" s="17"/>
      <c r="Y251" s="17"/>
      <c r="Z251" s="17" t="str">
        <f>IF(T251="", "mean", "med")</f>
        <v>med</v>
      </c>
      <c r="AA251" s="17">
        <f>IF(T251="", R251, T251)</f>
        <v>72</v>
      </c>
      <c r="AB251" s="12">
        <f>IF(AC251="", 0, 1)</f>
        <v>0</v>
      </c>
      <c r="AC251" s="13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>
        <f>IF(AO251="", 0, 1)</f>
        <v>0</v>
      </c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 t="s">
        <v>43</v>
      </c>
      <c r="BA251" s="12" t="str">
        <f>IF(AZ251="high","high","lower")</f>
        <v>lower</v>
      </c>
      <c r="BB251" s="49">
        <v>0.76300000000000001</v>
      </c>
      <c r="BC251" s="12">
        <v>83.6</v>
      </c>
      <c r="BD251" s="12">
        <v>79.8</v>
      </c>
      <c r="BE251" s="12">
        <v>92.1</v>
      </c>
      <c r="BF251" s="12">
        <v>91.7</v>
      </c>
      <c r="BG251" s="18" t="s">
        <v>1030</v>
      </c>
      <c r="BH251" s="18" t="s">
        <v>1031</v>
      </c>
    </row>
    <row r="252" spans="1:60" ht="15.75" customHeight="1" x14ac:dyDescent="0.2">
      <c r="A252" s="11">
        <v>251</v>
      </c>
      <c r="B252" s="22">
        <v>2864</v>
      </c>
      <c r="C252" s="13" t="s">
        <v>390</v>
      </c>
      <c r="D252" s="14" t="s">
        <v>38</v>
      </c>
      <c r="E252" s="23">
        <v>2005</v>
      </c>
      <c r="F252" s="23">
        <v>2008</v>
      </c>
      <c r="G252" s="13" t="s">
        <v>125</v>
      </c>
      <c r="H252" s="13"/>
      <c r="I252" s="13" t="s">
        <v>57</v>
      </c>
      <c r="J252" s="14" t="s">
        <v>58</v>
      </c>
      <c r="K252" s="14"/>
      <c r="L252" s="19">
        <f>(15+12+4+8)/(15+12+4+8+112+65+43+43)*100</f>
        <v>12.913907284768211</v>
      </c>
      <c r="M252" s="16" t="s">
        <v>41</v>
      </c>
      <c r="N252" s="13" t="s">
        <v>42</v>
      </c>
      <c r="O252" s="13" t="s">
        <v>41</v>
      </c>
      <c r="P252" s="12">
        <f>IF(Q252="", 0, 1)</f>
        <v>1</v>
      </c>
      <c r="Q252" s="19">
        <v>307</v>
      </c>
      <c r="R252" s="17">
        <v>23.5</v>
      </c>
      <c r="S252" s="17"/>
      <c r="T252" s="17">
        <v>14</v>
      </c>
      <c r="U252" s="17"/>
      <c r="V252" s="17"/>
      <c r="W252" s="17"/>
      <c r="X252" s="17"/>
      <c r="Y252" s="17"/>
      <c r="Z252" s="17" t="str">
        <f>IF(T252="", "mean", "med")</f>
        <v>med</v>
      </c>
      <c r="AA252" s="17">
        <f>IF(T252="", R252, T252)</f>
        <v>14</v>
      </c>
      <c r="AB252" s="12">
        <f>IF(AC252="", 0, 1)</f>
        <v>0</v>
      </c>
      <c r="AC252" s="13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>
        <f>IF(AO252="", 0, 1)</f>
        <v>0</v>
      </c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 t="s">
        <v>52</v>
      </c>
      <c r="BA252" s="12" t="str">
        <f>IF(AZ252="high","high","lower")</f>
        <v>high</v>
      </c>
      <c r="BB252" s="49">
        <v>0.85799999999999998</v>
      </c>
      <c r="BC252" s="12">
        <v>84</v>
      </c>
      <c r="BD252" s="12">
        <v>89.7</v>
      </c>
      <c r="BE252" s="12">
        <v>70.8</v>
      </c>
      <c r="BF252" s="12">
        <v>89.2</v>
      </c>
      <c r="BG252" s="18" t="s">
        <v>1030</v>
      </c>
      <c r="BH252" s="18" t="s">
        <v>1031</v>
      </c>
    </row>
    <row r="253" spans="1:60" ht="15.75" customHeight="1" x14ac:dyDescent="0.2">
      <c r="A253" s="11">
        <v>252</v>
      </c>
      <c r="B253" s="12">
        <v>2872</v>
      </c>
      <c r="C253" s="13" t="s">
        <v>391</v>
      </c>
      <c r="D253" s="31" t="s">
        <v>392</v>
      </c>
      <c r="E253" s="23">
        <v>2015</v>
      </c>
      <c r="F253" s="23">
        <v>2015</v>
      </c>
      <c r="G253" s="13" t="s">
        <v>393</v>
      </c>
      <c r="H253" s="13"/>
      <c r="I253" s="13" t="s">
        <v>40</v>
      </c>
      <c r="J253" s="13" t="s">
        <v>40</v>
      </c>
      <c r="K253" s="14"/>
      <c r="L253" s="15">
        <v>100</v>
      </c>
      <c r="M253" s="16" t="s">
        <v>41</v>
      </c>
      <c r="N253" s="13" t="s">
        <v>50</v>
      </c>
      <c r="O253" s="13"/>
      <c r="P253" s="12">
        <f>IF(Q253="", 0, 1)</f>
        <v>0</v>
      </c>
      <c r="Q253" s="15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2">
        <f>IF(AC253="", 0, 1)</f>
        <v>0</v>
      </c>
      <c r="AC253" s="13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>
        <f>IF(AO253="", 0, 1)</f>
        <v>1</v>
      </c>
      <c r="AO253" s="12">
        <v>8</v>
      </c>
      <c r="AP253" s="12"/>
      <c r="AQ253" s="12"/>
      <c r="AR253" s="12">
        <v>125</v>
      </c>
      <c r="AS253" s="12"/>
      <c r="AT253" s="12"/>
      <c r="AU253" s="12"/>
      <c r="AV253" s="12"/>
      <c r="AW253" s="12"/>
      <c r="AX253" s="12" t="str">
        <f>IF(AR253="", "mean", "med")</f>
        <v>med</v>
      </c>
      <c r="AY253" s="12">
        <f>IF(AR253="", AP253, AR253)</f>
        <v>125</v>
      </c>
      <c r="AZ253" s="49" t="s">
        <v>46</v>
      </c>
      <c r="BA253" s="49" t="str">
        <f>IF(AZ253="high","high","lower")</f>
        <v>lower</v>
      </c>
      <c r="BB253" s="49">
        <v>0.53600000000000003</v>
      </c>
      <c r="BC253" s="49"/>
      <c r="BD253" s="49"/>
      <c r="BE253" s="49"/>
      <c r="BF253" s="49"/>
      <c r="BG253" s="18" t="s">
        <v>1030</v>
      </c>
      <c r="BH253" s="18" t="s">
        <v>1031</v>
      </c>
    </row>
    <row r="254" spans="1:60" ht="15.75" customHeight="1" x14ac:dyDescent="0.2">
      <c r="A254" s="11">
        <v>253</v>
      </c>
      <c r="B254" s="12">
        <v>2872</v>
      </c>
      <c r="C254" s="13" t="s">
        <v>391</v>
      </c>
      <c r="D254" s="31" t="s">
        <v>394</v>
      </c>
      <c r="E254" s="23">
        <v>2015</v>
      </c>
      <c r="F254" s="23">
        <v>2015</v>
      </c>
      <c r="G254" s="13" t="s">
        <v>393</v>
      </c>
      <c r="H254" s="13"/>
      <c r="I254" s="13" t="s">
        <v>40</v>
      </c>
      <c r="J254" s="13" t="s">
        <v>40</v>
      </c>
      <c r="K254" s="14"/>
      <c r="L254" s="15">
        <v>100</v>
      </c>
      <c r="M254" s="16" t="s">
        <v>41</v>
      </c>
      <c r="N254" s="13" t="s">
        <v>50</v>
      </c>
      <c r="O254" s="13"/>
      <c r="P254" s="12">
        <f>IF(Q254="", 0, 1)</f>
        <v>0</v>
      </c>
      <c r="Q254" s="15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2">
        <f>IF(AC254="", 0, 1)</f>
        <v>0</v>
      </c>
      <c r="AC254" s="13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>
        <f>IF(AO254="", 0, 1)</f>
        <v>1</v>
      </c>
      <c r="AO254" s="12">
        <v>11</v>
      </c>
      <c r="AP254" s="12"/>
      <c r="AQ254" s="12"/>
      <c r="AR254" s="12">
        <v>128</v>
      </c>
      <c r="AS254" s="12"/>
      <c r="AT254" s="12"/>
      <c r="AU254" s="12"/>
      <c r="AV254" s="12"/>
      <c r="AW254" s="12"/>
      <c r="AX254" s="12" t="str">
        <f>IF(AR254="", "mean", "med")</f>
        <v>med</v>
      </c>
      <c r="AY254" s="12">
        <f>IF(AR254="", AP254, AR254)</f>
        <v>128</v>
      </c>
      <c r="AZ254" s="49" t="s">
        <v>46</v>
      </c>
      <c r="BA254" s="49" t="str">
        <f>IF(AZ254="high","high","lower")</f>
        <v>lower</v>
      </c>
      <c r="BB254" s="49">
        <v>0.53600000000000003</v>
      </c>
      <c r="BC254" s="49"/>
      <c r="BD254" s="49"/>
      <c r="BE254" s="49"/>
      <c r="BF254" s="49"/>
      <c r="BG254" s="18" t="s">
        <v>1030</v>
      </c>
      <c r="BH254" s="18" t="s">
        <v>1031</v>
      </c>
    </row>
    <row r="255" spans="1:60" ht="15.75" customHeight="1" x14ac:dyDescent="0.2">
      <c r="A255" s="11">
        <v>254</v>
      </c>
      <c r="B255" s="12">
        <v>2872</v>
      </c>
      <c r="C255" s="13" t="s">
        <v>391</v>
      </c>
      <c r="D255" s="31" t="s">
        <v>395</v>
      </c>
      <c r="E255" s="23">
        <v>2015</v>
      </c>
      <c r="F255" s="23">
        <v>2015</v>
      </c>
      <c r="G255" s="13" t="s">
        <v>393</v>
      </c>
      <c r="H255" s="13"/>
      <c r="I255" s="13" t="s">
        <v>40</v>
      </c>
      <c r="J255" s="13" t="s">
        <v>40</v>
      </c>
      <c r="K255" s="14"/>
      <c r="L255" s="15">
        <v>100</v>
      </c>
      <c r="M255" s="16" t="s">
        <v>41</v>
      </c>
      <c r="N255" s="13" t="s">
        <v>50</v>
      </c>
      <c r="O255" s="13"/>
      <c r="P255" s="12">
        <f>IF(Q255="", 0, 1)</f>
        <v>0</v>
      </c>
      <c r="Q255" s="15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2">
        <f>IF(AC255="", 0, 1)</f>
        <v>0</v>
      </c>
      <c r="AC255" s="13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>
        <f>IF(AO255="", 0, 1)</f>
        <v>1</v>
      </c>
      <c r="AO255" s="12">
        <v>15</v>
      </c>
      <c r="AP255" s="12"/>
      <c r="AQ255" s="12"/>
      <c r="AR255" s="12">
        <v>31</v>
      </c>
      <c r="AS255" s="12"/>
      <c r="AT255" s="12"/>
      <c r="AU255" s="12"/>
      <c r="AV255" s="12"/>
      <c r="AW255" s="12"/>
      <c r="AX255" s="12" t="str">
        <f>IF(AR255="", "mean", "med")</f>
        <v>med</v>
      </c>
      <c r="AY255" s="12">
        <f>IF(AR255="", AP255, AR255)</f>
        <v>31</v>
      </c>
      <c r="AZ255" s="49" t="s">
        <v>46</v>
      </c>
      <c r="BA255" s="49" t="str">
        <f>IF(AZ255="high","high","lower")</f>
        <v>lower</v>
      </c>
      <c r="BB255" s="49">
        <v>0.53600000000000003</v>
      </c>
      <c r="BC255" s="49"/>
      <c r="BD255" s="49"/>
      <c r="BE255" s="49"/>
      <c r="BF255" s="49"/>
      <c r="BG255" s="18" t="s">
        <v>1030</v>
      </c>
      <c r="BH255" s="18" t="s">
        <v>1031</v>
      </c>
    </row>
    <row r="256" spans="1:60" ht="15.75" customHeight="1" x14ac:dyDescent="0.2">
      <c r="A256" s="11">
        <v>255</v>
      </c>
      <c r="B256" s="12">
        <v>2872</v>
      </c>
      <c r="C256" s="13" t="s">
        <v>391</v>
      </c>
      <c r="D256" s="13" t="s">
        <v>396</v>
      </c>
      <c r="E256" s="23">
        <v>2015</v>
      </c>
      <c r="F256" s="23">
        <v>2015</v>
      </c>
      <c r="G256" s="13" t="s">
        <v>393</v>
      </c>
      <c r="H256" s="13"/>
      <c r="I256" s="13" t="s">
        <v>40</v>
      </c>
      <c r="J256" s="13" t="s">
        <v>40</v>
      </c>
      <c r="K256" s="14"/>
      <c r="L256" s="15">
        <v>100</v>
      </c>
      <c r="M256" s="16" t="s">
        <v>41</v>
      </c>
      <c r="N256" s="13" t="s">
        <v>50</v>
      </c>
      <c r="O256" s="13"/>
      <c r="P256" s="12">
        <f>IF(Q256="", 0, 1)</f>
        <v>0</v>
      </c>
      <c r="Q256" s="15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2">
        <f>IF(AC256="", 0, 1)</f>
        <v>0</v>
      </c>
      <c r="AC256" s="13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>
        <f>IF(AO256="", 0, 1)</f>
        <v>1</v>
      </c>
      <c r="AO256" s="12">
        <v>32</v>
      </c>
      <c r="AP256" s="12"/>
      <c r="AQ256" s="12"/>
      <c r="AR256" s="12">
        <v>150</v>
      </c>
      <c r="AS256" s="12"/>
      <c r="AT256" s="12"/>
      <c r="AU256" s="12">
        <v>299.5</v>
      </c>
      <c r="AV256" s="12"/>
      <c r="AW256" s="12"/>
      <c r="AX256" s="12" t="str">
        <f>IF(AR256="", "mean", "med")</f>
        <v>med</v>
      </c>
      <c r="AY256" s="12">
        <f>IF(AR256="", AP256, AR256)</f>
        <v>150</v>
      </c>
      <c r="AZ256" s="49" t="s">
        <v>46</v>
      </c>
      <c r="BA256" s="49" t="str">
        <f>IF(AZ256="high","high","lower")</f>
        <v>lower</v>
      </c>
      <c r="BB256" s="49">
        <v>0.53600000000000003</v>
      </c>
      <c r="BC256" s="49"/>
      <c r="BD256" s="49"/>
      <c r="BE256" s="49"/>
      <c r="BF256" s="49"/>
      <c r="BG256" s="18" t="s">
        <v>1030</v>
      </c>
      <c r="BH256" s="18" t="s">
        <v>1031</v>
      </c>
    </row>
    <row r="257" spans="1:60" ht="15.75" customHeight="1" x14ac:dyDescent="0.2">
      <c r="A257" s="11">
        <v>256</v>
      </c>
      <c r="B257" s="12">
        <v>2872</v>
      </c>
      <c r="C257" s="13" t="s">
        <v>391</v>
      </c>
      <c r="D257" s="31" t="s">
        <v>397</v>
      </c>
      <c r="E257" s="23">
        <v>2015</v>
      </c>
      <c r="F257" s="23">
        <v>2015</v>
      </c>
      <c r="G257" s="13" t="s">
        <v>393</v>
      </c>
      <c r="H257" s="13"/>
      <c r="I257" s="13" t="s">
        <v>40</v>
      </c>
      <c r="J257" s="13" t="s">
        <v>40</v>
      </c>
      <c r="K257" s="14"/>
      <c r="L257" s="15">
        <v>100</v>
      </c>
      <c r="M257" s="16" t="s">
        <v>41</v>
      </c>
      <c r="N257" s="13" t="s">
        <v>50</v>
      </c>
      <c r="O257" s="13"/>
      <c r="P257" s="12">
        <f>IF(Q257="", 0, 1)</f>
        <v>0</v>
      </c>
      <c r="Q257" s="15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2">
        <f>IF(AC257="", 0, 1)</f>
        <v>0</v>
      </c>
      <c r="AC257" s="13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>
        <f>IF(AO257="", 0, 1)</f>
        <v>1</v>
      </c>
      <c r="AO257" s="12">
        <v>39</v>
      </c>
      <c r="AP257" s="12"/>
      <c r="AQ257" s="12"/>
      <c r="AR257" s="12">
        <v>89</v>
      </c>
      <c r="AS257" s="12"/>
      <c r="AT257" s="12"/>
      <c r="AU257" s="12"/>
      <c r="AV257" s="12"/>
      <c r="AW257" s="12"/>
      <c r="AX257" s="12" t="str">
        <f>IF(AR257="", "mean", "med")</f>
        <v>med</v>
      </c>
      <c r="AY257" s="12">
        <f>IF(AR257="", AP257, AR257)</f>
        <v>89</v>
      </c>
      <c r="AZ257" s="49" t="s">
        <v>46</v>
      </c>
      <c r="BA257" s="49" t="str">
        <f>IF(AZ257="high","high","lower")</f>
        <v>lower</v>
      </c>
      <c r="BB257" s="49">
        <v>0.53600000000000003</v>
      </c>
      <c r="BC257" s="49"/>
      <c r="BD257" s="49"/>
      <c r="BE257" s="49"/>
      <c r="BF257" s="49"/>
      <c r="BG257" s="18" t="s">
        <v>1030</v>
      </c>
      <c r="BH257" s="18" t="s">
        <v>1031</v>
      </c>
    </row>
    <row r="258" spans="1:60" ht="15.75" customHeight="1" x14ac:dyDescent="0.2">
      <c r="A258" s="11">
        <v>257</v>
      </c>
      <c r="B258" s="12">
        <v>2872</v>
      </c>
      <c r="C258" s="13" t="s">
        <v>391</v>
      </c>
      <c r="D258" s="31" t="s">
        <v>398</v>
      </c>
      <c r="E258" s="23">
        <v>2015</v>
      </c>
      <c r="F258" s="23">
        <v>2015</v>
      </c>
      <c r="G258" s="13" t="s">
        <v>393</v>
      </c>
      <c r="H258" s="13"/>
      <c r="I258" s="13" t="s">
        <v>40</v>
      </c>
      <c r="J258" s="13" t="s">
        <v>40</v>
      </c>
      <c r="K258" s="13"/>
      <c r="L258" s="15">
        <v>100</v>
      </c>
      <c r="M258" s="16" t="s">
        <v>41</v>
      </c>
      <c r="N258" s="13" t="s">
        <v>50</v>
      </c>
      <c r="O258" s="14"/>
      <c r="P258" s="12">
        <f>IF(Q258="", 0, 1)</f>
        <v>0</v>
      </c>
      <c r="Q258" s="15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2">
        <f>IF(AC258="", 0, 1)</f>
        <v>0</v>
      </c>
      <c r="AC258" s="13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>
        <f>IF(AO258="", 0, 1)</f>
        <v>1</v>
      </c>
      <c r="AO258" s="12">
        <v>95</v>
      </c>
      <c r="AP258" s="12"/>
      <c r="AQ258" s="12"/>
      <c r="AR258" s="12">
        <v>58</v>
      </c>
      <c r="AS258" s="12"/>
      <c r="AT258" s="12"/>
      <c r="AU258" s="12"/>
      <c r="AV258" s="12"/>
      <c r="AW258" s="12"/>
      <c r="AX258" s="12" t="str">
        <f>IF(AR258="", "mean", "med")</f>
        <v>med</v>
      </c>
      <c r="AY258" s="12">
        <f>IF(AR258="", AP258, AR258)</f>
        <v>58</v>
      </c>
      <c r="AZ258" s="49" t="s">
        <v>46</v>
      </c>
      <c r="BA258" s="49" t="str">
        <f>IF(AZ258="high","high","lower")</f>
        <v>lower</v>
      </c>
      <c r="BB258" s="49">
        <v>0.53600000000000003</v>
      </c>
      <c r="BC258" s="49"/>
      <c r="BD258" s="49"/>
      <c r="BE258" s="49"/>
      <c r="BF258" s="49"/>
      <c r="BG258" s="18" t="s">
        <v>1030</v>
      </c>
      <c r="BH258" s="18" t="s">
        <v>1031</v>
      </c>
    </row>
    <row r="259" spans="1:60" ht="15.75" customHeight="1" x14ac:dyDescent="0.2">
      <c r="A259" s="11">
        <v>258</v>
      </c>
      <c r="B259" s="22">
        <v>2875</v>
      </c>
      <c r="C259" s="14" t="s">
        <v>399</v>
      </c>
      <c r="D259" s="13" t="s">
        <v>38</v>
      </c>
      <c r="E259" s="23">
        <v>2013</v>
      </c>
      <c r="F259" s="23">
        <v>2014</v>
      </c>
      <c r="G259" s="14" t="s">
        <v>393</v>
      </c>
      <c r="H259" s="14"/>
      <c r="I259" s="13" t="s">
        <v>40</v>
      </c>
      <c r="J259" s="13" t="s">
        <v>40</v>
      </c>
      <c r="K259" s="14"/>
      <c r="L259" s="19">
        <v>100</v>
      </c>
      <c r="M259" s="16">
        <v>45.28</v>
      </c>
      <c r="N259" s="13" t="s">
        <v>42</v>
      </c>
      <c r="O259" s="14"/>
      <c r="P259" s="12">
        <f>IF(Q259="", 0, 1)</f>
        <v>0</v>
      </c>
      <c r="Q259" s="19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2">
        <f>IF(AC259="", 0, 1)</f>
        <v>0</v>
      </c>
      <c r="AC259" s="13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>
        <f>IF(AO259="", 0, 1)</f>
        <v>1</v>
      </c>
      <c r="AO259" s="22">
        <v>80</v>
      </c>
      <c r="AP259" s="12">
        <f>13.29*30</f>
        <v>398.7</v>
      </c>
      <c r="AQ259" s="12">
        <f>15.9*30</f>
        <v>477</v>
      </c>
      <c r="AR259" s="12"/>
      <c r="AS259" s="12"/>
      <c r="AT259" s="12"/>
      <c r="AU259" s="12"/>
      <c r="AV259" s="12">
        <v>30</v>
      </c>
      <c r="AW259" s="12">
        <f>96*30</f>
        <v>2880</v>
      </c>
      <c r="AX259" s="12" t="str">
        <f>IF(AR259="", "mean", "med")</f>
        <v>mean</v>
      </c>
      <c r="AY259" s="12">
        <f>IF(AR259="", AP259, AR259)</f>
        <v>398.7</v>
      </c>
      <c r="AZ259" s="49" t="s">
        <v>46</v>
      </c>
      <c r="BA259" s="49" t="str">
        <f>IF(AZ259="high","high","lower")</f>
        <v>lower</v>
      </c>
      <c r="BB259" s="49">
        <v>0.52700000000000002</v>
      </c>
      <c r="BC259" s="49"/>
      <c r="BD259" s="49"/>
      <c r="BE259" s="49"/>
      <c r="BF259" s="49"/>
      <c r="BG259" s="18" t="s">
        <v>1032</v>
      </c>
      <c r="BH259" s="18" t="s">
        <v>1033</v>
      </c>
    </row>
    <row r="260" spans="1:60" ht="15.75" customHeight="1" x14ac:dyDescent="0.2">
      <c r="A260" s="11">
        <v>259</v>
      </c>
      <c r="B260" s="12">
        <v>2877</v>
      </c>
      <c r="C260" s="13" t="s">
        <v>400</v>
      </c>
      <c r="D260" s="13" t="s">
        <v>38</v>
      </c>
      <c r="E260" s="23">
        <v>2004</v>
      </c>
      <c r="F260" s="23">
        <v>2014</v>
      </c>
      <c r="G260" s="13" t="s">
        <v>49</v>
      </c>
      <c r="H260" s="13"/>
      <c r="I260" s="13" t="s">
        <v>40</v>
      </c>
      <c r="J260" s="13" t="s">
        <v>40</v>
      </c>
      <c r="K260" s="13"/>
      <c r="L260" s="15">
        <v>100</v>
      </c>
      <c r="M260" s="16" t="s">
        <v>41</v>
      </c>
      <c r="N260" s="13" t="s">
        <v>42</v>
      </c>
      <c r="O260" s="13" t="s">
        <v>401</v>
      </c>
      <c r="P260" s="12">
        <f>IF(Q260="", 0, 1)</f>
        <v>1</v>
      </c>
      <c r="Q260" s="15">
        <v>1130</v>
      </c>
      <c r="R260" s="17"/>
      <c r="S260" s="17"/>
      <c r="T260" s="17">
        <v>36</v>
      </c>
      <c r="U260" s="17"/>
      <c r="V260" s="17"/>
      <c r="W260" s="17">
        <v>31</v>
      </c>
      <c r="X260" s="17"/>
      <c r="Y260" s="17"/>
      <c r="Z260" s="17" t="str">
        <f>IF(T260="", "mean", "med")</f>
        <v>med</v>
      </c>
      <c r="AA260" s="17">
        <f>IF(T260="", R260, T260)</f>
        <v>36</v>
      </c>
      <c r="AB260" s="12">
        <f>IF(AC260="", 0, 1)</f>
        <v>0</v>
      </c>
      <c r="AC260" s="13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>
        <f>IF(AO260="", 0, 1)</f>
        <v>0</v>
      </c>
      <c r="AO260" s="12"/>
      <c r="AP260" s="12"/>
      <c r="AQ260" s="12"/>
      <c r="AR260" s="12"/>
      <c r="AS260" s="12"/>
      <c r="AT260" s="12"/>
      <c r="AU260" s="12"/>
      <c r="AV260" s="12"/>
      <c r="AW260" s="22"/>
      <c r="AX260" s="12"/>
      <c r="AY260" s="12"/>
      <c r="AZ260" s="12" t="s">
        <v>52</v>
      </c>
      <c r="BA260" s="12" t="str">
        <f>IF(AZ260="high","high","lower")</f>
        <v>high</v>
      </c>
      <c r="BB260" s="49">
        <v>0.91100000000000003</v>
      </c>
      <c r="BC260" s="12">
        <v>84</v>
      </c>
      <c r="BD260" s="12">
        <v>88</v>
      </c>
      <c r="BE260" s="12">
        <v>100</v>
      </c>
      <c r="BF260" s="12">
        <v>84.2</v>
      </c>
      <c r="BG260" s="18" t="s">
        <v>1032</v>
      </c>
      <c r="BH260" s="18" t="s">
        <v>1033</v>
      </c>
    </row>
    <row r="261" spans="1:60" ht="15.75" customHeight="1" x14ac:dyDescent="0.2">
      <c r="A261" s="11">
        <v>260</v>
      </c>
      <c r="B261" s="12">
        <v>2882</v>
      </c>
      <c r="C261" s="13" t="s">
        <v>402</v>
      </c>
      <c r="D261" s="14" t="s">
        <v>403</v>
      </c>
      <c r="E261" s="23">
        <v>2004</v>
      </c>
      <c r="F261" s="23">
        <v>2005</v>
      </c>
      <c r="G261" s="13" t="s">
        <v>49</v>
      </c>
      <c r="H261" s="13"/>
      <c r="I261" s="13" t="s">
        <v>40</v>
      </c>
      <c r="J261" s="13" t="s">
        <v>40</v>
      </c>
      <c r="K261" s="13"/>
      <c r="L261" s="15">
        <v>100</v>
      </c>
      <c r="M261" s="16" t="s">
        <v>41</v>
      </c>
      <c r="N261" s="13" t="s">
        <v>42</v>
      </c>
      <c r="O261" s="14" t="s">
        <v>41</v>
      </c>
      <c r="P261" s="12">
        <f>IF(Q261="", 0, 1)</f>
        <v>1</v>
      </c>
      <c r="Q261" s="15">
        <f>0.175*1368024</f>
        <v>239404.19999999998</v>
      </c>
      <c r="R261" s="17"/>
      <c r="S261" s="17"/>
      <c r="T261" s="17">
        <v>18</v>
      </c>
      <c r="U261" s="17"/>
      <c r="V261" s="17"/>
      <c r="W261" s="17"/>
      <c r="X261" s="17"/>
      <c r="Y261" s="17"/>
      <c r="Z261" s="17" t="str">
        <f>IF(T261="", "mean", "med")</f>
        <v>med</v>
      </c>
      <c r="AA261" s="17">
        <f>IF(T261="", R261, T261)</f>
        <v>18</v>
      </c>
      <c r="AB261" s="12">
        <f>IF(AC261="", 0, 1)</f>
        <v>0</v>
      </c>
      <c r="AC261" s="13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>
        <f>IF(AO261="", 0, 1)</f>
        <v>0</v>
      </c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 t="s">
        <v>52</v>
      </c>
      <c r="BA261" s="12" t="str">
        <f>IF(AZ261="high","high","lower")</f>
        <v>high</v>
      </c>
      <c r="BB261" s="49">
        <v>0.9</v>
      </c>
      <c r="BC261" s="12">
        <v>84</v>
      </c>
      <c r="BD261" s="12">
        <v>88</v>
      </c>
      <c r="BE261" s="12">
        <v>100</v>
      </c>
      <c r="BF261" s="12">
        <v>84.2</v>
      </c>
      <c r="BG261" s="18" t="s">
        <v>1030</v>
      </c>
      <c r="BH261" s="18" t="s">
        <v>1031</v>
      </c>
    </row>
    <row r="262" spans="1:60" ht="15.75" customHeight="1" x14ac:dyDescent="0.2">
      <c r="A262" s="11">
        <v>261</v>
      </c>
      <c r="B262" s="12">
        <v>2882</v>
      </c>
      <c r="C262" s="13" t="s">
        <v>402</v>
      </c>
      <c r="D262" s="14" t="s">
        <v>404</v>
      </c>
      <c r="E262" s="23">
        <v>2006</v>
      </c>
      <c r="F262" s="23">
        <v>2007</v>
      </c>
      <c r="G262" s="13" t="s">
        <v>49</v>
      </c>
      <c r="H262" s="13"/>
      <c r="I262" s="13" t="s">
        <v>40</v>
      </c>
      <c r="J262" s="13" t="s">
        <v>40</v>
      </c>
      <c r="K262" s="14"/>
      <c r="L262" s="19">
        <v>100</v>
      </c>
      <c r="M262" s="16" t="s">
        <v>41</v>
      </c>
      <c r="N262" s="13" t="s">
        <v>42</v>
      </c>
      <c r="O262" s="14" t="s">
        <v>41</v>
      </c>
      <c r="P262" s="12">
        <f>IF(Q262="", 0, 1)</f>
        <v>1</v>
      </c>
      <c r="Q262" s="15">
        <f>0.189*1368024</f>
        <v>258556.53599999999</v>
      </c>
      <c r="R262" s="17"/>
      <c r="S262" s="17"/>
      <c r="T262" s="17">
        <v>21</v>
      </c>
      <c r="U262" s="17"/>
      <c r="V262" s="17"/>
      <c r="W262" s="17"/>
      <c r="X262" s="17"/>
      <c r="Y262" s="17"/>
      <c r="Z262" s="17" t="str">
        <f>IF(T262="", "mean", "med")</f>
        <v>med</v>
      </c>
      <c r="AA262" s="17">
        <f>IF(T262="", R262, T262)</f>
        <v>21</v>
      </c>
      <c r="AB262" s="12">
        <f>IF(AC262="", 0, 1)</f>
        <v>0</v>
      </c>
      <c r="AC262" s="13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>
        <f>IF(AO262="", 0, 1)</f>
        <v>0</v>
      </c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 t="s">
        <v>52</v>
      </c>
      <c r="BA262" s="12" t="str">
        <f>IF(AZ262="high","high","lower")</f>
        <v>high</v>
      </c>
      <c r="BB262" s="49">
        <v>0.90500000000000003</v>
      </c>
      <c r="BC262" s="12">
        <v>84</v>
      </c>
      <c r="BD262" s="12">
        <v>88</v>
      </c>
      <c r="BE262" s="12">
        <v>100</v>
      </c>
      <c r="BF262" s="12">
        <v>84.2</v>
      </c>
      <c r="BG262" s="18" t="s">
        <v>1030</v>
      </c>
      <c r="BH262" s="18" t="s">
        <v>1031</v>
      </c>
    </row>
    <row r="263" spans="1:60" ht="15.75" customHeight="1" x14ac:dyDescent="0.2">
      <c r="A263" s="11">
        <v>262</v>
      </c>
      <c r="B263" s="12">
        <v>2882</v>
      </c>
      <c r="C263" s="13" t="s">
        <v>402</v>
      </c>
      <c r="D263" s="14" t="s">
        <v>405</v>
      </c>
      <c r="E263" s="23">
        <v>2008</v>
      </c>
      <c r="F263" s="23">
        <v>2009</v>
      </c>
      <c r="G263" s="13" t="s">
        <v>49</v>
      </c>
      <c r="H263" s="13"/>
      <c r="I263" s="13" t="s">
        <v>40</v>
      </c>
      <c r="J263" s="13" t="s">
        <v>40</v>
      </c>
      <c r="K263" s="14"/>
      <c r="L263" s="19">
        <v>100</v>
      </c>
      <c r="M263" s="20" t="s">
        <v>41</v>
      </c>
      <c r="N263" s="13" t="s">
        <v>42</v>
      </c>
      <c r="O263" s="14" t="s">
        <v>41</v>
      </c>
      <c r="P263" s="12">
        <f>IF(Q263="", 0, 1)</f>
        <v>1</v>
      </c>
      <c r="Q263" s="15">
        <f>0.202*1368024</f>
        <v>276340.848</v>
      </c>
      <c r="R263" s="17"/>
      <c r="S263" s="17"/>
      <c r="T263" s="17">
        <v>25</v>
      </c>
      <c r="U263" s="17"/>
      <c r="V263" s="17"/>
      <c r="W263" s="17"/>
      <c r="X263" s="17"/>
      <c r="Y263" s="17"/>
      <c r="Z263" s="17" t="str">
        <f>IF(T263="", "mean", "med")</f>
        <v>med</v>
      </c>
      <c r="AA263" s="17">
        <f>IF(T263="", R263, T263)</f>
        <v>25</v>
      </c>
      <c r="AB263" s="12">
        <f>IF(AC263="", 0, 1)</f>
        <v>0</v>
      </c>
      <c r="AC263" s="13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>
        <f>IF(AO263="", 0, 1)</f>
        <v>0</v>
      </c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 t="s">
        <v>52</v>
      </c>
      <c r="BA263" s="12" t="str">
        <f>IF(AZ263="high","high","lower")</f>
        <v>high</v>
      </c>
      <c r="BB263" s="49">
        <v>0.91200000000000003</v>
      </c>
      <c r="BC263" s="12">
        <v>84</v>
      </c>
      <c r="BD263" s="12">
        <v>88</v>
      </c>
      <c r="BE263" s="12">
        <v>100</v>
      </c>
      <c r="BF263" s="12">
        <v>84.2</v>
      </c>
      <c r="BG263" s="18" t="s">
        <v>1030</v>
      </c>
      <c r="BH263" s="18" t="s">
        <v>1031</v>
      </c>
    </row>
    <row r="264" spans="1:60" ht="15.75" customHeight="1" x14ac:dyDescent="0.2">
      <c r="A264" s="11">
        <v>263</v>
      </c>
      <c r="B264" s="12">
        <v>2882</v>
      </c>
      <c r="C264" s="13" t="s">
        <v>402</v>
      </c>
      <c r="D264" s="13" t="s">
        <v>406</v>
      </c>
      <c r="E264" s="23">
        <v>2010</v>
      </c>
      <c r="F264" s="23">
        <v>2011</v>
      </c>
      <c r="G264" s="13" t="s">
        <v>49</v>
      </c>
      <c r="H264" s="13"/>
      <c r="I264" s="13" t="s">
        <v>40</v>
      </c>
      <c r="J264" s="13" t="s">
        <v>40</v>
      </c>
      <c r="K264" s="14"/>
      <c r="L264" s="15">
        <v>100</v>
      </c>
      <c r="M264" s="16" t="s">
        <v>41</v>
      </c>
      <c r="N264" s="13" t="s">
        <v>42</v>
      </c>
      <c r="O264" s="13" t="s">
        <v>41</v>
      </c>
      <c r="P264" s="12">
        <f>IF(Q264="", 0, 1)</f>
        <v>1</v>
      </c>
      <c r="Q264" s="15">
        <f>0.21*1368024</f>
        <v>287285.03999999998</v>
      </c>
      <c r="R264" s="17"/>
      <c r="S264" s="17"/>
      <c r="T264" s="17">
        <v>27</v>
      </c>
      <c r="U264" s="17"/>
      <c r="V264" s="17"/>
      <c r="W264" s="17"/>
      <c r="X264" s="17"/>
      <c r="Y264" s="17"/>
      <c r="Z264" s="17" t="str">
        <f>IF(T264="", "mean", "med")</f>
        <v>med</v>
      </c>
      <c r="AA264" s="17">
        <f>IF(T264="", R264, T264)</f>
        <v>27</v>
      </c>
      <c r="AB264" s="12">
        <f>IF(AC264="", 0, 1)</f>
        <v>0</v>
      </c>
      <c r="AC264" s="13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>
        <f>IF(AO264="", 0, 1)</f>
        <v>0</v>
      </c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 t="s">
        <v>52</v>
      </c>
      <c r="BA264" s="12" t="str">
        <f>IF(AZ264="high","high","lower")</f>
        <v>high</v>
      </c>
      <c r="BB264" s="49">
        <v>0.91800000000000004</v>
      </c>
      <c r="BC264" s="12">
        <v>84</v>
      </c>
      <c r="BD264" s="12">
        <v>88</v>
      </c>
      <c r="BE264" s="12">
        <v>100</v>
      </c>
      <c r="BF264" s="12">
        <v>84.2</v>
      </c>
      <c r="BG264" s="18" t="s">
        <v>1030</v>
      </c>
      <c r="BH264" s="18" t="s">
        <v>1031</v>
      </c>
    </row>
    <row r="265" spans="1:60" ht="15.75" customHeight="1" x14ac:dyDescent="0.2">
      <c r="A265" s="11">
        <v>264</v>
      </c>
      <c r="B265" s="22">
        <v>2882</v>
      </c>
      <c r="C265" s="13" t="s">
        <v>402</v>
      </c>
      <c r="D265" s="13" t="s">
        <v>407</v>
      </c>
      <c r="E265" s="23">
        <v>2012</v>
      </c>
      <c r="F265" s="23">
        <v>2013</v>
      </c>
      <c r="G265" s="13" t="s">
        <v>49</v>
      </c>
      <c r="H265" s="13"/>
      <c r="I265" s="14" t="s">
        <v>40</v>
      </c>
      <c r="J265" s="13" t="s">
        <v>40</v>
      </c>
      <c r="K265" s="14"/>
      <c r="L265" s="15">
        <v>100</v>
      </c>
      <c r="M265" s="16" t="s">
        <v>41</v>
      </c>
      <c r="N265" s="13" t="s">
        <v>42</v>
      </c>
      <c r="O265" s="14" t="s">
        <v>41</v>
      </c>
      <c r="P265" s="12">
        <f>IF(Q265="", 0, 1)</f>
        <v>1</v>
      </c>
      <c r="Q265" s="15">
        <f>0.225*1368024</f>
        <v>307805.40000000002</v>
      </c>
      <c r="R265" s="21"/>
      <c r="S265" s="17"/>
      <c r="T265" s="17">
        <v>28</v>
      </c>
      <c r="U265" s="17"/>
      <c r="V265" s="17"/>
      <c r="W265" s="17"/>
      <c r="X265" s="17"/>
      <c r="Y265" s="17"/>
      <c r="Z265" s="17" t="str">
        <f>IF(T265="", "mean", "med")</f>
        <v>med</v>
      </c>
      <c r="AA265" s="17">
        <f>IF(T265="", R265, T265)</f>
        <v>28</v>
      </c>
      <c r="AB265" s="12">
        <f>IF(AC265="", 0, 1)</f>
        <v>0</v>
      </c>
      <c r="AC265" s="13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>
        <f>IF(AO265="", 0, 1)</f>
        <v>0</v>
      </c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 t="s">
        <v>52</v>
      </c>
      <c r="BA265" s="12" t="str">
        <f>IF(AZ265="high","high","lower")</f>
        <v>high</v>
      </c>
      <c r="BB265" s="49">
        <v>0.91900000000000004</v>
      </c>
      <c r="BC265" s="12">
        <v>84</v>
      </c>
      <c r="BD265" s="12">
        <v>88</v>
      </c>
      <c r="BE265" s="12">
        <v>100</v>
      </c>
      <c r="BF265" s="12">
        <v>84.2</v>
      </c>
      <c r="BG265" s="18" t="s">
        <v>1030</v>
      </c>
      <c r="BH265" s="18" t="s">
        <v>1031</v>
      </c>
    </row>
    <row r="266" spans="1:60" ht="15.75" customHeight="1" x14ac:dyDescent="0.2">
      <c r="A266" s="11">
        <v>265</v>
      </c>
      <c r="B266" s="22">
        <v>2882</v>
      </c>
      <c r="C266" s="13" t="s">
        <v>402</v>
      </c>
      <c r="D266" s="13" t="s">
        <v>408</v>
      </c>
      <c r="E266" s="23">
        <v>2010</v>
      </c>
      <c r="F266" s="23">
        <v>2011</v>
      </c>
      <c r="G266" s="13" t="s">
        <v>49</v>
      </c>
      <c r="H266" s="13"/>
      <c r="I266" s="13" t="s">
        <v>54</v>
      </c>
      <c r="J266" s="13" t="s">
        <v>55</v>
      </c>
      <c r="K266" s="14"/>
      <c r="L266" s="15">
        <v>49.1</v>
      </c>
      <c r="M266" s="16" t="s">
        <v>41</v>
      </c>
      <c r="N266" s="13" t="s">
        <v>42</v>
      </c>
      <c r="O266" s="13" t="s">
        <v>41</v>
      </c>
      <c r="P266" s="12">
        <f>IF(Q266="", 0, 1)</f>
        <v>1</v>
      </c>
      <c r="Q266" s="15">
        <f>0.195*662094</f>
        <v>129108.33</v>
      </c>
      <c r="R266" s="17"/>
      <c r="S266" s="17"/>
      <c r="T266" s="17">
        <v>12</v>
      </c>
      <c r="U266" s="17"/>
      <c r="V266" s="17"/>
      <c r="W266" s="17"/>
      <c r="X266" s="17"/>
      <c r="Y266" s="17"/>
      <c r="Z266" s="17" t="str">
        <f>IF(T266="", "mean", "med")</f>
        <v>med</v>
      </c>
      <c r="AA266" s="17">
        <f>IF(T266="", R266, T266)</f>
        <v>12</v>
      </c>
      <c r="AB266" s="12">
        <f>IF(AC266="", 0, 1)</f>
        <v>0</v>
      </c>
      <c r="AC266" s="13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>
        <f>IF(AO266="", 0, 1)</f>
        <v>0</v>
      </c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 t="s">
        <v>52</v>
      </c>
      <c r="BA266" s="12" t="str">
        <f>IF(AZ266="high","high","lower")</f>
        <v>high</v>
      </c>
      <c r="BB266" s="49">
        <v>0.91800000000000004</v>
      </c>
      <c r="BC266" s="12">
        <v>84</v>
      </c>
      <c r="BD266" s="12">
        <v>88</v>
      </c>
      <c r="BE266" s="12">
        <v>100</v>
      </c>
      <c r="BF266" s="12">
        <v>84.2</v>
      </c>
      <c r="BG266" s="18" t="s">
        <v>1030</v>
      </c>
      <c r="BH266" s="18" t="s">
        <v>1031</v>
      </c>
    </row>
    <row r="267" spans="1:60" ht="15.75" customHeight="1" x14ac:dyDescent="0.2">
      <c r="A267" s="11">
        <v>266</v>
      </c>
      <c r="B267" s="12">
        <v>2882</v>
      </c>
      <c r="C267" s="13" t="s">
        <v>402</v>
      </c>
      <c r="D267" s="13" t="s">
        <v>409</v>
      </c>
      <c r="E267" s="23">
        <v>2012</v>
      </c>
      <c r="F267" s="23">
        <v>2013</v>
      </c>
      <c r="G267" s="13" t="s">
        <v>49</v>
      </c>
      <c r="H267" s="13"/>
      <c r="I267" s="13" t="s">
        <v>54</v>
      </c>
      <c r="J267" s="13" t="s">
        <v>55</v>
      </c>
      <c r="K267" s="14"/>
      <c r="L267" s="19">
        <v>49.1</v>
      </c>
      <c r="M267" s="20" t="s">
        <v>41</v>
      </c>
      <c r="N267" s="14" t="s">
        <v>42</v>
      </c>
      <c r="O267" s="13" t="s">
        <v>41</v>
      </c>
      <c r="P267" s="12">
        <f>IF(Q267="", 0, 1)</f>
        <v>1</v>
      </c>
      <c r="Q267" s="19">
        <f>0.196*662094</f>
        <v>129770.424</v>
      </c>
      <c r="R267" s="21"/>
      <c r="S267" s="21"/>
      <c r="T267" s="17">
        <v>13</v>
      </c>
      <c r="U267" s="17"/>
      <c r="V267" s="17"/>
      <c r="W267" s="17"/>
      <c r="X267" s="17"/>
      <c r="Y267" s="17"/>
      <c r="Z267" s="17" t="str">
        <f>IF(T267="", "mean", "med")</f>
        <v>med</v>
      </c>
      <c r="AA267" s="17">
        <f>IF(T267="", R267, T267)</f>
        <v>13</v>
      </c>
      <c r="AB267" s="12">
        <f>IF(AC267="", 0, 1)</f>
        <v>0</v>
      </c>
      <c r="AC267" s="13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>
        <f>IF(AO267="", 0, 1)</f>
        <v>0</v>
      </c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 t="s">
        <v>52</v>
      </c>
      <c r="BA267" s="12" t="str">
        <f>IF(AZ267="high","high","lower")</f>
        <v>high</v>
      </c>
      <c r="BB267" s="49">
        <v>0.91900000000000004</v>
      </c>
      <c r="BC267" s="12">
        <v>84</v>
      </c>
      <c r="BD267" s="12">
        <v>88</v>
      </c>
      <c r="BE267" s="12">
        <v>100</v>
      </c>
      <c r="BF267" s="12">
        <v>84.2</v>
      </c>
      <c r="BG267" s="18" t="s">
        <v>1030</v>
      </c>
      <c r="BH267" s="18" t="s">
        <v>1031</v>
      </c>
    </row>
    <row r="268" spans="1:60" ht="15.75" customHeight="1" x14ac:dyDescent="0.2">
      <c r="A268" s="11">
        <v>267</v>
      </c>
      <c r="B268" s="12">
        <v>2882</v>
      </c>
      <c r="C268" s="13" t="s">
        <v>402</v>
      </c>
      <c r="D268" s="13" t="s">
        <v>410</v>
      </c>
      <c r="E268" s="23">
        <v>2008</v>
      </c>
      <c r="F268" s="23">
        <v>2009</v>
      </c>
      <c r="G268" s="13" t="s">
        <v>49</v>
      </c>
      <c r="H268" s="13"/>
      <c r="I268" s="13" t="s">
        <v>54</v>
      </c>
      <c r="J268" s="13" t="s">
        <v>55</v>
      </c>
      <c r="K268" s="14"/>
      <c r="L268" s="15">
        <v>49.1</v>
      </c>
      <c r="M268" s="16" t="s">
        <v>41</v>
      </c>
      <c r="N268" s="13" t="s">
        <v>42</v>
      </c>
      <c r="O268" s="14" t="s">
        <v>41</v>
      </c>
      <c r="P268" s="12">
        <f>IF(Q268="", 0, 1)</f>
        <v>1</v>
      </c>
      <c r="Q268" s="15">
        <f>0.201*662094</f>
        <v>133080.894</v>
      </c>
      <c r="R268" s="21"/>
      <c r="S268" s="21"/>
      <c r="T268" s="17">
        <v>10</v>
      </c>
      <c r="U268" s="17"/>
      <c r="V268" s="17"/>
      <c r="W268" s="17"/>
      <c r="X268" s="17"/>
      <c r="Y268" s="17"/>
      <c r="Z268" s="17" t="str">
        <f>IF(T268="", "mean", "med")</f>
        <v>med</v>
      </c>
      <c r="AA268" s="17">
        <f>IF(T268="", R268, T268)</f>
        <v>10</v>
      </c>
      <c r="AB268" s="12">
        <f>IF(AC268="", 0, 1)</f>
        <v>0</v>
      </c>
      <c r="AC268" s="13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>
        <f>IF(AO268="", 0, 1)</f>
        <v>0</v>
      </c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 t="s">
        <v>52</v>
      </c>
      <c r="BA268" s="12" t="str">
        <f>IF(AZ268="high","high","lower")</f>
        <v>high</v>
      </c>
      <c r="BB268" s="49">
        <v>0.91200000000000003</v>
      </c>
      <c r="BC268" s="12">
        <v>84</v>
      </c>
      <c r="BD268" s="12">
        <v>88</v>
      </c>
      <c r="BE268" s="12">
        <v>100</v>
      </c>
      <c r="BF268" s="12">
        <v>84.2</v>
      </c>
      <c r="BG268" s="18" t="s">
        <v>1030</v>
      </c>
      <c r="BH268" s="18" t="s">
        <v>1031</v>
      </c>
    </row>
    <row r="269" spans="1:60" ht="15.75" customHeight="1" x14ac:dyDescent="0.2">
      <c r="A269" s="11">
        <v>268</v>
      </c>
      <c r="B269" s="12">
        <v>2882</v>
      </c>
      <c r="C269" s="13" t="s">
        <v>402</v>
      </c>
      <c r="D269" s="14" t="s">
        <v>411</v>
      </c>
      <c r="E269" s="23">
        <v>2004</v>
      </c>
      <c r="F269" s="23">
        <v>2005</v>
      </c>
      <c r="G269" s="13" t="s">
        <v>49</v>
      </c>
      <c r="H269" s="13"/>
      <c r="I269" s="13" t="s">
        <v>54</v>
      </c>
      <c r="J269" s="13" t="s">
        <v>55</v>
      </c>
      <c r="K269" s="14"/>
      <c r="L269" s="19">
        <v>49.1</v>
      </c>
      <c r="M269" s="16" t="s">
        <v>41</v>
      </c>
      <c r="N269" s="13" t="s">
        <v>42</v>
      </c>
      <c r="O269" s="13" t="s">
        <v>41</v>
      </c>
      <c r="P269" s="12">
        <f>IF(Q269="", 0, 1)</f>
        <v>1</v>
      </c>
      <c r="Q269" s="19">
        <f>0.203*662094</f>
        <v>134405.08199999999</v>
      </c>
      <c r="R269" s="17"/>
      <c r="S269" s="17"/>
      <c r="T269" s="17">
        <v>7</v>
      </c>
      <c r="U269" s="17"/>
      <c r="V269" s="17"/>
      <c r="W269" s="17"/>
      <c r="X269" s="17"/>
      <c r="Y269" s="17"/>
      <c r="Z269" s="17" t="str">
        <f>IF(T269="", "mean", "med")</f>
        <v>med</v>
      </c>
      <c r="AA269" s="17">
        <f>IF(T269="", R269, T269)</f>
        <v>7</v>
      </c>
      <c r="AB269" s="12">
        <f>IF(AC269="", 0, 1)</f>
        <v>0</v>
      </c>
      <c r="AC269" s="13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>
        <f>IF(AO269="", 0, 1)</f>
        <v>0</v>
      </c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 t="s">
        <v>52</v>
      </c>
      <c r="BA269" s="12" t="str">
        <f>IF(AZ269="high","high","lower")</f>
        <v>high</v>
      </c>
      <c r="BB269" s="49">
        <v>0.9</v>
      </c>
      <c r="BC269" s="12">
        <v>84</v>
      </c>
      <c r="BD269" s="12">
        <v>88</v>
      </c>
      <c r="BE269" s="12">
        <v>100</v>
      </c>
      <c r="BF269" s="12">
        <v>84.2</v>
      </c>
      <c r="BG269" s="18" t="s">
        <v>1030</v>
      </c>
      <c r="BH269" s="18" t="s">
        <v>1031</v>
      </c>
    </row>
    <row r="270" spans="1:60" ht="15.75" customHeight="1" x14ac:dyDescent="0.2">
      <c r="A270" s="11">
        <v>269</v>
      </c>
      <c r="B270" s="12">
        <v>2882</v>
      </c>
      <c r="C270" s="13" t="s">
        <v>402</v>
      </c>
      <c r="D270" s="14" t="s">
        <v>412</v>
      </c>
      <c r="E270" s="23">
        <v>2006</v>
      </c>
      <c r="F270" s="23">
        <v>2007</v>
      </c>
      <c r="G270" s="13" t="s">
        <v>49</v>
      </c>
      <c r="H270" s="13"/>
      <c r="I270" s="13" t="s">
        <v>54</v>
      </c>
      <c r="J270" s="14" t="s">
        <v>55</v>
      </c>
      <c r="K270" s="14"/>
      <c r="L270" s="19">
        <v>49.1</v>
      </c>
      <c r="M270" s="16" t="s">
        <v>41</v>
      </c>
      <c r="N270" s="13" t="s">
        <v>42</v>
      </c>
      <c r="O270" s="13" t="s">
        <v>41</v>
      </c>
      <c r="P270" s="12">
        <f>IF(Q270="", 0, 1)</f>
        <v>1</v>
      </c>
      <c r="Q270" s="19">
        <f>0.204*662094</f>
        <v>135067.17599999998</v>
      </c>
      <c r="R270" s="17"/>
      <c r="S270" s="17"/>
      <c r="T270" s="17">
        <v>9</v>
      </c>
      <c r="U270" s="17"/>
      <c r="V270" s="17"/>
      <c r="W270" s="17"/>
      <c r="X270" s="17"/>
      <c r="Y270" s="17"/>
      <c r="Z270" s="17" t="str">
        <f>IF(T270="", "mean", "med")</f>
        <v>med</v>
      </c>
      <c r="AA270" s="17">
        <f>IF(T270="", R270, T270)</f>
        <v>9</v>
      </c>
      <c r="AB270" s="12">
        <f>IF(AC270="", 0, 1)</f>
        <v>0</v>
      </c>
      <c r="AC270" s="13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>
        <f>IF(AO270="", 0, 1)</f>
        <v>0</v>
      </c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 t="s">
        <v>52</v>
      </c>
      <c r="BA270" s="12" t="str">
        <f>IF(AZ270="high","high","lower")</f>
        <v>high</v>
      </c>
      <c r="BB270" s="49">
        <v>0.90500000000000003</v>
      </c>
      <c r="BC270" s="12">
        <v>84</v>
      </c>
      <c r="BD270" s="12">
        <v>88</v>
      </c>
      <c r="BE270" s="12">
        <v>100</v>
      </c>
      <c r="BF270" s="12">
        <v>84.2</v>
      </c>
      <c r="BG270" s="18" t="s">
        <v>1030</v>
      </c>
      <c r="BH270" s="18" t="s">
        <v>1031</v>
      </c>
    </row>
    <row r="271" spans="1:60" ht="15.75" customHeight="1" x14ac:dyDescent="0.2">
      <c r="A271" s="11">
        <v>270</v>
      </c>
      <c r="B271" s="22">
        <v>2882</v>
      </c>
      <c r="C271" s="13" t="s">
        <v>402</v>
      </c>
      <c r="D271" s="14" t="s">
        <v>413</v>
      </c>
      <c r="E271" s="23">
        <v>2012</v>
      </c>
      <c r="F271" s="23">
        <v>2013</v>
      </c>
      <c r="G271" s="13" t="s">
        <v>49</v>
      </c>
      <c r="H271" s="13"/>
      <c r="I271" s="13" t="s">
        <v>57</v>
      </c>
      <c r="J271" s="13" t="s">
        <v>58</v>
      </c>
      <c r="K271" s="14"/>
      <c r="L271" s="19">
        <v>51.1</v>
      </c>
      <c r="M271" s="20" t="s">
        <v>41</v>
      </c>
      <c r="N271" s="13" t="s">
        <v>42</v>
      </c>
      <c r="O271" s="14" t="s">
        <v>41</v>
      </c>
      <c r="P271" s="12">
        <f>IF(Q271="", 0, 1)</f>
        <v>1</v>
      </c>
      <c r="Q271" s="15">
        <f>0.158*363863</f>
        <v>57490.353999999999</v>
      </c>
      <c r="R271" s="17"/>
      <c r="S271" s="17"/>
      <c r="T271" s="17">
        <v>34</v>
      </c>
      <c r="U271" s="17"/>
      <c r="V271" s="17"/>
      <c r="W271" s="17"/>
      <c r="X271" s="17"/>
      <c r="Y271" s="17"/>
      <c r="Z271" s="17" t="str">
        <f>IF(T271="", "mean", "med")</f>
        <v>med</v>
      </c>
      <c r="AA271" s="17">
        <f>IF(T271="", R271, T271)</f>
        <v>34</v>
      </c>
      <c r="AB271" s="12">
        <f>IF(AC271="", 0, 1)</f>
        <v>0</v>
      </c>
      <c r="AC271" s="13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>
        <f>IF(AO271="", 0, 1)</f>
        <v>0</v>
      </c>
      <c r="AO271" s="22"/>
      <c r="AP271" s="12"/>
      <c r="AQ271" s="12"/>
      <c r="AR271" s="22"/>
      <c r="AS271" s="12"/>
      <c r="AT271" s="12"/>
      <c r="AU271" s="12"/>
      <c r="AV271" s="12"/>
      <c r="AW271" s="12"/>
      <c r="AX271" s="12"/>
      <c r="AY271" s="12"/>
      <c r="AZ271" s="12" t="s">
        <v>52</v>
      </c>
      <c r="BA271" s="12" t="str">
        <f>IF(AZ271="high","high","lower")</f>
        <v>high</v>
      </c>
      <c r="BB271" s="49">
        <v>0.91900000000000004</v>
      </c>
      <c r="BC271" s="12">
        <v>84</v>
      </c>
      <c r="BD271" s="12">
        <v>88</v>
      </c>
      <c r="BE271" s="12">
        <v>100</v>
      </c>
      <c r="BF271" s="12">
        <v>84.2</v>
      </c>
      <c r="BG271" s="18" t="s">
        <v>1030</v>
      </c>
      <c r="BH271" s="18" t="s">
        <v>1031</v>
      </c>
    </row>
    <row r="272" spans="1:60" ht="15.75" customHeight="1" x14ac:dyDescent="0.2">
      <c r="A272" s="11">
        <v>271</v>
      </c>
      <c r="B272" s="22">
        <v>2882</v>
      </c>
      <c r="C272" s="13" t="s">
        <v>402</v>
      </c>
      <c r="D272" s="13" t="s">
        <v>414</v>
      </c>
      <c r="E272" s="23">
        <v>2004</v>
      </c>
      <c r="F272" s="23">
        <v>2005</v>
      </c>
      <c r="G272" s="13" t="s">
        <v>49</v>
      </c>
      <c r="H272" s="13"/>
      <c r="I272" s="13" t="s">
        <v>57</v>
      </c>
      <c r="J272" s="13" t="s">
        <v>58</v>
      </c>
      <c r="K272" s="13"/>
      <c r="L272" s="19">
        <v>51.1</v>
      </c>
      <c r="M272" s="16" t="s">
        <v>41</v>
      </c>
      <c r="N272" s="13" t="s">
        <v>42</v>
      </c>
      <c r="O272" s="13" t="s">
        <v>41</v>
      </c>
      <c r="P272" s="12">
        <f>IF(Q272="", 0, 1)</f>
        <v>1</v>
      </c>
      <c r="Q272" s="19">
        <f>0.178*363863</f>
        <v>64767.613999999994</v>
      </c>
      <c r="R272" s="17"/>
      <c r="S272" s="17"/>
      <c r="T272" s="17">
        <v>26</v>
      </c>
      <c r="U272" s="17"/>
      <c r="V272" s="17"/>
      <c r="W272" s="17"/>
      <c r="X272" s="17"/>
      <c r="Y272" s="17"/>
      <c r="Z272" s="17" t="str">
        <f>IF(T272="", "mean", "med")</f>
        <v>med</v>
      </c>
      <c r="AA272" s="17">
        <f>IF(T272="", R272, T272)</f>
        <v>26</v>
      </c>
      <c r="AB272" s="12">
        <f>IF(AC272="", 0, 1)</f>
        <v>0</v>
      </c>
      <c r="AC272" s="13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>
        <f>IF(AO272="", 0, 1)</f>
        <v>0</v>
      </c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 t="s">
        <v>52</v>
      </c>
      <c r="BA272" s="12" t="str">
        <f>IF(AZ272="high","high","lower")</f>
        <v>high</v>
      </c>
      <c r="BB272" s="49">
        <v>0.9</v>
      </c>
      <c r="BC272" s="12">
        <v>84</v>
      </c>
      <c r="BD272" s="12">
        <v>88</v>
      </c>
      <c r="BE272" s="12">
        <v>100</v>
      </c>
      <c r="BF272" s="12">
        <v>84.2</v>
      </c>
      <c r="BG272" s="18" t="s">
        <v>1030</v>
      </c>
      <c r="BH272" s="18" t="s">
        <v>1031</v>
      </c>
    </row>
    <row r="273" spans="1:60" ht="15.75" customHeight="1" x14ac:dyDescent="0.2">
      <c r="A273" s="11">
        <v>272</v>
      </c>
      <c r="B273" s="22">
        <v>2882</v>
      </c>
      <c r="C273" s="13" t="s">
        <v>402</v>
      </c>
      <c r="D273" s="13" t="s">
        <v>415</v>
      </c>
      <c r="E273" s="23">
        <v>2006</v>
      </c>
      <c r="F273" s="23">
        <v>2007</v>
      </c>
      <c r="G273" s="13" t="s">
        <v>49</v>
      </c>
      <c r="H273" s="13"/>
      <c r="I273" s="13" t="s">
        <v>57</v>
      </c>
      <c r="J273" s="13" t="s">
        <v>58</v>
      </c>
      <c r="K273" s="13"/>
      <c r="L273" s="19">
        <v>51.1</v>
      </c>
      <c r="M273" s="16" t="s">
        <v>41</v>
      </c>
      <c r="N273" s="13" t="s">
        <v>42</v>
      </c>
      <c r="O273" s="13" t="s">
        <v>41</v>
      </c>
      <c r="P273" s="12">
        <f>IF(Q273="", 0, 1)</f>
        <v>1</v>
      </c>
      <c r="Q273" s="19">
        <f>0.195*363863</f>
        <v>70953.285000000003</v>
      </c>
      <c r="R273" s="17"/>
      <c r="S273" s="17"/>
      <c r="T273" s="17">
        <v>28</v>
      </c>
      <c r="U273" s="17"/>
      <c r="V273" s="17"/>
      <c r="W273" s="17"/>
      <c r="X273" s="17"/>
      <c r="Y273" s="17"/>
      <c r="Z273" s="17" t="str">
        <f>IF(T273="", "mean", "med")</f>
        <v>med</v>
      </c>
      <c r="AA273" s="17">
        <f>IF(T273="", R273, T273)</f>
        <v>28</v>
      </c>
      <c r="AB273" s="12">
        <f>IF(AC273="", 0, 1)</f>
        <v>0</v>
      </c>
      <c r="AC273" s="13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>
        <f>IF(AO273="", 0, 1)</f>
        <v>0</v>
      </c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 t="s">
        <v>52</v>
      </c>
      <c r="BA273" s="12" t="str">
        <f>IF(AZ273="high","high","lower")</f>
        <v>high</v>
      </c>
      <c r="BB273" s="49">
        <v>0.90500000000000003</v>
      </c>
      <c r="BC273" s="12">
        <v>84</v>
      </c>
      <c r="BD273" s="12">
        <v>88</v>
      </c>
      <c r="BE273" s="12">
        <v>100</v>
      </c>
      <c r="BF273" s="12">
        <v>84.2</v>
      </c>
      <c r="BG273" s="18" t="s">
        <v>1030</v>
      </c>
      <c r="BH273" s="18" t="s">
        <v>1031</v>
      </c>
    </row>
    <row r="274" spans="1:60" ht="15.75" customHeight="1" x14ac:dyDescent="0.2">
      <c r="A274" s="11">
        <v>273</v>
      </c>
      <c r="B274" s="22">
        <v>2882</v>
      </c>
      <c r="C274" s="13" t="s">
        <v>402</v>
      </c>
      <c r="D274" s="13" t="s">
        <v>416</v>
      </c>
      <c r="E274" s="23">
        <v>2008</v>
      </c>
      <c r="F274" s="23">
        <v>2009</v>
      </c>
      <c r="G274" s="13" t="s">
        <v>49</v>
      </c>
      <c r="H274" s="13"/>
      <c r="I274" s="13" t="s">
        <v>57</v>
      </c>
      <c r="J274" s="13" t="s">
        <v>58</v>
      </c>
      <c r="K274" s="13"/>
      <c r="L274" s="19">
        <v>51.1</v>
      </c>
      <c r="M274" s="16" t="s">
        <v>41</v>
      </c>
      <c r="N274" s="13" t="s">
        <v>42</v>
      </c>
      <c r="O274" s="14" t="s">
        <v>41</v>
      </c>
      <c r="P274" s="12">
        <f>IF(Q274="", 0, 1)</f>
        <v>1</v>
      </c>
      <c r="Q274" s="19">
        <f>0.201*363863</f>
        <v>73136.463000000003</v>
      </c>
      <c r="R274" s="21"/>
      <c r="S274" s="21"/>
      <c r="T274" s="17">
        <v>30</v>
      </c>
      <c r="U274" s="17"/>
      <c r="V274" s="17"/>
      <c r="W274" s="17"/>
      <c r="X274" s="17"/>
      <c r="Y274" s="17"/>
      <c r="Z274" s="17" t="str">
        <f>IF(T274="", "mean", "med")</f>
        <v>med</v>
      </c>
      <c r="AA274" s="17">
        <f>IF(T274="", R274, T274)</f>
        <v>30</v>
      </c>
      <c r="AB274" s="12">
        <f>IF(AC274="", 0, 1)</f>
        <v>0</v>
      </c>
      <c r="AC274" s="13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>
        <f>IF(AO274="", 0, 1)</f>
        <v>0</v>
      </c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 t="s">
        <v>52</v>
      </c>
      <c r="BA274" s="12" t="str">
        <f>IF(AZ274="high","high","lower")</f>
        <v>high</v>
      </c>
      <c r="BB274" s="49">
        <v>0.91200000000000003</v>
      </c>
      <c r="BC274" s="12">
        <v>84</v>
      </c>
      <c r="BD274" s="12">
        <v>88</v>
      </c>
      <c r="BE274" s="12">
        <v>100</v>
      </c>
      <c r="BF274" s="12">
        <v>84.2</v>
      </c>
      <c r="BG274" s="18" t="s">
        <v>1030</v>
      </c>
      <c r="BH274" s="18" t="s">
        <v>1031</v>
      </c>
    </row>
    <row r="275" spans="1:60" ht="15.75" customHeight="1" x14ac:dyDescent="0.2">
      <c r="A275" s="11">
        <v>274</v>
      </c>
      <c r="B275" s="22">
        <v>2882</v>
      </c>
      <c r="C275" s="13" t="s">
        <v>402</v>
      </c>
      <c r="D275" s="13" t="s">
        <v>417</v>
      </c>
      <c r="E275" s="23">
        <v>2010</v>
      </c>
      <c r="F275" s="23">
        <v>2011</v>
      </c>
      <c r="G275" s="13" t="s">
        <v>49</v>
      </c>
      <c r="H275" s="13"/>
      <c r="I275" s="13" t="s">
        <v>57</v>
      </c>
      <c r="J275" s="13" t="s">
        <v>58</v>
      </c>
      <c r="K275" s="13"/>
      <c r="L275" s="15">
        <v>51.1</v>
      </c>
      <c r="M275" s="16" t="s">
        <v>41</v>
      </c>
      <c r="N275" s="13" t="s">
        <v>42</v>
      </c>
      <c r="O275" s="14" t="s">
        <v>41</v>
      </c>
      <c r="P275" s="12">
        <f>IF(Q275="", 0, 1)</f>
        <v>1</v>
      </c>
      <c r="Q275" s="15">
        <f>0.208*363863</f>
        <v>75683.504000000001</v>
      </c>
      <c r="R275" s="17"/>
      <c r="S275" s="17"/>
      <c r="T275" s="17">
        <v>32</v>
      </c>
      <c r="U275" s="17"/>
      <c r="V275" s="17"/>
      <c r="W275" s="17"/>
      <c r="X275" s="17"/>
      <c r="Y275" s="17"/>
      <c r="Z275" s="17" t="str">
        <f>IF(T275="", "mean", "med")</f>
        <v>med</v>
      </c>
      <c r="AA275" s="17">
        <f>IF(T275="", R275, T275)</f>
        <v>32</v>
      </c>
      <c r="AB275" s="12">
        <f>IF(AC275="", 0, 1)</f>
        <v>0</v>
      </c>
      <c r="AC275" s="13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>
        <f>IF(AO275="", 0, 1)</f>
        <v>0</v>
      </c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 t="s">
        <v>52</v>
      </c>
      <c r="BA275" s="12" t="str">
        <f>IF(AZ275="high","high","lower")</f>
        <v>high</v>
      </c>
      <c r="BB275" s="49">
        <v>0.91800000000000004</v>
      </c>
      <c r="BC275" s="12">
        <v>84</v>
      </c>
      <c r="BD275" s="12">
        <v>88</v>
      </c>
      <c r="BE275" s="12">
        <v>100</v>
      </c>
      <c r="BF275" s="12">
        <v>84.2</v>
      </c>
      <c r="BG275" s="18" t="s">
        <v>1030</v>
      </c>
      <c r="BH275" s="18" t="s">
        <v>1031</v>
      </c>
    </row>
    <row r="276" spans="1:60" ht="15.75" customHeight="1" x14ac:dyDescent="0.2">
      <c r="A276" s="11">
        <v>275</v>
      </c>
      <c r="B276" s="12">
        <v>2882</v>
      </c>
      <c r="C276" s="13" t="s">
        <v>402</v>
      </c>
      <c r="D276" s="13" t="s">
        <v>418</v>
      </c>
      <c r="E276" s="23">
        <v>2004</v>
      </c>
      <c r="F276" s="23">
        <v>2005</v>
      </c>
      <c r="G276" s="13" t="s">
        <v>49</v>
      </c>
      <c r="H276" s="13"/>
      <c r="I276" s="13" t="s">
        <v>54</v>
      </c>
      <c r="J276" s="13" t="s">
        <v>229</v>
      </c>
      <c r="K276" s="14" t="s">
        <v>288</v>
      </c>
      <c r="L276" s="19">
        <v>49.4</v>
      </c>
      <c r="M276" s="16" t="s">
        <v>41</v>
      </c>
      <c r="N276" s="13" t="s">
        <v>42</v>
      </c>
      <c r="O276" s="13" t="s">
        <v>41</v>
      </c>
      <c r="P276" s="12">
        <f>IF(Q276="", 0, 1)</f>
        <v>1</v>
      </c>
      <c r="Q276" s="19">
        <f>0.144*71419</f>
        <v>10284.335999999999</v>
      </c>
      <c r="R276" s="17"/>
      <c r="S276" s="17"/>
      <c r="T276" s="17">
        <v>15</v>
      </c>
      <c r="U276" s="17"/>
      <c r="V276" s="17"/>
      <c r="W276" s="17"/>
      <c r="X276" s="17"/>
      <c r="Y276" s="17"/>
      <c r="Z276" s="17" t="str">
        <f>IF(T276="", "mean", "med")</f>
        <v>med</v>
      </c>
      <c r="AA276" s="17">
        <f>IF(T276="", R276, T276)</f>
        <v>15</v>
      </c>
      <c r="AB276" s="12">
        <f>IF(AC276="", 0, 1)</f>
        <v>0</v>
      </c>
      <c r="AC276" s="13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>
        <f>IF(AO276="", 0, 1)</f>
        <v>0</v>
      </c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 t="s">
        <v>52</v>
      </c>
      <c r="BA276" s="12" t="str">
        <f>IF(AZ276="high","high","lower")</f>
        <v>high</v>
      </c>
      <c r="BB276" s="49">
        <v>0.9</v>
      </c>
      <c r="BC276" s="12">
        <v>84</v>
      </c>
      <c r="BD276" s="12">
        <v>88</v>
      </c>
      <c r="BE276" s="12">
        <v>100</v>
      </c>
      <c r="BF276" s="12">
        <v>84.2</v>
      </c>
      <c r="BG276" s="18" t="s">
        <v>1030</v>
      </c>
      <c r="BH276" s="18" t="s">
        <v>1031</v>
      </c>
    </row>
    <row r="277" spans="1:60" ht="15.75" customHeight="1" x14ac:dyDescent="0.2">
      <c r="A277" s="11">
        <v>276</v>
      </c>
      <c r="B277" s="22">
        <v>2882</v>
      </c>
      <c r="C277" s="13" t="s">
        <v>402</v>
      </c>
      <c r="D277" s="13" t="s">
        <v>419</v>
      </c>
      <c r="E277" s="23">
        <v>2006</v>
      </c>
      <c r="F277" s="23">
        <v>2007</v>
      </c>
      <c r="G277" s="13" t="s">
        <v>49</v>
      </c>
      <c r="H277" s="13"/>
      <c r="I277" s="13" t="s">
        <v>54</v>
      </c>
      <c r="J277" s="13" t="s">
        <v>229</v>
      </c>
      <c r="K277" s="14" t="s">
        <v>288</v>
      </c>
      <c r="L277" s="19">
        <v>49.4</v>
      </c>
      <c r="M277" s="16" t="s">
        <v>41</v>
      </c>
      <c r="N277" s="13" t="s">
        <v>42</v>
      </c>
      <c r="O277" s="14" t="s">
        <v>41</v>
      </c>
      <c r="P277" s="12">
        <f>IF(Q277="", 0, 1)</f>
        <v>1</v>
      </c>
      <c r="Q277" s="19">
        <f>0.172*71419</f>
        <v>12284.067999999999</v>
      </c>
      <c r="R277" s="17"/>
      <c r="S277" s="17"/>
      <c r="T277" s="17">
        <v>17</v>
      </c>
      <c r="U277" s="17"/>
      <c r="V277" s="17"/>
      <c r="W277" s="17"/>
      <c r="X277" s="17"/>
      <c r="Y277" s="17"/>
      <c r="Z277" s="17" t="str">
        <f>IF(T277="", "mean", "med")</f>
        <v>med</v>
      </c>
      <c r="AA277" s="17">
        <f>IF(T277="", R277, T277)</f>
        <v>17</v>
      </c>
      <c r="AB277" s="12">
        <f>IF(AC277="", 0, 1)</f>
        <v>0</v>
      </c>
      <c r="AC277" s="13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>
        <f>IF(AO277="", 0, 1)</f>
        <v>0</v>
      </c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 t="s">
        <v>52</v>
      </c>
      <c r="BA277" s="12" t="str">
        <f>IF(AZ277="high","high","lower")</f>
        <v>high</v>
      </c>
      <c r="BB277" s="49">
        <v>0.90500000000000003</v>
      </c>
      <c r="BC277" s="12">
        <v>84</v>
      </c>
      <c r="BD277" s="12">
        <v>88</v>
      </c>
      <c r="BE277" s="12">
        <v>100</v>
      </c>
      <c r="BF277" s="12">
        <v>84.2</v>
      </c>
      <c r="BG277" s="18" t="s">
        <v>1030</v>
      </c>
      <c r="BH277" s="18" t="s">
        <v>1031</v>
      </c>
    </row>
    <row r="278" spans="1:60" ht="15.75" customHeight="1" x14ac:dyDescent="0.2">
      <c r="A278" s="11">
        <v>277</v>
      </c>
      <c r="B278" s="22">
        <v>2882</v>
      </c>
      <c r="C278" s="13" t="s">
        <v>402</v>
      </c>
      <c r="D278" s="13" t="s">
        <v>420</v>
      </c>
      <c r="E278" s="23">
        <v>2008</v>
      </c>
      <c r="F278" s="23">
        <v>2009</v>
      </c>
      <c r="G278" s="13" t="s">
        <v>49</v>
      </c>
      <c r="H278" s="13"/>
      <c r="I278" s="13" t="s">
        <v>54</v>
      </c>
      <c r="J278" s="13" t="s">
        <v>229</v>
      </c>
      <c r="K278" s="14" t="s">
        <v>288</v>
      </c>
      <c r="L278" s="19">
        <v>49.4</v>
      </c>
      <c r="M278" s="16" t="s">
        <v>41</v>
      </c>
      <c r="N278" s="13" t="s">
        <v>42</v>
      </c>
      <c r="O278" s="14" t="s">
        <v>41</v>
      </c>
      <c r="P278" s="12">
        <f>IF(Q278="", 0, 1)</f>
        <v>1</v>
      </c>
      <c r="Q278" s="19">
        <f>0.196*71419</f>
        <v>13998.124</v>
      </c>
      <c r="R278" s="17"/>
      <c r="S278" s="17"/>
      <c r="T278" s="17">
        <v>19</v>
      </c>
      <c r="U278" s="17"/>
      <c r="V278" s="17"/>
      <c r="W278" s="17"/>
      <c r="X278" s="17"/>
      <c r="Y278" s="17"/>
      <c r="Z278" s="17" t="str">
        <f>IF(T278="", "mean", "med")</f>
        <v>med</v>
      </c>
      <c r="AA278" s="17">
        <f>IF(T278="", R278, T278)</f>
        <v>19</v>
      </c>
      <c r="AB278" s="12">
        <f>IF(AC278="", 0, 1)</f>
        <v>0</v>
      </c>
      <c r="AC278" s="13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>
        <f>IF(AO278="", 0, 1)</f>
        <v>0</v>
      </c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 t="s">
        <v>52</v>
      </c>
      <c r="BA278" s="12" t="str">
        <f>IF(AZ278="high","high","lower")</f>
        <v>high</v>
      </c>
      <c r="BB278" s="49">
        <v>0.91200000000000003</v>
      </c>
      <c r="BC278" s="12">
        <v>84</v>
      </c>
      <c r="BD278" s="12">
        <v>88</v>
      </c>
      <c r="BE278" s="12">
        <v>100</v>
      </c>
      <c r="BF278" s="12">
        <v>84.2</v>
      </c>
      <c r="BG278" s="18" t="s">
        <v>1030</v>
      </c>
      <c r="BH278" s="18" t="s">
        <v>1031</v>
      </c>
    </row>
    <row r="279" spans="1:60" ht="15.75" customHeight="1" x14ac:dyDescent="0.2">
      <c r="A279" s="11">
        <v>278</v>
      </c>
      <c r="B279" s="22">
        <v>2882</v>
      </c>
      <c r="C279" s="13" t="s">
        <v>402</v>
      </c>
      <c r="D279" s="14" t="s">
        <v>421</v>
      </c>
      <c r="E279" s="23">
        <v>2012</v>
      </c>
      <c r="F279" s="23">
        <v>2013</v>
      </c>
      <c r="G279" s="13" t="s">
        <v>49</v>
      </c>
      <c r="H279" s="13"/>
      <c r="I279" s="13" t="s">
        <v>54</v>
      </c>
      <c r="J279" s="13" t="s">
        <v>229</v>
      </c>
      <c r="K279" s="14" t="s">
        <v>288</v>
      </c>
      <c r="L279" s="19">
        <v>49.4</v>
      </c>
      <c r="M279" s="20" t="s">
        <v>41</v>
      </c>
      <c r="N279" s="13" t="s">
        <v>42</v>
      </c>
      <c r="O279" s="13" t="s">
        <v>41</v>
      </c>
      <c r="P279" s="12">
        <f>IF(Q279="", 0, 1)</f>
        <v>1</v>
      </c>
      <c r="Q279" s="19">
        <f>0.221*71419</f>
        <v>15783.599</v>
      </c>
      <c r="R279" s="17"/>
      <c r="S279" s="17"/>
      <c r="T279" s="17">
        <v>22</v>
      </c>
      <c r="U279" s="17"/>
      <c r="V279" s="17"/>
      <c r="W279" s="17"/>
      <c r="X279" s="17"/>
      <c r="Y279" s="17"/>
      <c r="Z279" s="17" t="str">
        <f>IF(T279="", "mean", "med")</f>
        <v>med</v>
      </c>
      <c r="AA279" s="17">
        <f>IF(T279="", R279, T279)</f>
        <v>22</v>
      </c>
      <c r="AB279" s="12">
        <f>IF(AC279="", 0, 1)</f>
        <v>0</v>
      </c>
      <c r="AC279" s="13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>
        <f>IF(AO279="", 0, 1)</f>
        <v>0</v>
      </c>
      <c r="AO279" s="22"/>
      <c r="AP279" s="12"/>
      <c r="AQ279" s="12"/>
      <c r="AR279" s="22"/>
      <c r="AS279" s="12"/>
      <c r="AT279" s="12"/>
      <c r="AU279" s="12"/>
      <c r="AV279" s="12"/>
      <c r="AW279" s="12"/>
      <c r="AX279" s="12"/>
      <c r="AY279" s="12"/>
      <c r="AZ279" s="12" t="s">
        <v>52</v>
      </c>
      <c r="BA279" s="12" t="str">
        <f>IF(AZ279="high","high","lower")</f>
        <v>high</v>
      </c>
      <c r="BB279" s="49">
        <v>0.91900000000000004</v>
      </c>
      <c r="BC279" s="12">
        <v>84</v>
      </c>
      <c r="BD279" s="12">
        <v>88</v>
      </c>
      <c r="BE279" s="12">
        <v>100</v>
      </c>
      <c r="BF279" s="12">
        <v>84.2</v>
      </c>
      <c r="BG279" s="18" t="s">
        <v>1030</v>
      </c>
      <c r="BH279" s="18" t="s">
        <v>1031</v>
      </c>
    </row>
    <row r="280" spans="1:60" ht="15.75" customHeight="1" x14ac:dyDescent="0.2">
      <c r="A280" s="11">
        <v>279</v>
      </c>
      <c r="B280" s="22">
        <v>2882</v>
      </c>
      <c r="C280" s="13" t="s">
        <v>402</v>
      </c>
      <c r="D280" s="14" t="s">
        <v>422</v>
      </c>
      <c r="E280" s="23">
        <v>2010</v>
      </c>
      <c r="F280" s="23">
        <v>2011</v>
      </c>
      <c r="G280" s="13" t="s">
        <v>49</v>
      </c>
      <c r="H280" s="13"/>
      <c r="I280" s="13" t="s">
        <v>54</v>
      </c>
      <c r="J280" s="13" t="s">
        <v>229</v>
      </c>
      <c r="K280" s="14" t="s">
        <v>288</v>
      </c>
      <c r="L280" s="19">
        <v>49.4</v>
      </c>
      <c r="M280" s="16" t="s">
        <v>41</v>
      </c>
      <c r="N280" s="13" t="s">
        <v>42</v>
      </c>
      <c r="O280" s="14" t="s">
        <v>41</v>
      </c>
      <c r="P280" s="12">
        <f>IF(Q280="", 0, 1)</f>
        <v>1</v>
      </c>
      <c r="Q280" s="19">
        <f>0.227*71419</f>
        <v>16212.113000000001</v>
      </c>
      <c r="R280" s="17"/>
      <c r="S280" s="17"/>
      <c r="T280" s="17">
        <v>20</v>
      </c>
      <c r="U280" s="17"/>
      <c r="V280" s="17"/>
      <c r="W280" s="17"/>
      <c r="X280" s="17"/>
      <c r="Y280" s="17"/>
      <c r="Z280" s="17" t="str">
        <f>IF(T280="", "mean", "med")</f>
        <v>med</v>
      </c>
      <c r="AA280" s="17">
        <f>IF(T280="", R280, T280)</f>
        <v>20</v>
      </c>
      <c r="AB280" s="12">
        <f>IF(AC280="", 0, 1)</f>
        <v>0</v>
      </c>
      <c r="AC280" s="13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>
        <f>IF(AO280="", 0, 1)</f>
        <v>0</v>
      </c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 t="s">
        <v>52</v>
      </c>
      <c r="BA280" s="12" t="str">
        <f>IF(AZ280="high","high","lower")</f>
        <v>high</v>
      </c>
      <c r="BB280" s="49">
        <v>0.91800000000000004</v>
      </c>
      <c r="BC280" s="12">
        <v>84</v>
      </c>
      <c r="BD280" s="12">
        <v>88</v>
      </c>
      <c r="BE280" s="12">
        <v>100</v>
      </c>
      <c r="BF280" s="12">
        <v>84.2</v>
      </c>
      <c r="BG280" s="18" t="s">
        <v>1030</v>
      </c>
      <c r="BH280" s="18" t="s">
        <v>1031</v>
      </c>
    </row>
    <row r="281" spans="1:60" ht="15.75" customHeight="1" x14ac:dyDescent="0.2">
      <c r="A281" s="11">
        <v>280</v>
      </c>
      <c r="B281" s="12">
        <v>2882</v>
      </c>
      <c r="C281" s="13" t="s">
        <v>402</v>
      </c>
      <c r="D281" s="14" t="s">
        <v>423</v>
      </c>
      <c r="E281" s="23">
        <v>2012</v>
      </c>
      <c r="F281" s="23">
        <v>2013</v>
      </c>
      <c r="G281" s="13" t="s">
        <v>49</v>
      </c>
      <c r="H281" s="13"/>
      <c r="I281" s="13" t="s">
        <v>59</v>
      </c>
      <c r="J281" s="13" t="s">
        <v>60</v>
      </c>
      <c r="K281" s="14"/>
      <c r="L281" s="19">
        <v>0</v>
      </c>
      <c r="M281" s="20" t="s">
        <v>41</v>
      </c>
      <c r="N281" s="13" t="s">
        <v>42</v>
      </c>
      <c r="O281" s="14" t="s">
        <v>41</v>
      </c>
      <c r="P281" s="12">
        <f>IF(Q281="", 0, 1)</f>
        <v>1</v>
      </c>
      <c r="Q281" s="19">
        <f>0.158*944246</f>
        <v>149190.86799999999</v>
      </c>
      <c r="R281" s="17"/>
      <c r="S281" s="17"/>
      <c r="T281" s="17">
        <v>60</v>
      </c>
      <c r="U281" s="17"/>
      <c r="V281" s="17"/>
      <c r="W281" s="17"/>
      <c r="X281" s="17"/>
      <c r="Y281" s="17"/>
      <c r="Z281" s="17" t="str">
        <f>IF(T281="", "mean", "med")</f>
        <v>med</v>
      </c>
      <c r="AA281" s="17">
        <f>IF(T281="", R281, T281)</f>
        <v>60</v>
      </c>
      <c r="AB281" s="12">
        <f>IF(AC281="", 0, 1)</f>
        <v>0</v>
      </c>
      <c r="AC281" s="13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>
        <f>IF(AO281="", 0, 1)</f>
        <v>0</v>
      </c>
      <c r="AO281" s="22"/>
      <c r="AP281" s="12"/>
      <c r="AQ281" s="12"/>
      <c r="AR281" s="22"/>
      <c r="AS281" s="12"/>
      <c r="AT281" s="12"/>
      <c r="AU281" s="12"/>
      <c r="AV281" s="12"/>
      <c r="AW281" s="12"/>
      <c r="AX281" s="12"/>
      <c r="AY281" s="12"/>
      <c r="AZ281" s="12" t="s">
        <v>52</v>
      </c>
      <c r="BA281" s="12" t="str">
        <f>IF(AZ281="high","high","lower")</f>
        <v>high</v>
      </c>
      <c r="BB281" s="49">
        <v>0.91900000000000004</v>
      </c>
      <c r="BC281" s="12">
        <v>84</v>
      </c>
      <c r="BD281" s="12">
        <v>88</v>
      </c>
      <c r="BE281" s="12">
        <v>100</v>
      </c>
      <c r="BF281" s="12">
        <v>84.2</v>
      </c>
      <c r="BG281" s="18" t="s">
        <v>1030</v>
      </c>
      <c r="BH281" s="18" t="s">
        <v>1031</v>
      </c>
    </row>
    <row r="282" spans="1:60" ht="15.75" customHeight="1" x14ac:dyDescent="0.2">
      <c r="A282" s="11">
        <v>281</v>
      </c>
      <c r="B282" s="12">
        <v>2882</v>
      </c>
      <c r="C282" s="13" t="s">
        <v>402</v>
      </c>
      <c r="D282" s="14" t="s">
        <v>424</v>
      </c>
      <c r="E282" s="23">
        <v>2004</v>
      </c>
      <c r="F282" s="23">
        <v>2005</v>
      </c>
      <c r="G282" s="13" t="s">
        <v>49</v>
      </c>
      <c r="H282" s="13"/>
      <c r="I282" s="13" t="s">
        <v>59</v>
      </c>
      <c r="J282" s="13" t="s">
        <v>60</v>
      </c>
      <c r="K282" s="13"/>
      <c r="L282" s="15">
        <v>0</v>
      </c>
      <c r="M282" s="20" t="s">
        <v>41</v>
      </c>
      <c r="N282" s="13" t="s">
        <v>42</v>
      </c>
      <c r="O282" s="13" t="s">
        <v>41</v>
      </c>
      <c r="P282" s="12">
        <f>IF(Q282="", 0, 1)</f>
        <v>1</v>
      </c>
      <c r="Q282" s="15">
        <f>0.199*944246</f>
        <v>187904.954</v>
      </c>
      <c r="R282" s="17"/>
      <c r="S282" s="17"/>
      <c r="T282" s="17">
        <v>50</v>
      </c>
      <c r="U282" s="17"/>
      <c r="V282" s="17"/>
      <c r="W282" s="17"/>
      <c r="X282" s="17"/>
      <c r="Y282" s="17"/>
      <c r="Z282" s="17" t="str">
        <f>IF(T282="", "mean", "med")</f>
        <v>med</v>
      </c>
      <c r="AA282" s="17">
        <f>IF(T282="", R282, T282)</f>
        <v>50</v>
      </c>
      <c r="AB282" s="12">
        <f>IF(AC282="", 0, 1)</f>
        <v>0</v>
      </c>
      <c r="AC282" s="13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>
        <f>IF(AO282="", 0, 1)</f>
        <v>0</v>
      </c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 t="s">
        <v>52</v>
      </c>
      <c r="BA282" s="12" t="str">
        <f>IF(AZ282="high","high","lower")</f>
        <v>high</v>
      </c>
      <c r="BB282" s="49">
        <v>0.9</v>
      </c>
      <c r="BC282" s="12">
        <v>84</v>
      </c>
      <c r="BD282" s="12">
        <v>88</v>
      </c>
      <c r="BE282" s="12">
        <v>100</v>
      </c>
      <c r="BF282" s="12">
        <v>84.2</v>
      </c>
      <c r="BG282" s="18" t="s">
        <v>1030</v>
      </c>
      <c r="BH282" s="18" t="s">
        <v>1031</v>
      </c>
    </row>
    <row r="283" spans="1:60" ht="15.75" customHeight="1" x14ac:dyDescent="0.2">
      <c r="A283" s="11">
        <v>282</v>
      </c>
      <c r="B283" s="22">
        <v>2882</v>
      </c>
      <c r="C283" s="13" t="s">
        <v>402</v>
      </c>
      <c r="D283" s="13" t="s">
        <v>425</v>
      </c>
      <c r="E283" s="23">
        <v>2010</v>
      </c>
      <c r="F283" s="23">
        <v>2011</v>
      </c>
      <c r="G283" s="13" t="s">
        <v>49</v>
      </c>
      <c r="H283" s="13"/>
      <c r="I283" s="13" t="s">
        <v>59</v>
      </c>
      <c r="J283" s="13" t="s">
        <v>60</v>
      </c>
      <c r="K283" s="13"/>
      <c r="L283" s="19">
        <v>0</v>
      </c>
      <c r="M283" s="16" t="s">
        <v>41</v>
      </c>
      <c r="N283" s="13" t="s">
        <v>42</v>
      </c>
      <c r="O283" s="14" t="s">
        <v>41</v>
      </c>
      <c r="P283" s="12">
        <f>IF(Q283="", 0, 1)</f>
        <v>1</v>
      </c>
      <c r="Q283" s="19">
        <f>0.2*944246</f>
        <v>188849.2</v>
      </c>
      <c r="R283" s="17"/>
      <c r="S283" s="17"/>
      <c r="T283" s="17">
        <v>61</v>
      </c>
      <c r="U283" s="17"/>
      <c r="V283" s="17"/>
      <c r="W283" s="17"/>
      <c r="X283" s="17"/>
      <c r="Y283" s="17"/>
      <c r="Z283" s="17" t="str">
        <f>IF(T283="", "mean", "med")</f>
        <v>med</v>
      </c>
      <c r="AA283" s="17">
        <f>IF(T283="", R283, T283)</f>
        <v>61</v>
      </c>
      <c r="AB283" s="12">
        <f>IF(AC283="", 0, 1)</f>
        <v>0</v>
      </c>
      <c r="AC283" s="13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>
        <f>IF(AO283="", 0, 1)</f>
        <v>0</v>
      </c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 t="s">
        <v>52</v>
      </c>
      <c r="BA283" s="12" t="str">
        <f>IF(AZ283="high","high","lower")</f>
        <v>high</v>
      </c>
      <c r="BB283" s="49">
        <v>0.91800000000000004</v>
      </c>
      <c r="BC283" s="12">
        <v>84</v>
      </c>
      <c r="BD283" s="12">
        <v>88</v>
      </c>
      <c r="BE283" s="12">
        <v>100</v>
      </c>
      <c r="BF283" s="12">
        <v>84.2</v>
      </c>
      <c r="BG283" s="18" t="s">
        <v>1030</v>
      </c>
      <c r="BH283" s="18" t="s">
        <v>1031</v>
      </c>
    </row>
    <row r="284" spans="1:60" ht="15.75" customHeight="1" x14ac:dyDescent="0.2">
      <c r="A284" s="11">
        <v>283</v>
      </c>
      <c r="B284" s="12">
        <v>2882</v>
      </c>
      <c r="C284" s="13" t="s">
        <v>402</v>
      </c>
      <c r="D284" s="14" t="s">
        <v>426</v>
      </c>
      <c r="E284" s="23">
        <v>2008</v>
      </c>
      <c r="F284" s="23">
        <v>2009</v>
      </c>
      <c r="G284" s="13" t="s">
        <v>49</v>
      </c>
      <c r="H284" s="13"/>
      <c r="I284" s="13" t="s">
        <v>59</v>
      </c>
      <c r="J284" s="13" t="s">
        <v>60</v>
      </c>
      <c r="K284" s="13"/>
      <c r="L284" s="19">
        <v>0</v>
      </c>
      <c r="M284" s="16" t="s">
        <v>41</v>
      </c>
      <c r="N284" s="13" t="s">
        <v>42</v>
      </c>
      <c r="O284" s="14" t="s">
        <v>41</v>
      </c>
      <c r="P284" s="12">
        <f>IF(Q284="", 0, 1)</f>
        <v>1</v>
      </c>
      <c r="Q284" s="19">
        <f>0.216*944246</f>
        <v>203957.136</v>
      </c>
      <c r="R284" s="17"/>
      <c r="S284" s="17"/>
      <c r="T284" s="17">
        <v>60</v>
      </c>
      <c r="U284" s="17"/>
      <c r="V284" s="17"/>
      <c r="W284" s="17"/>
      <c r="X284" s="17"/>
      <c r="Y284" s="17"/>
      <c r="Z284" s="17" t="str">
        <f>IF(T284="", "mean", "med")</f>
        <v>med</v>
      </c>
      <c r="AA284" s="17">
        <f>IF(T284="", R284, T284)</f>
        <v>60</v>
      </c>
      <c r="AB284" s="12">
        <f>IF(AC284="", 0, 1)</f>
        <v>0</v>
      </c>
      <c r="AC284" s="13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>
        <f>IF(AO284="", 0, 1)</f>
        <v>0</v>
      </c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 t="s">
        <v>52</v>
      </c>
      <c r="BA284" s="12" t="str">
        <f>IF(AZ284="high","high","lower")</f>
        <v>high</v>
      </c>
      <c r="BB284" s="49">
        <v>0.91200000000000003</v>
      </c>
      <c r="BC284" s="12">
        <v>84</v>
      </c>
      <c r="BD284" s="12">
        <v>88</v>
      </c>
      <c r="BE284" s="12">
        <v>100</v>
      </c>
      <c r="BF284" s="12">
        <v>84.2</v>
      </c>
      <c r="BG284" s="18" t="s">
        <v>1030</v>
      </c>
      <c r="BH284" s="18" t="s">
        <v>1031</v>
      </c>
    </row>
    <row r="285" spans="1:60" ht="15.75" customHeight="1" x14ac:dyDescent="0.2">
      <c r="A285" s="11">
        <v>284</v>
      </c>
      <c r="B285" s="12">
        <v>2882</v>
      </c>
      <c r="C285" s="13" t="s">
        <v>402</v>
      </c>
      <c r="D285" s="13" t="s">
        <v>427</v>
      </c>
      <c r="E285" s="23">
        <v>2006</v>
      </c>
      <c r="F285" s="23">
        <v>2007</v>
      </c>
      <c r="G285" s="13" t="s">
        <v>49</v>
      </c>
      <c r="H285" s="13"/>
      <c r="I285" s="13" t="s">
        <v>59</v>
      </c>
      <c r="J285" s="13" t="s">
        <v>60</v>
      </c>
      <c r="K285" s="13"/>
      <c r="L285" s="19">
        <v>0</v>
      </c>
      <c r="M285" s="20" t="s">
        <v>41</v>
      </c>
      <c r="N285" s="13" t="s">
        <v>42</v>
      </c>
      <c r="O285" s="13" t="s">
        <v>41</v>
      </c>
      <c r="P285" s="12">
        <f>IF(Q285="", 0, 1)</f>
        <v>1</v>
      </c>
      <c r="Q285" s="15">
        <f>0.228*944246</f>
        <v>215288.08800000002</v>
      </c>
      <c r="R285" s="17"/>
      <c r="S285" s="17"/>
      <c r="T285" s="17">
        <v>57</v>
      </c>
      <c r="U285" s="17"/>
      <c r="V285" s="17"/>
      <c r="W285" s="17"/>
      <c r="X285" s="17"/>
      <c r="Y285" s="17"/>
      <c r="Z285" s="17" t="str">
        <f>IF(T285="", "mean", "med")</f>
        <v>med</v>
      </c>
      <c r="AA285" s="17">
        <f>IF(T285="", R285, T285)</f>
        <v>57</v>
      </c>
      <c r="AB285" s="12">
        <f>IF(AC285="", 0, 1)</f>
        <v>0</v>
      </c>
      <c r="AC285" s="13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>
        <f>IF(AO285="", 0, 1)</f>
        <v>0</v>
      </c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 t="s">
        <v>52</v>
      </c>
      <c r="BA285" s="12" t="str">
        <f>IF(AZ285="high","high","lower")</f>
        <v>high</v>
      </c>
      <c r="BB285" s="49">
        <v>0.90500000000000003</v>
      </c>
      <c r="BC285" s="12">
        <v>84</v>
      </c>
      <c r="BD285" s="12">
        <v>88</v>
      </c>
      <c r="BE285" s="12">
        <v>100</v>
      </c>
      <c r="BF285" s="12">
        <v>84.2</v>
      </c>
      <c r="BG285" s="18" t="s">
        <v>1030</v>
      </c>
      <c r="BH285" s="18" t="s">
        <v>1031</v>
      </c>
    </row>
    <row r="286" spans="1:60" ht="15.75" customHeight="1" x14ac:dyDescent="0.2">
      <c r="A286" s="11">
        <v>285</v>
      </c>
      <c r="B286" s="12">
        <v>2882</v>
      </c>
      <c r="C286" s="13" t="s">
        <v>402</v>
      </c>
      <c r="D286" s="13" t="s">
        <v>428</v>
      </c>
      <c r="E286" s="23">
        <v>2004</v>
      </c>
      <c r="F286" s="23">
        <v>2005</v>
      </c>
      <c r="G286" s="13" t="s">
        <v>49</v>
      </c>
      <c r="H286" s="13"/>
      <c r="I286" s="13" t="s">
        <v>59</v>
      </c>
      <c r="J286" s="13" t="s">
        <v>320</v>
      </c>
      <c r="K286" s="14"/>
      <c r="L286" s="15">
        <v>38.5</v>
      </c>
      <c r="M286" s="16" t="s">
        <v>41</v>
      </c>
      <c r="N286" s="13" t="s">
        <v>42</v>
      </c>
      <c r="O286" s="13" t="s">
        <v>41</v>
      </c>
      <c r="P286" s="12">
        <f>IF(Q286="", 0, 1)</f>
        <v>1</v>
      </c>
      <c r="Q286" s="19">
        <f>0.163*262915</f>
        <v>42855.145000000004</v>
      </c>
      <c r="R286" s="17"/>
      <c r="S286" s="17"/>
      <c r="T286" s="17">
        <v>0</v>
      </c>
      <c r="U286" s="17"/>
      <c r="V286" s="17"/>
      <c r="W286" s="17"/>
      <c r="X286" s="17"/>
      <c r="Y286" s="17"/>
      <c r="Z286" s="17" t="str">
        <f>IF(T286="", "mean", "med")</f>
        <v>med</v>
      </c>
      <c r="AA286" s="17">
        <f>IF(T286="", R286, T286)</f>
        <v>0</v>
      </c>
      <c r="AB286" s="12">
        <f>IF(AC286="", 0, 1)</f>
        <v>0</v>
      </c>
      <c r="AC286" s="13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>
        <f>IF(AO286="", 0, 1)</f>
        <v>0</v>
      </c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 t="s">
        <v>52</v>
      </c>
      <c r="BA286" s="12" t="str">
        <f>IF(AZ286="high","high","lower")</f>
        <v>high</v>
      </c>
      <c r="BB286" s="49">
        <v>0.9</v>
      </c>
      <c r="BC286" s="12">
        <v>84</v>
      </c>
      <c r="BD286" s="12">
        <v>88</v>
      </c>
      <c r="BE286" s="12">
        <v>100</v>
      </c>
      <c r="BF286" s="12">
        <v>84.2</v>
      </c>
      <c r="BG286" s="18" t="s">
        <v>1030</v>
      </c>
      <c r="BH286" s="18" t="s">
        <v>1031</v>
      </c>
    </row>
    <row r="287" spans="1:60" ht="15.75" customHeight="1" x14ac:dyDescent="0.2">
      <c r="A287" s="11">
        <v>286</v>
      </c>
      <c r="B287" s="12">
        <v>2882</v>
      </c>
      <c r="C287" s="13" t="s">
        <v>402</v>
      </c>
      <c r="D287" s="13" t="s">
        <v>429</v>
      </c>
      <c r="E287" s="23">
        <v>2006</v>
      </c>
      <c r="F287" s="23">
        <v>2007</v>
      </c>
      <c r="G287" s="13" t="s">
        <v>49</v>
      </c>
      <c r="H287" s="13"/>
      <c r="I287" s="13" t="s">
        <v>59</v>
      </c>
      <c r="J287" s="13" t="s">
        <v>320</v>
      </c>
      <c r="K287" s="13"/>
      <c r="L287" s="15">
        <v>38.5</v>
      </c>
      <c r="M287" s="16" t="s">
        <v>41</v>
      </c>
      <c r="N287" s="13" t="s">
        <v>42</v>
      </c>
      <c r="O287" s="14" t="s">
        <v>41</v>
      </c>
      <c r="P287" s="12">
        <f>IF(Q287="", 0, 1)</f>
        <v>1</v>
      </c>
      <c r="Q287" s="15">
        <f>0.188*262915</f>
        <v>49428.02</v>
      </c>
      <c r="R287" s="17"/>
      <c r="S287" s="17"/>
      <c r="T287" s="17">
        <v>0</v>
      </c>
      <c r="U287" s="17"/>
      <c r="V287" s="17"/>
      <c r="W287" s="17"/>
      <c r="X287" s="17"/>
      <c r="Y287" s="17"/>
      <c r="Z287" s="17" t="str">
        <f>IF(T287="", "mean", "med")</f>
        <v>med</v>
      </c>
      <c r="AA287" s="17">
        <f>IF(T287="", R287, T287)</f>
        <v>0</v>
      </c>
      <c r="AB287" s="12">
        <f>IF(AC287="", 0, 1)</f>
        <v>0</v>
      </c>
      <c r="AC287" s="13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>
        <f>IF(AO287="", 0, 1)</f>
        <v>0</v>
      </c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 t="s">
        <v>52</v>
      </c>
      <c r="BA287" s="12" t="str">
        <f>IF(AZ287="high","high","lower")</f>
        <v>high</v>
      </c>
      <c r="BB287" s="49">
        <v>0.90500000000000003</v>
      </c>
      <c r="BC287" s="12">
        <v>84</v>
      </c>
      <c r="BD287" s="12">
        <v>88</v>
      </c>
      <c r="BE287" s="12">
        <v>100</v>
      </c>
      <c r="BF287" s="12">
        <v>84.2</v>
      </c>
      <c r="BG287" s="18" t="s">
        <v>1030</v>
      </c>
      <c r="BH287" s="18" t="s">
        <v>1031</v>
      </c>
    </row>
    <row r="288" spans="1:60" ht="15.75" customHeight="1" x14ac:dyDescent="0.2">
      <c r="A288" s="11">
        <v>287</v>
      </c>
      <c r="B288" s="12">
        <v>2882</v>
      </c>
      <c r="C288" s="13" t="s">
        <v>402</v>
      </c>
      <c r="D288" s="13" t="s">
        <v>430</v>
      </c>
      <c r="E288" s="23">
        <v>2008</v>
      </c>
      <c r="F288" s="23">
        <v>2009</v>
      </c>
      <c r="G288" s="13" t="s">
        <v>49</v>
      </c>
      <c r="H288" s="13"/>
      <c r="I288" s="13" t="s">
        <v>59</v>
      </c>
      <c r="J288" s="13" t="s">
        <v>320</v>
      </c>
      <c r="K288" s="13"/>
      <c r="L288" s="15">
        <v>38.5</v>
      </c>
      <c r="M288" s="16" t="s">
        <v>41</v>
      </c>
      <c r="N288" s="13" t="s">
        <v>42</v>
      </c>
      <c r="O288" s="14" t="s">
        <v>41</v>
      </c>
      <c r="P288" s="12">
        <f>IF(Q288="", 0, 1)</f>
        <v>1</v>
      </c>
      <c r="Q288" s="19">
        <f>0.207*262915</f>
        <v>54423.404999999999</v>
      </c>
      <c r="R288" s="17"/>
      <c r="S288" s="17"/>
      <c r="T288" s="17">
        <v>0</v>
      </c>
      <c r="U288" s="17"/>
      <c r="V288" s="17"/>
      <c r="W288" s="17"/>
      <c r="X288" s="17"/>
      <c r="Y288" s="17"/>
      <c r="Z288" s="17" t="str">
        <f>IF(T288="", "mean", "med")</f>
        <v>med</v>
      </c>
      <c r="AA288" s="17">
        <f>IF(T288="", R288, T288)</f>
        <v>0</v>
      </c>
      <c r="AB288" s="12">
        <f>IF(AC288="", 0, 1)</f>
        <v>0</v>
      </c>
      <c r="AC288" s="14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>
        <f>IF(AO288="", 0, 1)</f>
        <v>0</v>
      </c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 t="s">
        <v>52</v>
      </c>
      <c r="BA288" s="12" t="str">
        <f>IF(AZ288="high","high","lower")</f>
        <v>high</v>
      </c>
      <c r="BB288" s="49">
        <v>0.91200000000000003</v>
      </c>
      <c r="BC288" s="12">
        <v>84</v>
      </c>
      <c r="BD288" s="12">
        <v>88</v>
      </c>
      <c r="BE288" s="12">
        <v>100</v>
      </c>
      <c r="BF288" s="12">
        <v>84.2</v>
      </c>
      <c r="BG288" s="18" t="s">
        <v>1030</v>
      </c>
      <c r="BH288" s="18" t="s">
        <v>1031</v>
      </c>
    </row>
    <row r="289" spans="1:60" ht="15.75" customHeight="1" x14ac:dyDescent="0.2">
      <c r="A289" s="11">
        <v>288</v>
      </c>
      <c r="B289" s="12">
        <v>2882</v>
      </c>
      <c r="C289" s="13" t="s">
        <v>402</v>
      </c>
      <c r="D289" s="13" t="s">
        <v>431</v>
      </c>
      <c r="E289" s="23">
        <v>2010</v>
      </c>
      <c r="F289" s="23">
        <v>2011</v>
      </c>
      <c r="G289" s="13" t="s">
        <v>49</v>
      </c>
      <c r="H289" s="13"/>
      <c r="I289" s="13" t="s">
        <v>59</v>
      </c>
      <c r="J289" s="14" t="s">
        <v>320</v>
      </c>
      <c r="K289" s="14"/>
      <c r="L289" s="19">
        <v>38.5</v>
      </c>
      <c r="M289" s="20" t="s">
        <v>41</v>
      </c>
      <c r="N289" s="13" t="s">
        <v>42</v>
      </c>
      <c r="O289" s="13" t="s">
        <v>41</v>
      </c>
      <c r="P289" s="12">
        <f>IF(Q289="", 0, 1)</f>
        <v>1</v>
      </c>
      <c r="Q289" s="19">
        <f>0.215*262915</f>
        <v>56526.724999999999</v>
      </c>
      <c r="R289" s="17"/>
      <c r="S289" s="17"/>
      <c r="T289" s="17">
        <v>0</v>
      </c>
      <c r="U289" s="17"/>
      <c r="V289" s="17"/>
      <c r="W289" s="17"/>
      <c r="X289" s="17"/>
      <c r="Y289" s="17"/>
      <c r="Z289" s="17" t="str">
        <f>IF(T289="", "mean", "med")</f>
        <v>med</v>
      </c>
      <c r="AA289" s="17">
        <f>IF(T289="", R289, T289)</f>
        <v>0</v>
      </c>
      <c r="AB289" s="12">
        <f>IF(AC289="", 0, 1)</f>
        <v>0</v>
      </c>
      <c r="AC289" s="13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>
        <f>IF(AO289="", 0, 1)</f>
        <v>0</v>
      </c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 t="s">
        <v>52</v>
      </c>
      <c r="BA289" s="12" t="str">
        <f>IF(AZ289="high","high","lower")</f>
        <v>high</v>
      </c>
      <c r="BB289" s="49">
        <v>0.91800000000000004</v>
      </c>
      <c r="BC289" s="12">
        <v>84</v>
      </c>
      <c r="BD289" s="12">
        <v>88</v>
      </c>
      <c r="BE289" s="12">
        <v>100</v>
      </c>
      <c r="BF289" s="12">
        <v>84.2</v>
      </c>
      <c r="BG289" s="18" t="s">
        <v>1030</v>
      </c>
      <c r="BH289" s="18" t="s">
        <v>1031</v>
      </c>
    </row>
    <row r="290" spans="1:60" ht="15.75" customHeight="1" x14ac:dyDescent="0.2">
      <c r="A290" s="11">
        <v>289</v>
      </c>
      <c r="B290" s="12">
        <v>2882</v>
      </c>
      <c r="C290" s="13" t="s">
        <v>402</v>
      </c>
      <c r="D290" s="14" t="s">
        <v>432</v>
      </c>
      <c r="E290" s="23">
        <v>2012</v>
      </c>
      <c r="F290" s="23">
        <v>2013</v>
      </c>
      <c r="G290" s="13" t="s">
        <v>49</v>
      </c>
      <c r="H290" s="13"/>
      <c r="I290" s="13" t="s">
        <v>59</v>
      </c>
      <c r="J290" s="13" t="s">
        <v>320</v>
      </c>
      <c r="K290" s="14"/>
      <c r="L290" s="19">
        <v>38.5</v>
      </c>
      <c r="M290" s="20" t="s">
        <v>41</v>
      </c>
      <c r="N290" s="13" t="s">
        <v>42</v>
      </c>
      <c r="O290" s="13" t="s">
        <v>41</v>
      </c>
      <c r="P290" s="12">
        <f>IF(Q290="", 0, 1)</f>
        <v>1</v>
      </c>
      <c r="Q290" s="19">
        <f>0.227*262915</f>
        <v>59681.705000000002</v>
      </c>
      <c r="R290" s="17"/>
      <c r="S290" s="17"/>
      <c r="T290" s="17">
        <v>0</v>
      </c>
      <c r="U290" s="17"/>
      <c r="V290" s="17"/>
      <c r="W290" s="17"/>
      <c r="X290" s="17"/>
      <c r="Y290" s="17"/>
      <c r="Z290" s="17" t="str">
        <f>IF(T290="", "mean", "med")</f>
        <v>med</v>
      </c>
      <c r="AA290" s="17">
        <f>IF(T290="", R290, T290)</f>
        <v>0</v>
      </c>
      <c r="AB290" s="12">
        <f>IF(AC290="", 0, 1)</f>
        <v>0</v>
      </c>
      <c r="AC290" s="13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>
        <f>IF(AO290="", 0, 1)</f>
        <v>0</v>
      </c>
      <c r="AO290" s="22"/>
      <c r="AP290" s="12"/>
      <c r="AQ290" s="12"/>
      <c r="AR290" s="22"/>
      <c r="AS290" s="12"/>
      <c r="AT290" s="12"/>
      <c r="AU290" s="12"/>
      <c r="AV290" s="12"/>
      <c r="AW290" s="12"/>
      <c r="AX290" s="12"/>
      <c r="AY290" s="12"/>
      <c r="AZ290" s="12" t="s">
        <v>52</v>
      </c>
      <c r="BA290" s="12" t="str">
        <f>IF(AZ290="high","high","lower")</f>
        <v>high</v>
      </c>
      <c r="BB290" s="49">
        <v>0.91900000000000004</v>
      </c>
      <c r="BC290" s="12">
        <v>84</v>
      </c>
      <c r="BD290" s="12">
        <v>88</v>
      </c>
      <c r="BE290" s="12">
        <v>100</v>
      </c>
      <c r="BF290" s="12">
        <v>84.2</v>
      </c>
      <c r="BG290" s="18" t="s">
        <v>1030</v>
      </c>
      <c r="BH290" s="18" t="s">
        <v>1031</v>
      </c>
    </row>
    <row r="291" spans="1:60" ht="15.75" customHeight="1" x14ac:dyDescent="0.2">
      <c r="A291" s="11">
        <v>290</v>
      </c>
      <c r="B291" s="12">
        <v>2890</v>
      </c>
      <c r="C291" s="13" t="s">
        <v>433</v>
      </c>
      <c r="D291" s="13" t="s">
        <v>38</v>
      </c>
      <c r="E291" s="23">
        <v>2004</v>
      </c>
      <c r="F291" s="23">
        <v>2011</v>
      </c>
      <c r="G291" s="13" t="s">
        <v>134</v>
      </c>
      <c r="H291" s="13"/>
      <c r="I291" s="13" t="s">
        <v>57</v>
      </c>
      <c r="J291" s="13" t="s">
        <v>58</v>
      </c>
      <c r="K291" s="13"/>
      <c r="L291" s="19">
        <f>(1383/(1383+1626))*100</f>
        <v>45.962113659022933</v>
      </c>
      <c r="M291" s="16">
        <v>69</v>
      </c>
      <c r="N291" s="13" t="s">
        <v>42</v>
      </c>
      <c r="O291" s="13" t="s">
        <v>41</v>
      </c>
      <c r="P291" s="12">
        <f>IF(Q291="", 0, 1)</f>
        <v>1</v>
      </c>
      <c r="Q291" s="22">
        <v>3009</v>
      </c>
      <c r="R291" s="17"/>
      <c r="S291" s="17"/>
      <c r="T291" s="17">
        <v>51</v>
      </c>
      <c r="U291" s="17">
        <v>30</v>
      </c>
      <c r="V291" s="17">
        <v>82</v>
      </c>
      <c r="W291" s="17"/>
      <c r="X291" s="17"/>
      <c r="Y291" s="17"/>
      <c r="Z291" s="17" t="str">
        <f>IF(T291="", "mean", "med")</f>
        <v>med</v>
      </c>
      <c r="AA291" s="17">
        <f>IF(T291="", R291, T291)</f>
        <v>51</v>
      </c>
      <c r="AB291" s="12">
        <f>IF(AC291="", 0, 1)</f>
        <v>0</v>
      </c>
      <c r="AC291" s="13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>
        <f>IF(AO291="", 0, 1)</f>
        <v>0</v>
      </c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 t="s">
        <v>52</v>
      </c>
      <c r="BA291" s="12" t="str">
        <f>IF(AZ291="high","high","lower")</f>
        <v>high</v>
      </c>
      <c r="BB291" s="49">
        <v>0.89700000000000002</v>
      </c>
      <c r="BC291" s="12">
        <v>84.8</v>
      </c>
      <c r="BD291" s="12">
        <v>94</v>
      </c>
      <c r="BE291" s="12">
        <v>100</v>
      </c>
      <c r="BF291" s="12">
        <v>82.2</v>
      </c>
      <c r="BG291" s="18" t="s">
        <v>1034</v>
      </c>
      <c r="BH291" s="18" t="s">
        <v>1031</v>
      </c>
    </row>
    <row r="292" spans="1:60" ht="15.75" customHeight="1" x14ac:dyDescent="0.2">
      <c r="A292" s="11">
        <v>291</v>
      </c>
      <c r="B292" s="12">
        <v>2904</v>
      </c>
      <c r="C292" s="13" t="s">
        <v>434</v>
      </c>
      <c r="D292" s="13" t="s">
        <v>38</v>
      </c>
      <c r="E292" s="23">
        <v>2007</v>
      </c>
      <c r="F292" s="23">
        <v>2015</v>
      </c>
      <c r="G292" s="13" t="s">
        <v>259</v>
      </c>
      <c r="H292" s="13"/>
      <c r="I292" s="13" t="s">
        <v>40</v>
      </c>
      <c r="J292" s="13" t="s">
        <v>40</v>
      </c>
      <c r="K292" s="13"/>
      <c r="L292" s="19">
        <v>100</v>
      </c>
      <c r="M292" s="16">
        <v>37</v>
      </c>
      <c r="N292" s="13" t="s">
        <v>42</v>
      </c>
      <c r="O292" s="14" t="s">
        <v>304</v>
      </c>
      <c r="P292" s="12">
        <f>IF(Q292="", 0, 1)</f>
        <v>1</v>
      </c>
      <c r="Q292" s="12">
        <v>58</v>
      </c>
      <c r="R292" s="17">
        <v>30.7</v>
      </c>
      <c r="S292" s="17">
        <v>27.3</v>
      </c>
      <c r="T292" s="17"/>
      <c r="U292" s="17"/>
      <c r="V292" s="17"/>
      <c r="W292" s="17"/>
      <c r="X292" s="17"/>
      <c r="Y292" s="17"/>
      <c r="Z292" s="17" t="str">
        <f>IF(T292="", "mean", "med")</f>
        <v>mean</v>
      </c>
      <c r="AA292" s="17">
        <f>IF(T292="", R292, T292)</f>
        <v>30.7</v>
      </c>
      <c r="AB292" s="12">
        <f>IF(AC292="", 0, 1)</f>
        <v>0</v>
      </c>
      <c r="AC292" s="13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>
        <f>IF(AO292="", 0, 1)</f>
        <v>0</v>
      </c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 t="s">
        <v>52</v>
      </c>
      <c r="BA292" s="12" t="str">
        <f>IF(AZ292="high","high","lower")</f>
        <v>high</v>
      </c>
      <c r="BB292" s="49">
        <v>0.89300000000000002</v>
      </c>
      <c r="BC292" s="12">
        <v>83.2</v>
      </c>
      <c r="BD292" s="12">
        <v>83.1</v>
      </c>
      <c r="BE292" s="12">
        <v>100</v>
      </c>
      <c r="BF292" s="12">
        <v>96.6</v>
      </c>
      <c r="BG292" s="18" t="s">
        <v>1030</v>
      </c>
      <c r="BH292" s="18" t="s">
        <v>1031</v>
      </c>
    </row>
    <row r="293" spans="1:60" ht="15.75" customHeight="1" x14ac:dyDescent="0.2">
      <c r="A293" s="11">
        <v>292</v>
      </c>
      <c r="B293" s="22">
        <v>2931</v>
      </c>
      <c r="C293" s="13" t="s">
        <v>435</v>
      </c>
      <c r="D293" s="13" t="s">
        <v>436</v>
      </c>
      <c r="E293" s="23">
        <v>2014</v>
      </c>
      <c r="F293" s="23">
        <v>2015</v>
      </c>
      <c r="G293" s="13" t="s">
        <v>49</v>
      </c>
      <c r="H293" s="13"/>
      <c r="I293" s="13" t="s">
        <v>54</v>
      </c>
      <c r="J293" s="13" t="s">
        <v>55</v>
      </c>
      <c r="K293" s="13"/>
      <c r="L293" s="15">
        <v>48.6</v>
      </c>
      <c r="M293" s="16">
        <v>56</v>
      </c>
      <c r="N293" s="13" t="s">
        <v>42</v>
      </c>
      <c r="O293" s="14" t="s">
        <v>437</v>
      </c>
      <c r="P293" s="12">
        <f>IF(Q293="", 0, 1)</f>
        <v>1</v>
      </c>
      <c r="Q293" s="12">
        <v>35</v>
      </c>
      <c r="R293" s="17">
        <v>43.3</v>
      </c>
      <c r="S293" s="17">
        <v>23.2</v>
      </c>
      <c r="T293" s="17">
        <v>40</v>
      </c>
      <c r="U293" s="17">
        <v>30.5</v>
      </c>
      <c r="V293" s="17">
        <v>48</v>
      </c>
      <c r="W293" s="17"/>
      <c r="X293" s="17"/>
      <c r="Y293" s="17"/>
      <c r="Z293" s="17" t="str">
        <f>IF(T293="", "mean", "med")</f>
        <v>med</v>
      </c>
      <c r="AA293" s="17">
        <f>IF(T293="", R293, T293)</f>
        <v>40</v>
      </c>
      <c r="AB293" s="12">
        <f>IF(AC293="", 0, 1)</f>
        <v>0</v>
      </c>
      <c r="AC293" s="13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>
        <f>IF(AO293="", 0, 1)</f>
        <v>0</v>
      </c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 t="s">
        <v>52</v>
      </c>
      <c r="BA293" s="12" t="str">
        <f>IF(AZ293="high","high","lower")</f>
        <v>high</v>
      </c>
      <c r="BB293" s="49">
        <v>0.92100000000000004</v>
      </c>
      <c r="BC293" s="12">
        <v>84</v>
      </c>
      <c r="BD293" s="12">
        <v>88</v>
      </c>
      <c r="BE293" s="12">
        <v>100</v>
      </c>
      <c r="BF293" s="12">
        <v>84.2</v>
      </c>
      <c r="BG293" s="18" t="s">
        <v>1030</v>
      </c>
      <c r="BH293" s="18" t="s">
        <v>1031</v>
      </c>
    </row>
    <row r="294" spans="1:60" ht="15.75" customHeight="1" x14ac:dyDescent="0.2">
      <c r="A294" s="11">
        <v>293</v>
      </c>
      <c r="B294" s="12">
        <v>2931</v>
      </c>
      <c r="C294" s="13" t="s">
        <v>435</v>
      </c>
      <c r="D294" s="13" t="s">
        <v>438</v>
      </c>
      <c r="E294" s="23">
        <v>2014</v>
      </c>
      <c r="F294" s="23">
        <v>2015</v>
      </c>
      <c r="G294" s="13" t="s">
        <v>49</v>
      </c>
      <c r="H294" s="13"/>
      <c r="I294" s="13" t="s">
        <v>54</v>
      </c>
      <c r="J294" s="14" t="s">
        <v>55</v>
      </c>
      <c r="K294" s="14"/>
      <c r="L294" s="15">
        <v>37.1</v>
      </c>
      <c r="M294" s="16">
        <v>59.4</v>
      </c>
      <c r="N294" s="13" t="s">
        <v>42</v>
      </c>
      <c r="O294" s="13" t="s">
        <v>437</v>
      </c>
      <c r="P294" s="12">
        <f>IF(Q294="", 0, 1)</f>
        <v>1</v>
      </c>
      <c r="Q294" s="12">
        <v>70</v>
      </c>
      <c r="R294" s="17">
        <v>42.7</v>
      </c>
      <c r="S294" s="17">
        <v>20.2</v>
      </c>
      <c r="T294" s="17">
        <v>40.5</v>
      </c>
      <c r="U294" s="17">
        <v>30</v>
      </c>
      <c r="V294" s="17">
        <v>48.75</v>
      </c>
      <c r="W294" s="17"/>
      <c r="X294" s="17"/>
      <c r="Y294" s="17"/>
      <c r="Z294" s="17" t="str">
        <f>IF(T294="", "mean", "med")</f>
        <v>med</v>
      </c>
      <c r="AA294" s="17">
        <f>IF(T294="", R294, T294)</f>
        <v>40.5</v>
      </c>
      <c r="AB294" s="12">
        <f>IF(AC294="", 0, 1)</f>
        <v>0</v>
      </c>
      <c r="AC294" s="13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>
        <f>IF(AO294="", 0, 1)</f>
        <v>0</v>
      </c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 t="s">
        <v>52</v>
      </c>
      <c r="BA294" s="12" t="str">
        <f>IF(AZ294="high","high","lower")</f>
        <v>high</v>
      </c>
      <c r="BB294" s="49">
        <v>0.92100000000000004</v>
      </c>
      <c r="BC294" s="12">
        <v>84</v>
      </c>
      <c r="BD294" s="12">
        <v>88</v>
      </c>
      <c r="BE294" s="12">
        <v>100</v>
      </c>
      <c r="BF294" s="12">
        <v>84.2</v>
      </c>
      <c r="BG294" s="18" t="s">
        <v>1030</v>
      </c>
      <c r="BH294" s="18" t="s">
        <v>1031</v>
      </c>
    </row>
    <row r="295" spans="1:60" ht="15.75" customHeight="1" x14ac:dyDescent="0.2">
      <c r="A295" s="11">
        <v>294</v>
      </c>
      <c r="B295" s="22">
        <v>2938</v>
      </c>
      <c r="C295" s="13" t="s">
        <v>439</v>
      </c>
      <c r="D295" s="14" t="s">
        <v>38</v>
      </c>
      <c r="E295" s="23">
        <v>2002</v>
      </c>
      <c r="F295" s="23">
        <v>2015</v>
      </c>
      <c r="G295" s="13" t="s">
        <v>161</v>
      </c>
      <c r="H295" s="13"/>
      <c r="I295" s="13" t="s">
        <v>54</v>
      </c>
      <c r="J295" s="13" t="s">
        <v>229</v>
      </c>
      <c r="K295" s="14" t="s">
        <v>288</v>
      </c>
      <c r="L295" s="15">
        <f>136/297*100</f>
        <v>45.791245791245792</v>
      </c>
      <c r="M295" s="16">
        <v>65</v>
      </c>
      <c r="N295" s="13" t="s">
        <v>42</v>
      </c>
      <c r="O295" s="13" t="s">
        <v>136</v>
      </c>
      <c r="P295" s="12">
        <f>IF(Q295="", 0, 1)</f>
        <v>1</v>
      </c>
      <c r="Q295" s="12">
        <v>297</v>
      </c>
      <c r="R295" s="17"/>
      <c r="S295" s="17"/>
      <c r="T295" s="17">
        <v>29</v>
      </c>
      <c r="U295" s="17"/>
      <c r="V295" s="17">
        <v>43</v>
      </c>
      <c r="W295" s="17"/>
      <c r="X295" s="17">
        <v>1</v>
      </c>
      <c r="Y295" s="17">
        <v>124</v>
      </c>
      <c r="Z295" s="17" t="str">
        <f>IF(T295="", "mean", "med")</f>
        <v>med</v>
      </c>
      <c r="AA295" s="17">
        <f>IF(T295="", R295, T295)</f>
        <v>29</v>
      </c>
      <c r="AB295" s="12">
        <f>IF(AC295="", 0, 1)</f>
        <v>0</v>
      </c>
      <c r="AC295" s="13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>
        <f>IF(AO295="", 0, 1)</f>
        <v>0</v>
      </c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 t="s">
        <v>52</v>
      </c>
      <c r="BA295" s="12" t="str">
        <f>IF(AZ295="high","high","lower")</f>
        <v>high</v>
      </c>
      <c r="BB295" s="49">
        <v>0.92100000000000004</v>
      </c>
      <c r="BC295" s="12">
        <v>88.7</v>
      </c>
      <c r="BD295" s="12">
        <v>91.8</v>
      </c>
      <c r="BE295" s="12">
        <v>100</v>
      </c>
      <c r="BF295" s="12">
        <v>91.8</v>
      </c>
      <c r="BG295" s="18" t="s">
        <v>1032</v>
      </c>
      <c r="BH295" s="18" t="s">
        <v>1033</v>
      </c>
    </row>
    <row r="296" spans="1:60" ht="15.75" customHeight="1" x14ac:dyDescent="0.2">
      <c r="A296" s="11">
        <v>295</v>
      </c>
      <c r="B296" s="52">
        <v>2941</v>
      </c>
      <c r="C296" s="13" t="s">
        <v>440</v>
      </c>
      <c r="D296" s="14" t="s">
        <v>441</v>
      </c>
      <c r="E296" s="23">
        <v>1998</v>
      </c>
      <c r="F296" s="23">
        <v>2008</v>
      </c>
      <c r="G296" s="13" t="s">
        <v>140</v>
      </c>
      <c r="H296" s="13"/>
      <c r="I296" s="13" t="s">
        <v>54</v>
      </c>
      <c r="J296" s="13" t="s">
        <v>226</v>
      </c>
      <c r="K296" s="14"/>
      <c r="L296" s="15">
        <f>30/109*100</f>
        <v>27.522935779816514</v>
      </c>
      <c r="M296" s="16">
        <v>62</v>
      </c>
      <c r="N296" s="13" t="s">
        <v>42</v>
      </c>
      <c r="O296" s="13"/>
      <c r="P296" s="12">
        <f>IF(Q296="", 0, 1)</f>
        <v>0</v>
      </c>
      <c r="Q296" s="12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2">
        <f>IF(AC296="", 0, 1)</f>
        <v>1</v>
      </c>
      <c r="AC296" s="13">
        <v>109</v>
      </c>
      <c r="AD296" s="12"/>
      <c r="AE296" s="12"/>
      <c r="AF296" s="12">
        <v>46</v>
      </c>
      <c r="AG296" s="12">
        <v>19</v>
      </c>
      <c r="AH296" s="12">
        <v>94</v>
      </c>
      <c r="AI296" s="12"/>
      <c r="AJ296" s="12"/>
      <c r="AK296" s="12"/>
      <c r="AL296" s="12" t="str">
        <f>IF(AF296="", "mean", "med")</f>
        <v>med</v>
      </c>
      <c r="AM296" s="12">
        <f>IF(AF296="", AD296, AF296)</f>
        <v>46</v>
      </c>
      <c r="AN296" s="12">
        <f>IF(AO296="", 0, 1)</f>
        <v>0</v>
      </c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49" t="s">
        <v>43</v>
      </c>
      <c r="BA296" s="49" t="str">
        <f>IF(AZ296="high","high","lower")</f>
        <v>lower</v>
      </c>
      <c r="BB296" s="49">
        <v>0.80400000000000005</v>
      </c>
      <c r="BC296" s="49"/>
      <c r="BD296" s="49"/>
      <c r="BE296" s="49"/>
      <c r="BF296" s="49"/>
      <c r="BG296" s="18" t="s">
        <v>1032</v>
      </c>
      <c r="BH296" s="18" t="s">
        <v>1033</v>
      </c>
    </row>
    <row r="297" spans="1:60" ht="15.75" customHeight="1" x14ac:dyDescent="0.2">
      <c r="A297" s="11">
        <v>296</v>
      </c>
      <c r="B297" s="52">
        <v>2941</v>
      </c>
      <c r="C297" s="13" t="s">
        <v>440</v>
      </c>
      <c r="D297" s="13" t="s">
        <v>442</v>
      </c>
      <c r="E297" s="23">
        <v>1998</v>
      </c>
      <c r="F297" s="23">
        <v>2008</v>
      </c>
      <c r="G297" s="13" t="s">
        <v>140</v>
      </c>
      <c r="H297" s="13"/>
      <c r="I297" s="13" t="s">
        <v>54</v>
      </c>
      <c r="J297" s="13" t="s">
        <v>226</v>
      </c>
      <c r="K297" s="14"/>
      <c r="L297" s="15">
        <f>41/134*100</f>
        <v>30.597014925373134</v>
      </c>
      <c r="M297" s="16">
        <v>64</v>
      </c>
      <c r="N297" s="13" t="s">
        <v>42</v>
      </c>
      <c r="O297" s="13"/>
      <c r="P297" s="12">
        <f>IF(Q297="", 0, 1)</f>
        <v>0</v>
      </c>
      <c r="Q297" s="12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2">
        <f>IF(AC297="", 0, 1)</f>
        <v>1</v>
      </c>
      <c r="AC297" s="13">
        <v>134</v>
      </c>
      <c r="AD297" s="12"/>
      <c r="AE297" s="12"/>
      <c r="AF297" s="12">
        <v>32</v>
      </c>
      <c r="AG297" s="12">
        <v>17</v>
      </c>
      <c r="AH297" s="12">
        <v>60</v>
      </c>
      <c r="AI297" s="12"/>
      <c r="AJ297" s="12"/>
      <c r="AK297" s="12"/>
      <c r="AL297" s="12" t="str">
        <f>IF(AF297="", "mean", "med")</f>
        <v>med</v>
      </c>
      <c r="AM297" s="12">
        <f>IF(AF297="", AD297, AF297)</f>
        <v>32</v>
      </c>
      <c r="AN297" s="12">
        <f>IF(AO297="", 0, 1)</f>
        <v>0</v>
      </c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49" t="s">
        <v>43</v>
      </c>
      <c r="BA297" s="49" t="str">
        <f>IF(AZ297="high","high","lower")</f>
        <v>lower</v>
      </c>
      <c r="BB297" s="49">
        <v>0.80400000000000005</v>
      </c>
      <c r="BC297" s="49"/>
      <c r="BD297" s="49"/>
      <c r="BE297" s="49"/>
      <c r="BF297" s="49"/>
      <c r="BG297" s="18" t="s">
        <v>1032</v>
      </c>
      <c r="BH297" s="18" t="s">
        <v>1033</v>
      </c>
    </row>
    <row r="298" spans="1:60" ht="15.75" customHeight="1" x14ac:dyDescent="0.2">
      <c r="A298" s="11">
        <v>297</v>
      </c>
      <c r="B298" s="22">
        <v>2984</v>
      </c>
      <c r="C298" s="13" t="s">
        <v>443</v>
      </c>
      <c r="D298" s="13" t="s">
        <v>38</v>
      </c>
      <c r="E298" s="23">
        <v>2005</v>
      </c>
      <c r="F298" s="23">
        <v>2008</v>
      </c>
      <c r="G298" s="13" t="s">
        <v>161</v>
      </c>
      <c r="H298" s="13"/>
      <c r="I298" s="13" t="s">
        <v>54</v>
      </c>
      <c r="J298" s="13" t="s">
        <v>55</v>
      </c>
      <c r="K298" s="14"/>
      <c r="L298" s="15">
        <f>((46+15)/(46+15+40+22))*100</f>
        <v>49.59349593495935</v>
      </c>
      <c r="M298" s="16" t="s">
        <v>41</v>
      </c>
      <c r="N298" s="13" t="s">
        <v>50</v>
      </c>
      <c r="O298" s="13"/>
      <c r="P298" s="12">
        <f>IF(Q298="", 0, 1)</f>
        <v>0</v>
      </c>
      <c r="Q298" s="12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2">
        <f>IF(AC298="", 0, 1)</f>
        <v>0</v>
      </c>
      <c r="AC298" s="13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>
        <f>IF(AO298="", 0, 1)</f>
        <v>1</v>
      </c>
      <c r="AO298" s="12">
        <v>123</v>
      </c>
      <c r="AP298" s="12">
        <v>106</v>
      </c>
      <c r="AQ298" s="12">
        <v>81</v>
      </c>
      <c r="AR298" s="12"/>
      <c r="AS298" s="12"/>
      <c r="AT298" s="12"/>
      <c r="AU298" s="12"/>
      <c r="AV298" s="12"/>
      <c r="AW298" s="12"/>
      <c r="AX298" s="12" t="str">
        <f>IF(AR298="", "mean", "med")</f>
        <v>mean</v>
      </c>
      <c r="AY298" s="12">
        <f>IF(AR298="", AP298, AR298)</f>
        <v>106</v>
      </c>
      <c r="AZ298" s="12" t="s">
        <v>52</v>
      </c>
      <c r="BA298" s="12" t="str">
        <f>IF(AZ298="high","high","lower")</f>
        <v>high</v>
      </c>
      <c r="BB298" s="49">
        <v>0.91800000000000004</v>
      </c>
      <c r="BC298" s="12">
        <v>88.7</v>
      </c>
      <c r="BD298" s="12">
        <v>91.8</v>
      </c>
      <c r="BE298" s="12">
        <v>100</v>
      </c>
      <c r="BF298" s="12">
        <v>91.8</v>
      </c>
      <c r="BG298" s="18" t="s">
        <v>1030</v>
      </c>
      <c r="BH298" s="18" t="s">
        <v>1031</v>
      </c>
    </row>
    <row r="299" spans="1:60" ht="15.75" customHeight="1" x14ac:dyDescent="0.2">
      <c r="A299" s="11">
        <v>298</v>
      </c>
      <c r="B299" s="22">
        <v>2988</v>
      </c>
      <c r="C299" s="13" t="s">
        <v>444</v>
      </c>
      <c r="D299" s="13" t="s">
        <v>445</v>
      </c>
      <c r="E299" s="23">
        <v>2013</v>
      </c>
      <c r="F299" s="23">
        <v>2013</v>
      </c>
      <c r="G299" s="13" t="s">
        <v>117</v>
      </c>
      <c r="H299" s="13"/>
      <c r="I299" s="13" t="s">
        <v>57</v>
      </c>
      <c r="J299" s="13" t="s">
        <v>58</v>
      </c>
      <c r="K299" s="14"/>
      <c r="L299" s="15" t="s">
        <v>41</v>
      </c>
      <c r="M299" s="16">
        <v>68</v>
      </c>
      <c r="N299" s="13" t="s">
        <v>50</v>
      </c>
      <c r="O299" s="14" t="s">
        <v>41</v>
      </c>
      <c r="P299" s="12">
        <f>IF(Q299="", 0, 1)</f>
        <v>1</v>
      </c>
      <c r="Q299" s="12">
        <v>75</v>
      </c>
      <c r="R299" s="17">
        <v>30.4</v>
      </c>
      <c r="S299" s="17">
        <v>45.3</v>
      </c>
      <c r="T299" s="17"/>
      <c r="U299" s="17"/>
      <c r="V299" s="17"/>
      <c r="W299" s="17"/>
      <c r="X299" s="17"/>
      <c r="Y299" s="17"/>
      <c r="Z299" s="17" t="str">
        <f>IF(T299="", "mean", "med")</f>
        <v>mean</v>
      </c>
      <c r="AA299" s="17">
        <f>IF(T299="", R299, T299)</f>
        <v>30.4</v>
      </c>
      <c r="AB299" s="12">
        <f>IF(AC299="", 0, 1)</f>
        <v>0</v>
      </c>
      <c r="AC299" s="13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>
        <f>IF(AO299="", 0, 1)</f>
        <v>0</v>
      </c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 t="s">
        <v>52</v>
      </c>
      <c r="BA299" s="12" t="str">
        <f>IF(AZ299="high","high","lower")</f>
        <v>high</v>
      </c>
      <c r="BB299" s="49">
        <v>0.93100000000000005</v>
      </c>
      <c r="BC299" s="12">
        <v>90.6</v>
      </c>
      <c r="BD299" s="12">
        <v>98</v>
      </c>
      <c r="BE299" s="12">
        <v>100</v>
      </c>
      <c r="BF299" s="12">
        <v>90</v>
      </c>
      <c r="BG299" s="18" t="s">
        <v>1034</v>
      </c>
      <c r="BH299" s="18" t="s">
        <v>1031</v>
      </c>
    </row>
    <row r="300" spans="1:60" ht="15.75" customHeight="1" x14ac:dyDescent="0.2">
      <c r="A300" s="11">
        <v>299</v>
      </c>
      <c r="B300" s="12">
        <v>2998</v>
      </c>
      <c r="C300" s="13" t="s">
        <v>446</v>
      </c>
      <c r="D300" s="14" t="s">
        <v>38</v>
      </c>
      <c r="E300" s="23">
        <v>2009</v>
      </c>
      <c r="F300" s="23">
        <v>2014</v>
      </c>
      <c r="G300" s="13" t="s">
        <v>447</v>
      </c>
      <c r="H300" s="13"/>
      <c r="I300" s="13" t="s">
        <v>79</v>
      </c>
      <c r="J300" s="13" t="s">
        <v>79</v>
      </c>
      <c r="K300" s="14"/>
      <c r="L300" s="15">
        <f>2228/9245*100</f>
        <v>24.099513250405625</v>
      </c>
      <c r="M300" s="16">
        <v>62.3</v>
      </c>
      <c r="N300" s="13" t="s">
        <v>42</v>
      </c>
      <c r="O300" s="14" t="s">
        <v>41</v>
      </c>
      <c r="P300" s="12">
        <f>IF(Q300="", 0, 1)</f>
        <v>1</v>
      </c>
      <c r="Q300" s="12">
        <v>8040</v>
      </c>
      <c r="R300" s="17"/>
      <c r="S300" s="17"/>
      <c r="T300" s="17">
        <v>32</v>
      </c>
      <c r="U300" s="17">
        <v>19</v>
      </c>
      <c r="V300" s="17">
        <v>46</v>
      </c>
      <c r="W300" s="17"/>
      <c r="X300" s="17"/>
      <c r="Y300" s="17"/>
      <c r="Z300" s="17" t="str">
        <f>IF(T300="", "mean", "med")</f>
        <v>med</v>
      </c>
      <c r="AA300" s="17">
        <f>IF(T300="", R300, T300)</f>
        <v>32</v>
      </c>
      <c r="AB300" s="12">
        <f>IF(AC300="", 0, 1)</f>
        <v>0</v>
      </c>
      <c r="AC300" s="13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>
        <f>IF(AO300="", 0, 1)</f>
        <v>0</v>
      </c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49" t="s">
        <v>52</v>
      </c>
      <c r="BA300" s="49" t="str">
        <f>IF(AZ300="high","high","lower")</f>
        <v>high</v>
      </c>
      <c r="BB300" s="49">
        <v>0.91300000000000003</v>
      </c>
      <c r="BC300" s="49"/>
      <c r="BD300" s="49"/>
      <c r="BE300" s="49"/>
      <c r="BF300" s="49"/>
      <c r="BG300" s="18" t="s">
        <v>1030</v>
      </c>
      <c r="BH300" s="18" t="s">
        <v>1031</v>
      </c>
    </row>
    <row r="301" spans="1:60" ht="15.75" customHeight="1" x14ac:dyDescent="0.2">
      <c r="A301" s="11">
        <v>300</v>
      </c>
      <c r="B301" s="12">
        <v>3003</v>
      </c>
      <c r="C301" s="13" t="s">
        <v>449</v>
      </c>
      <c r="D301" s="13" t="s">
        <v>450</v>
      </c>
      <c r="E301" s="23">
        <v>2011</v>
      </c>
      <c r="F301" s="23">
        <v>2017</v>
      </c>
      <c r="G301" s="13" t="s">
        <v>49</v>
      </c>
      <c r="H301" s="13"/>
      <c r="I301" s="14" t="s">
        <v>40</v>
      </c>
      <c r="J301" s="13" t="s">
        <v>40</v>
      </c>
      <c r="K301" s="13"/>
      <c r="L301" s="15">
        <v>100</v>
      </c>
      <c r="M301" s="16">
        <v>33.700000000000003</v>
      </c>
      <c r="N301" s="13" t="s">
        <v>42</v>
      </c>
      <c r="O301" s="14" t="s">
        <v>304</v>
      </c>
      <c r="P301" s="12">
        <f>IF(Q301="", 0, 1)</f>
        <v>1</v>
      </c>
      <c r="Q301" s="12">
        <v>58</v>
      </c>
      <c r="R301" s="17">
        <v>38.1</v>
      </c>
      <c r="S301" s="17">
        <v>11.3</v>
      </c>
      <c r="T301" s="17"/>
      <c r="U301" s="17"/>
      <c r="V301" s="17"/>
      <c r="W301" s="17"/>
      <c r="X301" s="17"/>
      <c r="Y301" s="17"/>
      <c r="Z301" s="17" t="str">
        <f>IF(T301="", "mean", "med")</f>
        <v>mean</v>
      </c>
      <c r="AA301" s="17">
        <f>IF(T301="", R301, T301)</f>
        <v>38.1</v>
      </c>
      <c r="AB301" s="12">
        <f>IF(AC301="", 0, 1)</f>
        <v>0</v>
      </c>
      <c r="AC301" s="13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>
        <f>IF(AO301="", 0, 1)</f>
        <v>0</v>
      </c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 t="s">
        <v>52</v>
      </c>
      <c r="BA301" s="12" t="str">
        <f>IF(AZ301="high","high","lower")</f>
        <v>high</v>
      </c>
      <c r="BB301" s="49">
        <v>0.92100000000000004</v>
      </c>
      <c r="BC301" s="12">
        <v>84</v>
      </c>
      <c r="BD301" s="12">
        <v>88</v>
      </c>
      <c r="BE301" s="12">
        <v>100</v>
      </c>
      <c r="BF301" s="12">
        <v>84.2</v>
      </c>
      <c r="BG301" s="18" t="s">
        <v>1030</v>
      </c>
      <c r="BH301" s="18" t="s">
        <v>1031</v>
      </c>
    </row>
    <row r="302" spans="1:60" ht="15.75" customHeight="1" x14ac:dyDescent="0.2">
      <c r="A302" s="11">
        <v>301</v>
      </c>
      <c r="B302" s="12">
        <v>3003</v>
      </c>
      <c r="C302" s="13" t="s">
        <v>449</v>
      </c>
      <c r="D302" s="13" t="s">
        <v>451</v>
      </c>
      <c r="E302" s="23">
        <v>2011</v>
      </c>
      <c r="F302" s="23">
        <v>2017</v>
      </c>
      <c r="G302" s="13" t="s">
        <v>49</v>
      </c>
      <c r="H302" s="13"/>
      <c r="I302" s="13" t="s">
        <v>40</v>
      </c>
      <c r="J302" s="13" t="s">
        <v>40</v>
      </c>
      <c r="K302" s="13"/>
      <c r="L302" s="15">
        <v>100</v>
      </c>
      <c r="M302" s="16">
        <v>37.1</v>
      </c>
      <c r="N302" s="13" t="s">
        <v>42</v>
      </c>
      <c r="O302" s="13" t="s">
        <v>304</v>
      </c>
      <c r="P302" s="12">
        <f>IF(Q302="", 0, 1)</f>
        <v>1</v>
      </c>
      <c r="Q302" s="12">
        <v>29</v>
      </c>
      <c r="R302" s="17">
        <v>39.4</v>
      </c>
      <c r="S302" s="17">
        <v>18.5</v>
      </c>
      <c r="T302" s="17"/>
      <c r="U302" s="17"/>
      <c r="V302" s="17"/>
      <c r="W302" s="17"/>
      <c r="X302" s="17"/>
      <c r="Y302" s="17"/>
      <c r="Z302" s="17" t="str">
        <f>IF(T302="", "mean", "med")</f>
        <v>mean</v>
      </c>
      <c r="AA302" s="17">
        <f>IF(T302="", R302, T302)</f>
        <v>39.4</v>
      </c>
      <c r="AB302" s="12">
        <f>IF(AC302="", 0, 1)</f>
        <v>0</v>
      </c>
      <c r="AC302" s="14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>
        <f>IF(AO302="", 0, 1)</f>
        <v>0</v>
      </c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 t="s">
        <v>52</v>
      </c>
      <c r="BA302" s="12" t="str">
        <f>IF(AZ302="high","high","lower")</f>
        <v>high</v>
      </c>
      <c r="BB302" s="49">
        <v>0.92100000000000004</v>
      </c>
      <c r="BC302" s="12">
        <v>84</v>
      </c>
      <c r="BD302" s="12">
        <v>88</v>
      </c>
      <c r="BE302" s="12">
        <v>100</v>
      </c>
      <c r="BF302" s="12">
        <v>84.2</v>
      </c>
      <c r="BG302" s="18" t="s">
        <v>1030</v>
      </c>
      <c r="BH302" s="18" t="s">
        <v>1031</v>
      </c>
    </row>
    <row r="303" spans="1:60" ht="15.75" customHeight="1" x14ac:dyDescent="0.2">
      <c r="A303" s="11">
        <v>302</v>
      </c>
      <c r="B303" s="22">
        <v>3026</v>
      </c>
      <c r="C303" s="13" t="s">
        <v>452</v>
      </c>
      <c r="D303" s="14" t="s">
        <v>38</v>
      </c>
      <c r="E303" s="23">
        <v>2008</v>
      </c>
      <c r="F303" s="23">
        <v>2012</v>
      </c>
      <c r="G303" s="13" t="s">
        <v>264</v>
      </c>
      <c r="H303" s="13"/>
      <c r="I303" s="13" t="s">
        <v>40</v>
      </c>
      <c r="J303" s="13" t="s">
        <v>40</v>
      </c>
      <c r="K303" s="14"/>
      <c r="L303" s="19">
        <v>100</v>
      </c>
      <c r="M303" s="16" t="s">
        <v>41</v>
      </c>
      <c r="N303" s="13" t="s">
        <v>42</v>
      </c>
      <c r="O303" s="14" t="s">
        <v>41</v>
      </c>
      <c r="P303" s="12">
        <f>IF(Q303="", 0, 1)</f>
        <v>1</v>
      </c>
      <c r="Q303" s="22">
        <v>1427</v>
      </c>
      <c r="R303" s="17"/>
      <c r="S303" s="17"/>
      <c r="T303" s="17">
        <f>0.13*30</f>
        <v>3.9000000000000004</v>
      </c>
      <c r="U303" s="17">
        <f>0</f>
        <v>0</v>
      </c>
      <c r="V303" s="17">
        <f>0.33*30</f>
        <v>9.9</v>
      </c>
      <c r="W303" s="17"/>
      <c r="X303" s="17"/>
      <c r="Y303" s="17"/>
      <c r="Z303" s="17" t="str">
        <f>IF(T303="", "mean", "med")</f>
        <v>med</v>
      </c>
      <c r="AA303" s="17">
        <f>IF(T303="", R303, T303)</f>
        <v>3.9000000000000004</v>
      </c>
      <c r="AB303" s="12">
        <f>IF(AC303="", 0, 1)</f>
        <v>0</v>
      </c>
      <c r="AC303" s="13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>
        <f>IF(AO303="", 0, 1)</f>
        <v>1</v>
      </c>
      <c r="AO303" s="12">
        <v>1433</v>
      </c>
      <c r="AP303" s="12"/>
      <c r="AQ303" s="12"/>
      <c r="AR303" s="12">
        <f>2*30</f>
        <v>60</v>
      </c>
      <c r="AS303" s="12">
        <f>0.5*30</f>
        <v>15</v>
      </c>
      <c r="AT303" s="12">
        <f>10*30</f>
        <v>300</v>
      </c>
      <c r="AU303" s="12"/>
      <c r="AV303" s="12"/>
      <c r="AW303" s="12"/>
      <c r="AX303" s="12" t="str">
        <f>IF(AR303="", "mean", "med")</f>
        <v>med</v>
      </c>
      <c r="AY303" s="12">
        <f>IF(AR303="", AP303, AR303)</f>
        <v>60</v>
      </c>
      <c r="AZ303" s="12" t="s">
        <v>43</v>
      </c>
      <c r="BA303" s="12" t="str">
        <f>IF(AZ303="high","high","lower")</f>
        <v>lower</v>
      </c>
      <c r="BB303" s="49">
        <v>0.69699999999999995</v>
      </c>
      <c r="BC303" s="12">
        <v>64.5</v>
      </c>
      <c r="BD303" s="12">
        <v>73.099999999999994</v>
      </c>
      <c r="BE303" s="12">
        <v>50</v>
      </c>
      <c r="BF303" s="12">
        <v>61.3</v>
      </c>
      <c r="BG303" s="18" t="s">
        <v>1030</v>
      </c>
      <c r="BH303" s="18" t="s">
        <v>1031</v>
      </c>
    </row>
    <row r="304" spans="1:60" ht="15.75" customHeight="1" x14ac:dyDescent="0.2">
      <c r="A304" s="11">
        <v>303</v>
      </c>
      <c r="B304" s="12">
        <v>3029</v>
      </c>
      <c r="C304" s="13" t="s">
        <v>453</v>
      </c>
      <c r="D304" s="13" t="s">
        <v>454</v>
      </c>
      <c r="E304" s="23">
        <v>2004</v>
      </c>
      <c r="F304" s="23">
        <v>2010</v>
      </c>
      <c r="G304" s="13" t="s">
        <v>151</v>
      </c>
      <c r="H304" s="13"/>
      <c r="I304" s="13" t="s">
        <v>79</v>
      </c>
      <c r="J304" s="31" t="s">
        <v>236</v>
      </c>
      <c r="K304" s="13"/>
      <c r="L304" s="15">
        <v>100</v>
      </c>
      <c r="M304" s="16" t="s">
        <v>41</v>
      </c>
      <c r="N304" s="13" t="s">
        <v>99</v>
      </c>
      <c r="O304" s="14" t="s">
        <v>448</v>
      </c>
      <c r="P304" s="12">
        <f>IF(Q304="", 0, 1)</f>
        <v>1</v>
      </c>
      <c r="Q304" s="12">
        <v>1647</v>
      </c>
      <c r="R304" s="17"/>
      <c r="S304" s="17"/>
      <c r="T304" s="17">
        <v>19</v>
      </c>
      <c r="U304" s="17">
        <v>13</v>
      </c>
      <c r="V304" s="17">
        <v>28</v>
      </c>
      <c r="W304" s="17"/>
      <c r="X304" s="17"/>
      <c r="Y304" s="17"/>
      <c r="Z304" s="17" t="str">
        <f>IF(T304="", "mean", "med")</f>
        <v>med</v>
      </c>
      <c r="AA304" s="17">
        <f>IF(T304="", R304, T304)</f>
        <v>19</v>
      </c>
      <c r="AB304" s="12">
        <f>IF(AC304="", 0, 1)</f>
        <v>0</v>
      </c>
      <c r="AC304" s="13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>
        <f>IF(AO304="", 0, 1)</f>
        <v>0</v>
      </c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49" t="s">
        <v>52</v>
      </c>
      <c r="BA304" s="49" t="str">
        <f>IF(AZ304="high","high","lower")</f>
        <v>high</v>
      </c>
      <c r="BB304" s="47"/>
      <c r="BC304" s="49"/>
      <c r="BD304" s="49"/>
      <c r="BE304" s="49"/>
      <c r="BF304" s="49"/>
      <c r="BG304" s="18" t="s">
        <v>1030</v>
      </c>
      <c r="BH304" s="18" t="s">
        <v>1031</v>
      </c>
    </row>
    <row r="305" spans="1:60" ht="15.75" customHeight="1" x14ac:dyDescent="0.2">
      <c r="A305" s="11">
        <v>304</v>
      </c>
      <c r="B305" s="12">
        <v>3029</v>
      </c>
      <c r="C305" s="13" t="s">
        <v>453</v>
      </c>
      <c r="D305" s="14" t="s">
        <v>455</v>
      </c>
      <c r="E305" s="23">
        <v>2004</v>
      </c>
      <c r="F305" s="23">
        <v>2010</v>
      </c>
      <c r="G305" s="13" t="s">
        <v>151</v>
      </c>
      <c r="H305" s="13"/>
      <c r="I305" s="13" t="s">
        <v>79</v>
      </c>
      <c r="J305" s="31" t="s">
        <v>236</v>
      </c>
      <c r="K305" s="14"/>
      <c r="L305" s="15">
        <v>0</v>
      </c>
      <c r="M305" s="16" t="s">
        <v>41</v>
      </c>
      <c r="N305" s="13" t="s">
        <v>99</v>
      </c>
      <c r="O305" s="13" t="s">
        <v>448</v>
      </c>
      <c r="P305" s="12">
        <f>IF(Q305="", 0, 1)</f>
        <v>1</v>
      </c>
      <c r="Q305" s="12">
        <v>17030</v>
      </c>
      <c r="R305" s="17"/>
      <c r="S305" s="17"/>
      <c r="T305" s="17">
        <v>19</v>
      </c>
      <c r="U305" s="17">
        <v>13</v>
      </c>
      <c r="V305" s="17">
        <v>27</v>
      </c>
      <c r="W305" s="17"/>
      <c r="X305" s="17"/>
      <c r="Y305" s="17"/>
      <c r="Z305" s="17" t="str">
        <f>IF(T305="", "mean", "med")</f>
        <v>med</v>
      </c>
      <c r="AA305" s="17">
        <f>IF(T305="", R305, T305)</f>
        <v>19</v>
      </c>
      <c r="AB305" s="12">
        <f>IF(AC305="", 0, 1)</f>
        <v>0</v>
      </c>
      <c r="AC305" s="13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>
        <f>IF(AO305="", 0, 1)</f>
        <v>0</v>
      </c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49" t="s">
        <v>52</v>
      </c>
      <c r="BA305" s="49" t="str">
        <f>IF(AZ305="high","high","lower")</f>
        <v>high</v>
      </c>
      <c r="BB305" s="47"/>
      <c r="BC305" s="49"/>
      <c r="BD305" s="49"/>
      <c r="BE305" s="49"/>
      <c r="BF305" s="49"/>
      <c r="BG305" s="18" t="s">
        <v>1030</v>
      </c>
      <c r="BH305" s="18" t="s">
        <v>1031</v>
      </c>
    </row>
    <row r="306" spans="1:60" ht="15.75" customHeight="1" x14ac:dyDescent="0.2">
      <c r="A306" s="11">
        <v>305</v>
      </c>
      <c r="B306" s="22">
        <v>3030</v>
      </c>
      <c r="C306" s="13" t="s">
        <v>453</v>
      </c>
      <c r="D306" s="13" t="s">
        <v>38</v>
      </c>
      <c r="E306" s="23">
        <v>2005</v>
      </c>
      <c r="F306" s="23">
        <v>2017</v>
      </c>
      <c r="G306" s="13" t="s">
        <v>49</v>
      </c>
      <c r="H306" s="13"/>
      <c r="I306" s="14" t="s">
        <v>79</v>
      </c>
      <c r="J306" s="13" t="s">
        <v>79</v>
      </c>
      <c r="K306" s="31"/>
      <c r="L306" s="15">
        <v>27.4</v>
      </c>
      <c r="M306" s="16">
        <v>60.8</v>
      </c>
      <c r="N306" s="13" t="s">
        <v>42</v>
      </c>
      <c r="O306" s="42" t="s">
        <v>456</v>
      </c>
      <c r="P306" s="12">
        <f>IF(Q306="", 0, 1)</f>
        <v>1</v>
      </c>
      <c r="Q306" s="12">
        <v>956</v>
      </c>
      <c r="R306" s="17"/>
      <c r="S306" s="17"/>
      <c r="T306" s="17">
        <v>40</v>
      </c>
      <c r="U306" s="17">
        <v>28</v>
      </c>
      <c r="V306" s="17">
        <v>56</v>
      </c>
      <c r="W306" s="17"/>
      <c r="X306" s="17"/>
      <c r="Y306" s="17"/>
      <c r="Z306" s="17" t="str">
        <f>IF(T306="", "mean", "med")</f>
        <v>med</v>
      </c>
      <c r="AA306" s="17">
        <f>IF(T306="", R306, T306)</f>
        <v>40</v>
      </c>
      <c r="AB306" s="12">
        <f>IF(AC306="", 0, 1)</f>
        <v>0</v>
      </c>
      <c r="AC306" s="13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>
        <f>IF(AO306="", 0, 1)</f>
        <v>0</v>
      </c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 t="s">
        <v>52</v>
      </c>
      <c r="BA306" s="12" t="str">
        <f>IF(AZ306="high","high","lower")</f>
        <v>high</v>
      </c>
      <c r="BB306" s="49">
        <v>0.91500000000000004</v>
      </c>
      <c r="BC306" s="12">
        <v>84</v>
      </c>
      <c r="BD306" s="12">
        <v>88</v>
      </c>
      <c r="BE306" s="12">
        <v>100</v>
      </c>
      <c r="BF306" s="12">
        <v>84.2</v>
      </c>
      <c r="BG306" s="18" t="s">
        <v>1030</v>
      </c>
      <c r="BH306" s="18" t="s">
        <v>1031</v>
      </c>
    </row>
    <row r="307" spans="1:60" ht="15.75" customHeight="1" x14ac:dyDescent="0.2">
      <c r="A307" s="11">
        <v>306</v>
      </c>
      <c r="B307" s="12">
        <v>3037</v>
      </c>
      <c r="C307" s="13" t="s">
        <v>457</v>
      </c>
      <c r="D307" s="13" t="s">
        <v>458</v>
      </c>
      <c r="E307" s="23">
        <v>2006</v>
      </c>
      <c r="F307" s="23">
        <v>2008</v>
      </c>
      <c r="G307" s="13" t="s">
        <v>77</v>
      </c>
      <c r="H307" s="13"/>
      <c r="I307" s="31" t="s">
        <v>104</v>
      </c>
      <c r="J307" s="13" t="s">
        <v>206</v>
      </c>
      <c r="K307" s="13"/>
      <c r="L307" s="19">
        <v>100</v>
      </c>
      <c r="M307" s="20">
        <v>63.9</v>
      </c>
      <c r="N307" s="13" t="s">
        <v>42</v>
      </c>
      <c r="O307" s="13"/>
      <c r="P307" s="12">
        <f>IF(Q307="", 0, 1)</f>
        <v>0</v>
      </c>
      <c r="Q307" s="22"/>
      <c r="R307" s="21"/>
      <c r="S307" s="17"/>
      <c r="T307" s="17"/>
      <c r="U307" s="17"/>
      <c r="V307" s="17"/>
      <c r="W307" s="17"/>
      <c r="X307" s="17"/>
      <c r="Y307" s="17"/>
      <c r="Z307" s="17"/>
      <c r="AA307" s="17"/>
      <c r="AB307" s="12">
        <f>IF(AC307="", 0, 1)</f>
        <v>1</v>
      </c>
      <c r="AC307" s="13">
        <v>24</v>
      </c>
      <c r="AD307" s="12"/>
      <c r="AE307" s="12"/>
      <c r="AF307" s="12">
        <v>135</v>
      </c>
      <c r="AG307" s="12">
        <v>48</v>
      </c>
      <c r="AH307" s="12">
        <v>315</v>
      </c>
      <c r="AI307" s="12"/>
      <c r="AJ307" s="12"/>
      <c r="AK307" s="12"/>
      <c r="AL307" s="12" t="str">
        <f>IF(AF307="", "mean", "med")</f>
        <v>med</v>
      </c>
      <c r="AM307" s="12">
        <f>IF(AF307="", AD307, AF307)</f>
        <v>135</v>
      </c>
      <c r="AN307" s="12">
        <f>IF(AO307="", 0, 1)</f>
        <v>1</v>
      </c>
      <c r="AO307" s="12">
        <v>21</v>
      </c>
      <c r="AP307" s="12"/>
      <c r="AQ307" s="12"/>
      <c r="AR307" s="12">
        <v>90</v>
      </c>
      <c r="AS307" s="12">
        <v>9</v>
      </c>
      <c r="AT307" s="12">
        <f>5.9*30</f>
        <v>177</v>
      </c>
      <c r="AU307" s="12"/>
      <c r="AV307" s="12"/>
      <c r="AW307" s="12"/>
      <c r="AX307" s="12" t="str">
        <f>IF(AR307="", "mean", "med")</f>
        <v>med</v>
      </c>
      <c r="AY307" s="12">
        <f>IF(AR307="", AP307, AR307)</f>
        <v>90</v>
      </c>
      <c r="AZ307" s="12" t="s">
        <v>52</v>
      </c>
      <c r="BA307" s="12" t="str">
        <f>IF(AZ307="high","high","lower")</f>
        <v>high</v>
      </c>
      <c r="BB307" s="49">
        <v>0.89900000000000002</v>
      </c>
      <c r="BC307" s="12">
        <v>85.3</v>
      </c>
      <c r="BD307" s="12">
        <v>96.3</v>
      </c>
      <c r="BE307" s="12">
        <v>91.7</v>
      </c>
      <c r="BF307" s="12">
        <v>80</v>
      </c>
      <c r="BG307" s="18" t="s">
        <v>1030</v>
      </c>
      <c r="BH307" s="18" t="s">
        <v>1031</v>
      </c>
    </row>
    <row r="308" spans="1:60" ht="15.75" customHeight="1" x14ac:dyDescent="0.2">
      <c r="A308" s="11">
        <v>307</v>
      </c>
      <c r="B308" s="12">
        <v>3037</v>
      </c>
      <c r="C308" s="13" t="s">
        <v>457</v>
      </c>
      <c r="D308" s="13" t="s">
        <v>459</v>
      </c>
      <c r="E308" s="23">
        <v>2006</v>
      </c>
      <c r="F308" s="23">
        <v>2008</v>
      </c>
      <c r="G308" s="13" t="s">
        <v>77</v>
      </c>
      <c r="H308" s="13"/>
      <c r="I308" s="31" t="s">
        <v>104</v>
      </c>
      <c r="J308" s="13" t="s">
        <v>206</v>
      </c>
      <c r="K308" s="14"/>
      <c r="L308" s="19">
        <v>100</v>
      </c>
      <c r="M308" s="45" t="s">
        <v>41</v>
      </c>
      <c r="N308" s="13" t="s">
        <v>42</v>
      </c>
      <c r="O308" s="13"/>
      <c r="P308" s="12">
        <f>IF(Q308="", 0, 1)</f>
        <v>0</v>
      </c>
      <c r="Q308" s="22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2">
        <f>IF(AC308="", 0, 1)</f>
        <v>1</v>
      </c>
      <c r="AC308" s="13">
        <v>158</v>
      </c>
      <c r="AD308" s="12"/>
      <c r="AE308" s="12"/>
      <c r="AF308" s="12">
        <v>108</v>
      </c>
      <c r="AG308" s="12">
        <v>57</v>
      </c>
      <c r="AH308" s="12">
        <v>276</v>
      </c>
      <c r="AI308" s="12"/>
      <c r="AJ308" s="12"/>
      <c r="AK308" s="12"/>
      <c r="AL308" s="12" t="str">
        <f>IF(AF308="", "mean", "med")</f>
        <v>med</v>
      </c>
      <c r="AM308" s="12">
        <f>IF(AF308="", AD308, AF308)</f>
        <v>108</v>
      </c>
      <c r="AN308" s="12">
        <f>IF(AO308="", 0, 1)</f>
        <v>1</v>
      </c>
      <c r="AO308" s="12">
        <v>139</v>
      </c>
      <c r="AP308" s="12"/>
      <c r="AQ308" s="12"/>
      <c r="AR308" s="12">
        <v>30</v>
      </c>
      <c r="AS308" s="12">
        <v>9</v>
      </c>
      <c r="AT308" s="12">
        <v>147</v>
      </c>
      <c r="AU308" s="12"/>
      <c r="AV308" s="12"/>
      <c r="AW308" s="12"/>
      <c r="AX308" s="12" t="str">
        <f>IF(AR308="", "mean", "med")</f>
        <v>med</v>
      </c>
      <c r="AY308" s="12">
        <f>IF(AR308="", AP308, AR308)</f>
        <v>30</v>
      </c>
      <c r="AZ308" s="12" t="s">
        <v>52</v>
      </c>
      <c r="BA308" s="12" t="str">
        <f>IF(AZ308="high","high","lower")</f>
        <v>high</v>
      </c>
      <c r="BB308" s="49">
        <v>0.89900000000000002</v>
      </c>
      <c r="BC308" s="12">
        <v>85.3</v>
      </c>
      <c r="BD308" s="12">
        <v>96.3</v>
      </c>
      <c r="BE308" s="12">
        <v>91.7</v>
      </c>
      <c r="BF308" s="12">
        <v>80</v>
      </c>
      <c r="BG308" s="18" t="s">
        <v>1030</v>
      </c>
      <c r="BH308" s="18" t="s">
        <v>1031</v>
      </c>
    </row>
    <row r="309" spans="1:60" ht="15.75" customHeight="1" x14ac:dyDescent="0.2">
      <c r="A309" s="11">
        <v>308</v>
      </c>
      <c r="B309" s="12">
        <v>3058</v>
      </c>
      <c r="C309" s="13" t="s">
        <v>460</v>
      </c>
      <c r="D309" s="13" t="s">
        <v>38</v>
      </c>
      <c r="E309" s="23">
        <v>2010</v>
      </c>
      <c r="F309" s="23">
        <v>2013</v>
      </c>
      <c r="G309" s="13" t="s">
        <v>158</v>
      </c>
      <c r="H309" s="13"/>
      <c r="I309" s="13" t="s">
        <v>40</v>
      </c>
      <c r="J309" s="13" t="s">
        <v>40</v>
      </c>
      <c r="K309" s="13"/>
      <c r="L309" s="15">
        <v>100</v>
      </c>
      <c r="M309" s="16">
        <v>57</v>
      </c>
      <c r="N309" s="13" t="s">
        <v>42</v>
      </c>
      <c r="O309" s="14" t="s">
        <v>461</v>
      </c>
      <c r="P309" s="12">
        <f>IF(Q309="", 0, 1)</f>
        <v>1</v>
      </c>
      <c r="Q309" s="22">
        <v>715</v>
      </c>
      <c r="R309" s="17">
        <v>67.8</v>
      </c>
      <c r="S309" s="17"/>
      <c r="T309" s="17">
        <v>55</v>
      </c>
      <c r="U309" s="17"/>
      <c r="V309" s="17"/>
      <c r="W309" s="17"/>
      <c r="X309" s="17"/>
      <c r="Y309" s="17"/>
      <c r="Z309" s="17" t="str">
        <f>IF(T309="", "mean", "med")</f>
        <v>med</v>
      </c>
      <c r="AA309" s="17">
        <f>IF(T309="", R309, T309)</f>
        <v>55</v>
      </c>
      <c r="AB309" s="12">
        <f>IF(AC309="", 0, 1)</f>
        <v>0</v>
      </c>
      <c r="AC309" s="13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>
        <f>IF(AO309="", 0, 1)</f>
        <v>0</v>
      </c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 t="s">
        <v>43</v>
      </c>
      <c r="BA309" s="12" t="str">
        <f>IF(AZ309="high","high","lower")</f>
        <v>lower</v>
      </c>
      <c r="BB309" s="49">
        <v>0.73699999999999999</v>
      </c>
      <c r="BC309" s="12">
        <v>82.2</v>
      </c>
      <c r="BD309" s="12">
        <v>94.4</v>
      </c>
      <c r="BE309" s="12">
        <v>83.3</v>
      </c>
      <c r="BF309" s="12">
        <v>84.1</v>
      </c>
      <c r="BG309" s="18" t="s">
        <v>1030</v>
      </c>
      <c r="BH309" s="18" t="s">
        <v>1031</v>
      </c>
    </row>
    <row r="310" spans="1:60" ht="15.75" customHeight="1" x14ac:dyDescent="0.2">
      <c r="A310" s="11">
        <v>309</v>
      </c>
      <c r="B310" s="22">
        <v>3066</v>
      </c>
      <c r="C310" s="13" t="s">
        <v>462</v>
      </c>
      <c r="D310" s="14" t="s">
        <v>224</v>
      </c>
      <c r="E310" s="23">
        <v>2018</v>
      </c>
      <c r="F310" s="23">
        <v>2019</v>
      </c>
      <c r="G310" s="13" t="s">
        <v>145</v>
      </c>
      <c r="H310" s="13"/>
      <c r="I310" s="13" t="s">
        <v>54</v>
      </c>
      <c r="J310" s="13" t="s">
        <v>229</v>
      </c>
      <c r="K310" s="14" t="s">
        <v>224</v>
      </c>
      <c r="L310" s="19" t="s">
        <v>41</v>
      </c>
      <c r="M310" s="20" t="s">
        <v>41</v>
      </c>
      <c r="N310" s="13" t="s">
        <v>42</v>
      </c>
      <c r="O310" s="13" t="s">
        <v>41</v>
      </c>
      <c r="P310" s="12">
        <f>IF(Q310="", 0, 1)</f>
        <v>1</v>
      </c>
      <c r="Q310" s="12">
        <v>124</v>
      </c>
      <c r="R310" s="17">
        <f>4.5*7</f>
        <v>31.5</v>
      </c>
      <c r="S310" s="17"/>
      <c r="T310" s="17">
        <f>4*7</f>
        <v>28</v>
      </c>
      <c r="U310" s="17"/>
      <c r="V310" s="17"/>
      <c r="W310" s="17"/>
      <c r="X310" s="17">
        <v>7</v>
      </c>
      <c r="Y310" s="17">
        <f>16*7</f>
        <v>112</v>
      </c>
      <c r="Z310" s="17" t="str">
        <f>IF(T310="", "mean", "med")</f>
        <v>med</v>
      </c>
      <c r="AA310" s="17">
        <f>IF(T310="", R310, T310)</f>
        <v>28</v>
      </c>
      <c r="AB310" s="12">
        <f>IF(AC310="", 0, 1)</f>
        <v>0</v>
      </c>
      <c r="AC310" s="13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>
        <f>IF(AO310="", 0, 1)</f>
        <v>1</v>
      </c>
      <c r="AO310" s="22">
        <v>124</v>
      </c>
      <c r="AP310" s="12">
        <f>6.5*7</f>
        <v>45.5</v>
      </c>
      <c r="AQ310" s="12"/>
      <c r="AR310" s="22">
        <f>4.75*7</f>
        <v>33.25</v>
      </c>
      <c r="AS310" s="12"/>
      <c r="AT310" s="12"/>
      <c r="AU310" s="12"/>
      <c r="AV310" s="12">
        <v>7</v>
      </c>
      <c r="AW310" s="12">
        <f>24*7</f>
        <v>168</v>
      </c>
      <c r="AX310" s="12" t="str">
        <f>IF(AR310="", "mean", "med")</f>
        <v>med</v>
      </c>
      <c r="AY310" s="12">
        <f>IF(AR310="", AP310, AR310)</f>
        <v>33.25</v>
      </c>
      <c r="AZ310" s="12" t="s">
        <v>46</v>
      </c>
      <c r="BA310" s="12" t="str">
        <f>IF(AZ310="high","high","lower")</f>
        <v>lower</v>
      </c>
      <c r="BB310" s="49">
        <v>0.64400000000000002</v>
      </c>
      <c r="BC310" s="12">
        <v>64.900000000000006</v>
      </c>
      <c r="BD310" s="12">
        <v>80.8</v>
      </c>
      <c r="BE310" s="12">
        <v>58.3</v>
      </c>
      <c r="BF310" s="12">
        <v>61.3</v>
      </c>
      <c r="BG310" s="18" t="s">
        <v>1030</v>
      </c>
      <c r="BH310" s="18" t="s">
        <v>1031</v>
      </c>
    </row>
    <row r="311" spans="1:60" ht="15.75" customHeight="1" x14ac:dyDescent="0.2">
      <c r="A311" s="11">
        <v>310</v>
      </c>
      <c r="B311" s="22">
        <v>3066</v>
      </c>
      <c r="C311" s="13" t="s">
        <v>462</v>
      </c>
      <c r="D311" s="13" t="s">
        <v>226</v>
      </c>
      <c r="E311" s="23">
        <v>2018</v>
      </c>
      <c r="F311" s="23">
        <v>2019</v>
      </c>
      <c r="G311" s="13" t="s">
        <v>145</v>
      </c>
      <c r="H311" s="13"/>
      <c r="I311" s="13" t="s">
        <v>54</v>
      </c>
      <c r="J311" s="13" t="s">
        <v>226</v>
      </c>
      <c r="K311" s="13"/>
      <c r="L311" s="15" t="s">
        <v>41</v>
      </c>
      <c r="M311" s="16" t="s">
        <v>41</v>
      </c>
      <c r="N311" s="13" t="s">
        <v>42</v>
      </c>
      <c r="O311" s="13" t="s">
        <v>41</v>
      </c>
      <c r="P311" s="12">
        <f>IF(Q311="", 0, 1)</f>
        <v>1</v>
      </c>
      <c r="Q311" s="12">
        <v>52</v>
      </c>
      <c r="R311" s="17">
        <f>4.1*7</f>
        <v>28.699999999999996</v>
      </c>
      <c r="S311" s="17"/>
      <c r="T311" s="17">
        <f>2*7</f>
        <v>14</v>
      </c>
      <c r="U311" s="17"/>
      <c r="V311" s="17"/>
      <c r="W311" s="17"/>
      <c r="X311" s="17">
        <f>0.5*7</f>
        <v>3.5</v>
      </c>
      <c r="Y311" s="17">
        <f>20*7</f>
        <v>140</v>
      </c>
      <c r="Z311" s="17" t="str">
        <f>IF(T311="", "mean", "med")</f>
        <v>med</v>
      </c>
      <c r="AA311" s="17">
        <f>IF(T311="", R311, T311)</f>
        <v>14</v>
      </c>
      <c r="AB311" s="12">
        <f>IF(AC311="", 0, 1)</f>
        <v>0</v>
      </c>
      <c r="AC311" s="13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>
        <f>IF(AO311="", 0, 1)</f>
        <v>1</v>
      </c>
      <c r="AO311" s="12">
        <v>52</v>
      </c>
      <c r="AP311" s="12">
        <f>8.14*7</f>
        <v>56.980000000000004</v>
      </c>
      <c r="AQ311" s="12"/>
      <c r="AR311" s="12">
        <f>6.5*7</f>
        <v>45.5</v>
      </c>
      <c r="AS311" s="12"/>
      <c r="AT311" s="12"/>
      <c r="AU311" s="12"/>
      <c r="AV311" s="12">
        <f>7</f>
        <v>7</v>
      </c>
      <c r="AW311" s="12">
        <f>24*7</f>
        <v>168</v>
      </c>
      <c r="AX311" s="12" t="str">
        <f>IF(AR311="", "mean", "med")</f>
        <v>med</v>
      </c>
      <c r="AY311" s="12">
        <f>IF(AR311="", AP311, AR311)</f>
        <v>45.5</v>
      </c>
      <c r="AZ311" s="12" t="s">
        <v>46</v>
      </c>
      <c r="BA311" s="12" t="str">
        <f>IF(AZ311="high","high","lower")</f>
        <v>lower</v>
      </c>
      <c r="BB311" s="49">
        <v>0.64400000000000002</v>
      </c>
      <c r="BC311" s="12">
        <v>64.900000000000006</v>
      </c>
      <c r="BD311" s="12">
        <v>80.8</v>
      </c>
      <c r="BE311" s="12">
        <v>58.3</v>
      </c>
      <c r="BF311" s="12">
        <v>61.3</v>
      </c>
      <c r="BG311" s="18" t="s">
        <v>1030</v>
      </c>
      <c r="BH311" s="18" t="s">
        <v>1031</v>
      </c>
    </row>
    <row r="312" spans="1:60" ht="15.75" customHeight="1" x14ac:dyDescent="0.2">
      <c r="A312" s="11">
        <v>311</v>
      </c>
      <c r="B312" s="51">
        <v>3098</v>
      </c>
      <c r="C312" s="13" t="s">
        <v>463</v>
      </c>
      <c r="D312" s="13" t="s">
        <v>105</v>
      </c>
      <c r="E312" s="23">
        <v>2009</v>
      </c>
      <c r="F312" s="23">
        <v>2010</v>
      </c>
      <c r="G312" s="13" t="s">
        <v>77</v>
      </c>
      <c r="H312" s="13"/>
      <c r="I312" s="31" t="s">
        <v>104</v>
      </c>
      <c r="J312" s="13" t="s">
        <v>105</v>
      </c>
      <c r="K312" s="13"/>
      <c r="L312" s="19" t="s">
        <v>41</v>
      </c>
      <c r="M312" s="16" t="s">
        <v>41</v>
      </c>
      <c r="N312" s="13" t="s">
        <v>50</v>
      </c>
      <c r="O312" s="13"/>
      <c r="P312" s="12">
        <f>IF(Q312="", 0, 1)</f>
        <v>0</v>
      </c>
      <c r="Q312" s="22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2">
        <f>IF(AC312="", 0, 1)</f>
        <v>0</v>
      </c>
      <c r="AC312" s="13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>
        <f>IF(AO312="", 0, 1)</f>
        <v>1</v>
      </c>
      <c r="AO312" s="12">
        <v>97</v>
      </c>
      <c r="AP312" s="12">
        <v>77</v>
      </c>
      <c r="AQ312" s="12"/>
      <c r="AR312" s="12">
        <v>25</v>
      </c>
      <c r="AS312" s="12">
        <v>2</v>
      </c>
      <c r="AT312" s="12">
        <v>92</v>
      </c>
      <c r="AU312" s="12"/>
      <c r="AV312" s="12"/>
      <c r="AW312" s="12"/>
      <c r="AX312" s="12" t="str">
        <f>IF(AR312="", "mean", "med")</f>
        <v>med</v>
      </c>
      <c r="AY312" s="12">
        <f>IF(AR312="", AP312, AR312)</f>
        <v>25</v>
      </c>
      <c r="AZ312" s="12" t="s">
        <v>52</v>
      </c>
      <c r="BA312" s="12" t="str">
        <f>IF(AZ312="high","high","lower")</f>
        <v>high</v>
      </c>
      <c r="BB312" s="49">
        <v>0.90900000000000003</v>
      </c>
      <c r="BC312" s="12">
        <v>85.3</v>
      </c>
      <c r="BD312" s="12">
        <v>96.3</v>
      </c>
      <c r="BE312" s="12">
        <v>91.7</v>
      </c>
      <c r="BF312" s="12">
        <v>80</v>
      </c>
      <c r="BG312" s="18" t="s">
        <v>1034</v>
      </c>
      <c r="BH312" s="18" t="s">
        <v>1031</v>
      </c>
    </row>
    <row r="313" spans="1:60" ht="15.75" customHeight="1" x14ac:dyDescent="0.2">
      <c r="A313" s="11">
        <v>312</v>
      </c>
      <c r="B313" s="51">
        <v>3098</v>
      </c>
      <c r="C313" s="13" t="s">
        <v>463</v>
      </c>
      <c r="D313" s="13" t="s">
        <v>464</v>
      </c>
      <c r="E313" s="23">
        <v>2009</v>
      </c>
      <c r="F313" s="23">
        <v>2010</v>
      </c>
      <c r="G313" s="13" t="s">
        <v>77</v>
      </c>
      <c r="H313" s="13"/>
      <c r="I313" s="13" t="s">
        <v>54</v>
      </c>
      <c r="J313" s="13" t="s">
        <v>229</v>
      </c>
      <c r="K313" s="13" t="s">
        <v>464</v>
      </c>
      <c r="L313" s="19" t="s">
        <v>41</v>
      </c>
      <c r="M313" s="16" t="s">
        <v>41</v>
      </c>
      <c r="N313" s="13" t="s">
        <v>50</v>
      </c>
      <c r="O313" s="14"/>
      <c r="P313" s="12">
        <f>IF(Q313="", 0, 1)</f>
        <v>0</v>
      </c>
      <c r="Q313" s="22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2">
        <f>IF(AC313="", 0, 1)</f>
        <v>0</v>
      </c>
      <c r="AC313" s="13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>
        <f>IF(AO313="", 0, 1)</f>
        <v>1</v>
      </c>
      <c r="AO313" s="12">
        <v>40</v>
      </c>
      <c r="AP313" s="12">
        <v>34</v>
      </c>
      <c r="AQ313" s="12"/>
      <c r="AR313" s="12">
        <v>4.5</v>
      </c>
      <c r="AS313" s="12">
        <v>0</v>
      </c>
      <c r="AT313" s="12">
        <v>15.5</v>
      </c>
      <c r="AU313" s="12"/>
      <c r="AV313" s="12"/>
      <c r="AW313" s="12"/>
      <c r="AX313" s="12" t="str">
        <f>IF(AR313="", "mean", "med")</f>
        <v>med</v>
      </c>
      <c r="AY313" s="12">
        <f>IF(AR313="", AP313, AR313)</f>
        <v>4.5</v>
      </c>
      <c r="AZ313" s="12" t="s">
        <v>52</v>
      </c>
      <c r="BA313" s="12" t="str">
        <f>IF(AZ313="high","high","lower")</f>
        <v>high</v>
      </c>
      <c r="BB313" s="49">
        <v>0.90900000000000003</v>
      </c>
      <c r="BC313" s="12">
        <v>85.3</v>
      </c>
      <c r="BD313" s="12">
        <v>96.3</v>
      </c>
      <c r="BE313" s="12">
        <v>91.7</v>
      </c>
      <c r="BF313" s="12">
        <v>80</v>
      </c>
      <c r="BG313" s="18" t="s">
        <v>1034</v>
      </c>
      <c r="BH313" s="18" t="s">
        <v>1031</v>
      </c>
    </row>
    <row r="314" spans="1:60" ht="15.75" customHeight="1" x14ac:dyDescent="0.2">
      <c r="A314" s="11">
        <v>313</v>
      </c>
      <c r="B314" s="51">
        <v>3098</v>
      </c>
      <c r="C314" s="13" t="s">
        <v>463</v>
      </c>
      <c r="D314" s="13" t="s">
        <v>234</v>
      </c>
      <c r="E314" s="23">
        <v>2009</v>
      </c>
      <c r="F314" s="23">
        <v>2010</v>
      </c>
      <c r="G314" s="13" t="s">
        <v>77</v>
      </c>
      <c r="H314" s="13"/>
      <c r="I314" s="13" t="s">
        <v>79</v>
      </c>
      <c r="J314" s="13" t="s">
        <v>234</v>
      </c>
      <c r="K314" s="13"/>
      <c r="L314" s="19" t="s">
        <v>41</v>
      </c>
      <c r="M314" s="16" t="s">
        <v>41</v>
      </c>
      <c r="N314" s="13" t="s">
        <v>50</v>
      </c>
      <c r="O314" s="14"/>
      <c r="P314" s="12">
        <f>IF(Q314="", 0, 1)</f>
        <v>0</v>
      </c>
      <c r="Q314" s="22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2">
        <f>IF(AC314="", 0, 1)</f>
        <v>0</v>
      </c>
      <c r="AC314" s="13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>
        <f>IF(AO314="", 0, 1)</f>
        <v>1</v>
      </c>
      <c r="AO314" s="12">
        <v>94</v>
      </c>
      <c r="AP314" s="12">
        <v>68</v>
      </c>
      <c r="AQ314" s="12"/>
      <c r="AR314" s="12">
        <v>34.5</v>
      </c>
      <c r="AS314" s="12">
        <v>12</v>
      </c>
      <c r="AT314" s="12">
        <v>78</v>
      </c>
      <c r="AU314" s="12"/>
      <c r="AV314" s="12"/>
      <c r="AW314" s="12"/>
      <c r="AX314" s="12" t="str">
        <f>IF(AR314="", "mean", "med")</f>
        <v>med</v>
      </c>
      <c r="AY314" s="12">
        <f>IF(AR314="", AP314, AR314)</f>
        <v>34.5</v>
      </c>
      <c r="AZ314" s="12" t="s">
        <v>52</v>
      </c>
      <c r="BA314" s="12" t="str">
        <f>IF(AZ314="high","high","lower")</f>
        <v>high</v>
      </c>
      <c r="BB314" s="49">
        <v>0.90900000000000003</v>
      </c>
      <c r="BC314" s="12">
        <v>85.3</v>
      </c>
      <c r="BD314" s="12">
        <v>96.3</v>
      </c>
      <c r="BE314" s="12">
        <v>91.7</v>
      </c>
      <c r="BF314" s="12">
        <v>80</v>
      </c>
      <c r="BG314" s="18" t="s">
        <v>1034</v>
      </c>
      <c r="BH314" s="18" t="s">
        <v>1031</v>
      </c>
    </row>
    <row r="315" spans="1:60" ht="15.75" customHeight="1" x14ac:dyDescent="0.2">
      <c r="A315" s="11">
        <v>314</v>
      </c>
      <c r="B315" s="51">
        <v>3098</v>
      </c>
      <c r="C315" s="13" t="s">
        <v>463</v>
      </c>
      <c r="D315" s="13" t="s">
        <v>465</v>
      </c>
      <c r="E315" s="23">
        <v>2009</v>
      </c>
      <c r="F315" s="23">
        <v>2010</v>
      </c>
      <c r="G315" s="13" t="s">
        <v>77</v>
      </c>
      <c r="H315" s="13"/>
      <c r="I315" s="13" t="s">
        <v>57</v>
      </c>
      <c r="J315" s="13" t="s">
        <v>465</v>
      </c>
      <c r="K315" s="13"/>
      <c r="L315" s="15" t="s">
        <v>41</v>
      </c>
      <c r="M315" s="16" t="s">
        <v>41</v>
      </c>
      <c r="N315" s="13" t="s">
        <v>50</v>
      </c>
      <c r="O315" s="13"/>
      <c r="P315" s="12">
        <f>IF(Q315="", 0, 1)</f>
        <v>0</v>
      </c>
      <c r="Q315" s="12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2">
        <f>IF(AC315="", 0, 1)</f>
        <v>0</v>
      </c>
      <c r="AC315" s="13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>
        <f>IF(AO315="", 0, 1)</f>
        <v>1</v>
      </c>
      <c r="AO315" s="12">
        <v>57</v>
      </c>
      <c r="AP315" s="12">
        <v>42</v>
      </c>
      <c r="AQ315" s="12"/>
      <c r="AR315" s="12">
        <v>17</v>
      </c>
      <c r="AS315" s="12">
        <v>3</v>
      </c>
      <c r="AT315" s="12">
        <v>34</v>
      </c>
      <c r="AU315" s="12"/>
      <c r="AV315" s="12"/>
      <c r="AW315" s="12"/>
      <c r="AX315" s="12" t="str">
        <f>IF(AR315="", "mean", "med")</f>
        <v>med</v>
      </c>
      <c r="AY315" s="12">
        <f>IF(AR315="", AP315, AR315)</f>
        <v>17</v>
      </c>
      <c r="AZ315" s="12" t="s">
        <v>52</v>
      </c>
      <c r="BA315" s="12" t="str">
        <f>IF(AZ315="high","high","lower")</f>
        <v>high</v>
      </c>
      <c r="BB315" s="49">
        <v>0.90900000000000003</v>
      </c>
      <c r="BC315" s="12">
        <v>85.3</v>
      </c>
      <c r="BD315" s="12">
        <v>96.3</v>
      </c>
      <c r="BE315" s="12">
        <v>91.7</v>
      </c>
      <c r="BF315" s="12">
        <v>80</v>
      </c>
      <c r="BG315" s="18" t="s">
        <v>1034</v>
      </c>
      <c r="BH315" s="18" t="s">
        <v>1031</v>
      </c>
    </row>
    <row r="316" spans="1:60" ht="15.75" customHeight="1" x14ac:dyDescent="0.2">
      <c r="A316" s="11">
        <v>315</v>
      </c>
      <c r="B316" s="51">
        <v>3098</v>
      </c>
      <c r="C316" s="13" t="s">
        <v>463</v>
      </c>
      <c r="D316" s="13" t="s">
        <v>466</v>
      </c>
      <c r="E316" s="23">
        <v>2009</v>
      </c>
      <c r="F316" s="23">
        <v>2010</v>
      </c>
      <c r="G316" s="13" t="s">
        <v>77</v>
      </c>
      <c r="H316" s="13"/>
      <c r="I316" s="31" t="s">
        <v>467</v>
      </c>
      <c r="J316" s="13" t="s">
        <v>466</v>
      </c>
      <c r="K316" s="13"/>
      <c r="L316" s="19" t="s">
        <v>41</v>
      </c>
      <c r="M316" s="16" t="s">
        <v>41</v>
      </c>
      <c r="N316" s="13" t="s">
        <v>50</v>
      </c>
      <c r="O316" s="14"/>
      <c r="P316" s="12">
        <f>IF(Q316="", 0, 1)</f>
        <v>0</v>
      </c>
      <c r="Q316" s="22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2">
        <f>IF(AC316="", 0, 1)</f>
        <v>0</v>
      </c>
      <c r="AC316" s="13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>
        <f>IF(AO316="", 0, 1)</f>
        <v>1</v>
      </c>
      <c r="AO316" s="12">
        <v>72</v>
      </c>
      <c r="AP316" s="12">
        <v>45</v>
      </c>
      <c r="AQ316" s="12"/>
      <c r="AR316" s="12">
        <v>13</v>
      </c>
      <c r="AS316" s="12">
        <v>0</v>
      </c>
      <c r="AT316" s="12">
        <v>56.5</v>
      </c>
      <c r="AU316" s="12"/>
      <c r="AV316" s="12"/>
      <c r="AW316" s="12"/>
      <c r="AX316" s="12" t="str">
        <f>IF(AR316="", "mean", "med")</f>
        <v>med</v>
      </c>
      <c r="AY316" s="12">
        <f>IF(AR316="", AP316, AR316)</f>
        <v>13</v>
      </c>
      <c r="AZ316" s="12" t="s">
        <v>52</v>
      </c>
      <c r="BA316" s="12" t="str">
        <f>IF(AZ316="high","high","lower")</f>
        <v>high</v>
      </c>
      <c r="BB316" s="49">
        <v>0.90900000000000003</v>
      </c>
      <c r="BC316" s="12">
        <v>85.3</v>
      </c>
      <c r="BD316" s="12">
        <v>96.3</v>
      </c>
      <c r="BE316" s="12">
        <v>91.7</v>
      </c>
      <c r="BF316" s="12">
        <v>80</v>
      </c>
      <c r="BG316" s="18" t="s">
        <v>1034</v>
      </c>
      <c r="BH316" s="18" t="s">
        <v>1031</v>
      </c>
    </row>
    <row r="317" spans="1:60" ht="15.75" customHeight="1" x14ac:dyDescent="0.2">
      <c r="A317" s="11">
        <v>316</v>
      </c>
      <c r="B317" s="51">
        <v>3098</v>
      </c>
      <c r="C317" s="13" t="s">
        <v>463</v>
      </c>
      <c r="D317" s="13" t="s">
        <v>154</v>
      </c>
      <c r="E317" s="23">
        <v>2009</v>
      </c>
      <c r="F317" s="23">
        <v>2010</v>
      </c>
      <c r="G317" s="13" t="s">
        <v>77</v>
      </c>
      <c r="H317" s="13"/>
      <c r="I317" s="13" t="s">
        <v>59</v>
      </c>
      <c r="J317" s="13" t="s">
        <v>154</v>
      </c>
      <c r="K317" s="13"/>
      <c r="L317" s="19" t="s">
        <v>41</v>
      </c>
      <c r="M317" s="20" t="s">
        <v>41</v>
      </c>
      <c r="N317" s="13" t="s">
        <v>50</v>
      </c>
      <c r="O317" s="13"/>
      <c r="P317" s="12">
        <f>IF(Q317="", 0, 1)</f>
        <v>0</v>
      </c>
      <c r="Q317" s="22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2">
        <f>IF(AC317="", 0, 1)</f>
        <v>0</v>
      </c>
      <c r="AC317" s="13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>
        <f>IF(AO317="", 0, 1)</f>
        <v>1</v>
      </c>
      <c r="AO317" s="12">
        <v>112</v>
      </c>
      <c r="AP317" s="12">
        <v>60</v>
      </c>
      <c r="AQ317" s="12"/>
      <c r="AR317" s="12">
        <v>12</v>
      </c>
      <c r="AS317" s="12">
        <v>2</v>
      </c>
      <c r="AT317" s="12">
        <v>67</v>
      </c>
      <c r="AU317" s="12"/>
      <c r="AV317" s="12"/>
      <c r="AW317" s="12"/>
      <c r="AX317" s="12" t="str">
        <f>IF(AR317="", "mean", "med")</f>
        <v>med</v>
      </c>
      <c r="AY317" s="12">
        <f>IF(AR317="", AP317, AR317)</f>
        <v>12</v>
      </c>
      <c r="AZ317" s="12" t="s">
        <v>52</v>
      </c>
      <c r="BA317" s="12" t="str">
        <f>IF(AZ317="high","high","lower")</f>
        <v>high</v>
      </c>
      <c r="BB317" s="49">
        <v>0.90900000000000003</v>
      </c>
      <c r="BC317" s="12">
        <v>85.3</v>
      </c>
      <c r="BD317" s="12">
        <v>96.3</v>
      </c>
      <c r="BE317" s="12">
        <v>91.7</v>
      </c>
      <c r="BF317" s="12">
        <v>80</v>
      </c>
      <c r="BG317" s="18" t="s">
        <v>1034</v>
      </c>
      <c r="BH317" s="18" t="s">
        <v>1031</v>
      </c>
    </row>
    <row r="318" spans="1:60" ht="15.75" customHeight="1" x14ac:dyDescent="0.2">
      <c r="A318" s="11">
        <v>317</v>
      </c>
      <c r="B318" s="51">
        <v>3098</v>
      </c>
      <c r="C318" s="13" t="s">
        <v>463</v>
      </c>
      <c r="D318" s="13" t="s">
        <v>364</v>
      </c>
      <c r="E318" s="23">
        <v>2009</v>
      </c>
      <c r="F318" s="23">
        <v>2010</v>
      </c>
      <c r="G318" s="13" t="s">
        <v>77</v>
      </c>
      <c r="H318" s="13"/>
      <c r="I318" s="13" t="s">
        <v>79</v>
      </c>
      <c r="J318" s="13" t="s">
        <v>364</v>
      </c>
      <c r="K318" s="13"/>
      <c r="L318" s="19" t="s">
        <v>41</v>
      </c>
      <c r="M318" s="16" t="s">
        <v>41</v>
      </c>
      <c r="N318" s="13" t="s">
        <v>50</v>
      </c>
      <c r="O318" s="14"/>
      <c r="P318" s="12">
        <f>IF(Q318="", 0, 1)</f>
        <v>0</v>
      </c>
      <c r="Q318" s="22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2">
        <f>IF(AC318="", 0, 1)</f>
        <v>0</v>
      </c>
      <c r="AC318" s="13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>
        <f>IF(AO318="", 0, 1)</f>
        <v>1</v>
      </c>
      <c r="AO318" s="12">
        <v>80</v>
      </c>
      <c r="AP318" s="12">
        <v>60</v>
      </c>
      <c r="AQ318" s="12"/>
      <c r="AR318" s="12">
        <v>20.5</v>
      </c>
      <c r="AS318" s="12">
        <v>2</v>
      </c>
      <c r="AT318" s="12">
        <v>40.5</v>
      </c>
      <c r="AU318" s="12"/>
      <c r="AV318" s="12"/>
      <c r="AW318" s="12"/>
      <c r="AX318" s="12" t="str">
        <f>IF(AR318="", "mean", "med")</f>
        <v>med</v>
      </c>
      <c r="AY318" s="12">
        <f>IF(AR318="", AP318, AR318)</f>
        <v>20.5</v>
      </c>
      <c r="AZ318" s="12" t="s">
        <v>52</v>
      </c>
      <c r="BA318" s="12" t="str">
        <f>IF(AZ318="high","high","lower")</f>
        <v>high</v>
      </c>
      <c r="BB318" s="49">
        <v>0.90900000000000003</v>
      </c>
      <c r="BC318" s="12">
        <v>85.3</v>
      </c>
      <c r="BD318" s="12">
        <v>96.3</v>
      </c>
      <c r="BE318" s="12">
        <v>91.7</v>
      </c>
      <c r="BF318" s="12">
        <v>80</v>
      </c>
      <c r="BG318" s="18" t="s">
        <v>1034</v>
      </c>
      <c r="BH318" s="18" t="s">
        <v>1031</v>
      </c>
    </row>
    <row r="319" spans="1:60" ht="15.75" customHeight="1" x14ac:dyDescent="0.2">
      <c r="A319" s="11">
        <v>318</v>
      </c>
      <c r="B319" s="51">
        <v>3098</v>
      </c>
      <c r="C319" s="13" t="s">
        <v>463</v>
      </c>
      <c r="D319" s="13" t="s">
        <v>468</v>
      </c>
      <c r="E319" s="23">
        <v>2009</v>
      </c>
      <c r="F319" s="23">
        <v>2010</v>
      </c>
      <c r="G319" s="13" t="s">
        <v>77</v>
      </c>
      <c r="H319" s="13"/>
      <c r="I319" s="13" t="s">
        <v>54</v>
      </c>
      <c r="J319" s="13" t="s">
        <v>229</v>
      </c>
      <c r="K319" s="13" t="s">
        <v>468</v>
      </c>
      <c r="L319" s="15" t="s">
        <v>41</v>
      </c>
      <c r="M319" s="16" t="s">
        <v>41</v>
      </c>
      <c r="N319" s="13" t="s">
        <v>50</v>
      </c>
      <c r="O319" s="13"/>
      <c r="P319" s="12">
        <f>IF(Q319="", 0, 1)</f>
        <v>0</v>
      </c>
      <c r="Q319" s="12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2">
        <f>IF(AC319="", 0, 1)</f>
        <v>0</v>
      </c>
      <c r="AC319" s="13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>
        <f>IF(AO319="", 0, 1)</f>
        <v>1</v>
      </c>
      <c r="AO319" s="12">
        <v>38</v>
      </c>
      <c r="AP319" s="12">
        <v>43</v>
      </c>
      <c r="AQ319" s="12"/>
      <c r="AR319" s="12">
        <v>10.5</v>
      </c>
      <c r="AS319" s="12">
        <v>0</v>
      </c>
      <c r="AT319" s="12">
        <v>75</v>
      </c>
      <c r="AU319" s="12"/>
      <c r="AV319" s="12"/>
      <c r="AW319" s="12"/>
      <c r="AX319" s="12" t="str">
        <f>IF(AR319="", "mean", "med")</f>
        <v>med</v>
      </c>
      <c r="AY319" s="12">
        <f>IF(AR319="", AP319, AR319)</f>
        <v>10.5</v>
      </c>
      <c r="AZ319" s="12" t="s">
        <v>52</v>
      </c>
      <c r="BA319" s="12" t="str">
        <f>IF(AZ319="high","high","lower")</f>
        <v>high</v>
      </c>
      <c r="BB319" s="49">
        <v>0.90900000000000003</v>
      </c>
      <c r="BC319" s="12">
        <v>85.3</v>
      </c>
      <c r="BD319" s="12">
        <v>96.3</v>
      </c>
      <c r="BE319" s="12">
        <v>91.7</v>
      </c>
      <c r="BF319" s="12">
        <v>80</v>
      </c>
      <c r="BG319" s="18" t="s">
        <v>1034</v>
      </c>
      <c r="BH319" s="18" t="s">
        <v>1031</v>
      </c>
    </row>
    <row r="320" spans="1:60" ht="15.75" customHeight="1" x14ac:dyDescent="0.2">
      <c r="A320" s="11">
        <v>319</v>
      </c>
      <c r="B320" s="51">
        <v>3098</v>
      </c>
      <c r="C320" s="13" t="s">
        <v>463</v>
      </c>
      <c r="D320" s="13" t="s">
        <v>469</v>
      </c>
      <c r="E320" s="23">
        <v>2009</v>
      </c>
      <c r="F320" s="23">
        <v>2010</v>
      </c>
      <c r="G320" s="13" t="s">
        <v>77</v>
      </c>
      <c r="H320" s="13"/>
      <c r="I320" s="31" t="s">
        <v>104</v>
      </c>
      <c r="J320" s="13" t="s">
        <v>470</v>
      </c>
      <c r="K320" s="13"/>
      <c r="L320" s="15" t="s">
        <v>41</v>
      </c>
      <c r="M320" s="16" t="s">
        <v>41</v>
      </c>
      <c r="N320" s="13" t="s">
        <v>50</v>
      </c>
      <c r="O320" s="13"/>
      <c r="P320" s="12">
        <f>IF(Q320="", 0, 1)</f>
        <v>0</v>
      </c>
      <c r="Q320" s="12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2">
        <f>IF(AC320="", 0, 1)</f>
        <v>0</v>
      </c>
      <c r="AC320" s="13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>
        <f>IF(AO320="", 0, 1)</f>
        <v>1</v>
      </c>
      <c r="AO320" s="12">
        <v>49</v>
      </c>
      <c r="AP320" s="12">
        <v>59</v>
      </c>
      <c r="AQ320" s="12"/>
      <c r="AR320" s="12">
        <v>17</v>
      </c>
      <c r="AS320" s="12">
        <v>7</v>
      </c>
      <c r="AT320" s="12">
        <v>61</v>
      </c>
      <c r="AU320" s="12"/>
      <c r="AV320" s="12"/>
      <c r="AW320" s="12"/>
      <c r="AX320" s="12" t="str">
        <f>IF(AR320="", "mean", "med")</f>
        <v>med</v>
      </c>
      <c r="AY320" s="12">
        <f>IF(AR320="", AP320, AR320)</f>
        <v>17</v>
      </c>
      <c r="AZ320" s="12" t="s">
        <v>52</v>
      </c>
      <c r="BA320" s="12" t="str">
        <f>IF(AZ320="high","high","lower")</f>
        <v>high</v>
      </c>
      <c r="BB320" s="49">
        <v>0.90900000000000003</v>
      </c>
      <c r="BC320" s="12">
        <v>85.3</v>
      </c>
      <c r="BD320" s="12">
        <v>96.3</v>
      </c>
      <c r="BE320" s="12">
        <v>91.7</v>
      </c>
      <c r="BF320" s="12">
        <v>80</v>
      </c>
      <c r="BG320" s="18" t="s">
        <v>1034</v>
      </c>
      <c r="BH320" s="18" t="s">
        <v>1031</v>
      </c>
    </row>
    <row r="321" spans="1:60" ht="15.75" customHeight="1" x14ac:dyDescent="0.2">
      <c r="A321" s="11">
        <v>320</v>
      </c>
      <c r="B321" s="12">
        <v>3112</v>
      </c>
      <c r="C321" s="13" t="s">
        <v>471</v>
      </c>
      <c r="D321" s="14" t="s">
        <v>40</v>
      </c>
      <c r="E321" s="23">
        <v>1992</v>
      </c>
      <c r="F321" s="23">
        <v>2006</v>
      </c>
      <c r="G321" s="13" t="s">
        <v>125</v>
      </c>
      <c r="H321" s="13"/>
      <c r="I321" s="13" t="s">
        <v>40</v>
      </c>
      <c r="J321" s="13" t="s">
        <v>40</v>
      </c>
      <c r="K321" s="14"/>
      <c r="L321" s="15" t="s">
        <v>41</v>
      </c>
      <c r="M321" s="16" t="s">
        <v>41</v>
      </c>
      <c r="N321" s="13" t="s">
        <v>42</v>
      </c>
      <c r="O321" s="13" t="s">
        <v>472</v>
      </c>
      <c r="P321" s="12">
        <f>IF(Q321="", 0, 1)</f>
        <v>1</v>
      </c>
      <c r="Q321" s="12">
        <v>1658</v>
      </c>
      <c r="R321" s="17"/>
      <c r="S321" s="17"/>
      <c r="T321" s="17">
        <v>23</v>
      </c>
      <c r="U321" s="17">
        <v>16</v>
      </c>
      <c r="V321" s="17">
        <v>33</v>
      </c>
      <c r="W321" s="17"/>
      <c r="X321" s="17"/>
      <c r="Y321" s="17"/>
      <c r="Z321" s="17" t="str">
        <f>IF(T321="", "mean", "med")</f>
        <v>med</v>
      </c>
      <c r="AA321" s="17">
        <f>IF(T321="", R321, T321)</f>
        <v>23</v>
      </c>
      <c r="AB321" s="12">
        <f>IF(AC321="", 0, 1)</f>
        <v>0</v>
      </c>
      <c r="AC321" s="13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>
        <f>IF(AO321="", 0, 1)</f>
        <v>0</v>
      </c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 t="s">
        <v>52</v>
      </c>
      <c r="BA321" s="12" t="str">
        <f>IF(AZ321="high","high","lower")</f>
        <v>high</v>
      </c>
      <c r="BB321" s="49">
        <v>0.82299999999999995</v>
      </c>
      <c r="BC321" s="12">
        <v>84</v>
      </c>
      <c r="BD321" s="12">
        <v>89.7</v>
      </c>
      <c r="BE321" s="12">
        <v>70.8</v>
      </c>
      <c r="BF321" s="12">
        <v>89.2</v>
      </c>
      <c r="BG321" s="18" t="s">
        <v>1030</v>
      </c>
      <c r="BH321" s="18" t="s">
        <v>1031</v>
      </c>
    </row>
    <row r="322" spans="1:60" ht="15.75" customHeight="1" x14ac:dyDescent="0.2">
      <c r="A322" s="11">
        <v>321</v>
      </c>
      <c r="B322" s="12">
        <v>3112</v>
      </c>
      <c r="C322" s="13" t="s">
        <v>471</v>
      </c>
      <c r="D322" s="44" t="s">
        <v>105</v>
      </c>
      <c r="E322" s="23">
        <v>1992</v>
      </c>
      <c r="F322" s="23">
        <v>2006</v>
      </c>
      <c r="G322" s="13" t="s">
        <v>125</v>
      </c>
      <c r="H322" s="13"/>
      <c r="I322" s="31" t="s">
        <v>104</v>
      </c>
      <c r="J322" s="32" t="s">
        <v>105</v>
      </c>
      <c r="K322" s="44"/>
      <c r="L322" s="15">
        <v>100</v>
      </c>
      <c r="M322" s="16" t="s">
        <v>41</v>
      </c>
      <c r="N322" s="13" t="s">
        <v>42</v>
      </c>
      <c r="O322" s="13" t="s">
        <v>472</v>
      </c>
      <c r="P322" s="12">
        <f>IF(Q322="", 0, 1)</f>
        <v>1</v>
      </c>
      <c r="Q322" s="22">
        <v>321</v>
      </c>
      <c r="R322" s="17"/>
      <c r="S322" s="17"/>
      <c r="T322" s="17">
        <v>47</v>
      </c>
      <c r="U322" s="17">
        <v>26</v>
      </c>
      <c r="V322" s="17">
        <v>75</v>
      </c>
      <c r="W322" s="17"/>
      <c r="X322" s="17"/>
      <c r="Y322" s="17"/>
      <c r="Z322" s="17" t="str">
        <f>IF(T322="", "mean", "med")</f>
        <v>med</v>
      </c>
      <c r="AA322" s="17">
        <f>IF(T322="", R322, T322)</f>
        <v>47</v>
      </c>
      <c r="AB322" s="12">
        <f>IF(AC322="", 0, 1)</f>
        <v>0</v>
      </c>
      <c r="AC322" s="13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>
        <f>IF(AO322="", 0, 1)</f>
        <v>0</v>
      </c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 t="s">
        <v>52</v>
      </c>
      <c r="BA322" s="12" t="str">
        <f>IF(AZ322="high","high","lower")</f>
        <v>high</v>
      </c>
      <c r="BB322" s="49">
        <v>0.82299999999999995</v>
      </c>
      <c r="BC322" s="12">
        <v>84</v>
      </c>
      <c r="BD322" s="12">
        <v>89.7</v>
      </c>
      <c r="BE322" s="12">
        <v>70.8</v>
      </c>
      <c r="BF322" s="12">
        <v>89.2</v>
      </c>
      <c r="BG322" s="18" t="s">
        <v>1030</v>
      </c>
      <c r="BH322" s="18" t="s">
        <v>1031</v>
      </c>
    </row>
    <row r="323" spans="1:60" ht="15.75" customHeight="1" x14ac:dyDescent="0.2">
      <c r="A323" s="11">
        <v>322</v>
      </c>
      <c r="B323" s="12">
        <v>3112</v>
      </c>
      <c r="C323" s="13" t="s">
        <v>471</v>
      </c>
      <c r="D323" s="44" t="s">
        <v>55</v>
      </c>
      <c r="E323" s="23">
        <v>1992</v>
      </c>
      <c r="F323" s="23">
        <v>2006</v>
      </c>
      <c r="G323" s="13" t="s">
        <v>125</v>
      </c>
      <c r="H323" s="13"/>
      <c r="I323" s="13" t="s">
        <v>54</v>
      </c>
      <c r="J323" s="32" t="s">
        <v>55</v>
      </c>
      <c r="K323" s="44"/>
      <c r="L323" s="15" t="s">
        <v>41</v>
      </c>
      <c r="M323" s="16" t="s">
        <v>41</v>
      </c>
      <c r="N323" s="13" t="s">
        <v>42</v>
      </c>
      <c r="O323" s="13" t="s">
        <v>472</v>
      </c>
      <c r="P323" s="12">
        <f>IF(Q323="", 0, 1)</f>
        <v>1</v>
      </c>
      <c r="Q323" s="12">
        <v>1069</v>
      </c>
      <c r="R323" s="17"/>
      <c r="S323" s="17"/>
      <c r="T323" s="17">
        <v>17</v>
      </c>
      <c r="U323" s="17">
        <v>8</v>
      </c>
      <c r="V323" s="17">
        <v>34</v>
      </c>
      <c r="W323" s="17"/>
      <c r="X323" s="17"/>
      <c r="Y323" s="17"/>
      <c r="Z323" s="17" t="str">
        <f>IF(T323="", "mean", "med")</f>
        <v>med</v>
      </c>
      <c r="AA323" s="17">
        <f>IF(T323="", R323, T323)</f>
        <v>17</v>
      </c>
      <c r="AB323" s="12">
        <f>IF(AC323="", 0, 1)</f>
        <v>0</v>
      </c>
      <c r="AC323" s="13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>
        <f>IF(AO323="", 0, 1)</f>
        <v>0</v>
      </c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 t="s">
        <v>52</v>
      </c>
      <c r="BA323" s="12" t="str">
        <f>IF(AZ323="high","high","lower")</f>
        <v>high</v>
      </c>
      <c r="BB323" s="49">
        <v>0.82299999999999995</v>
      </c>
      <c r="BC323" s="12">
        <v>84</v>
      </c>
      <c r="BD323" s="12">
        <v>89.7</v>
      </c>
      <c r="BE323" s="12">
        <v>70.8</v>
      </c>
      <c r="BF323" s="12">
        <v>89.2</v>
      </c>
      <c r="BG323" s="18" t="s">
        <v>1030</v>
      </c>
      <c r="BH323" s="18" t="s">
        <v>1031</v>
      </c>
    </row>
    <row r="324" spans="1:60" ht="15.75" customHeight="1" x14ac:dyDescent="0.2">
      <c r="A324" s="11">
        <v>323</v>
      </c>
      <c r="B324" s="12">
        <v>3112</v>
      </c>
      <c r="C324" s="13" t="s">
        <v>471</v>
      </c>
      <c r="D324" s="44" t="s">
        <v>58</v>
      </c>
      <c r="E324" s="23">
        <v>1992</v>
      </c>
      <c r="F324" s="23">
        <v>2006</v>
      </c>
      <c r="G324" s="13" t="s">
        <v>125</v>
      </c>
      <c r="H324" s="13"/>
      <c r="I324" s="13" t="s">
        <v>57</v>
      </c>
      <c r="J324" s="32" t="s">
        <v>58</v>
      </c>
      <c r="K324" s="44"/>
      <c r="L324" s="19" t="s">
        <v>41</v>
      </c>
      <c r="M324" s="16" t="s">
        <v>41</v>
      </c>
      <c r="N324" s="13" t="s">
        <v>42</v>
      </c>
      <c r="O324" s="13" t="s">
        <v>472</v>
      </c>
      <c r="P324" s="12">
        <f>IF(Q324="", 0, 1)</f>
        <v>1</v>
      </c>
      <c r="Q324" s="22">
        <v>1564</v>
      </c>
      <c r="R324" s="17"/>
      <c r="S324" s="17"/>
      <c r="T324" s="17">
        <v>15</v>
      </c>
      <c r="U324" s="17">
        <v>7</v>
      </c>
      <c r="V324" s="17">
        <v>29</v>
      </c>
      <c r="W324" s="17"/>
      <c r="X324" s="17"/>
      <c r="Y324" s="17"/>
      <c r="Z324" s="17" t="str">
        <f>IF(T324="", "mean", "med")</f>
        <v>med</v>
      </c>
      <c r="AA324" s="17">
        <f>IF(T324="", R324, T324)</f>
        <v>15</v>
      </c>
      <c r="AB324" s="12">
        <f>IF(AC324="", 0, 1)</f>
        <v>0</v>
      </c>
      <c r="AC324" s="13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>
        <f>IF(AO324="", 0, 1)</f>
        <v>0</v>
      </c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 t="s">
        <v>52</v>
      </c>
      <c r="BA324" s="12" t="str">
        <f>IF(AZ324="high","high","lower")</f>
        <v>high</v>
      </c>
      <c r="BB324" s="49">
        <v>0.82299999999999995</v>
      </c>
      <c r="BC324" s="12">
        <v>84</v>
      </c>
      <c r="BD324" s="12">
        <v>89.7</v>
      </c>
      <c r="BE324" s="12">
        <v>70.8</v>
      </c>
      <c r="BF324" s="12">
        <v>89.2</v>
      </c>
      <c r="BG324" s="18" t="s">
        <v>1030</v>
      </c>
      <c r="BH324" s="18" t="s">
        <v>1031</v>
      </c>
    </row>
    <row r="325" spans="1:60" ht="15.75" customHeight="1" x14ac:dyDescent="0.2">
      <c r="A325" s="11">
        <v>324</v>
      </c>
      <c r="B325" s="12">
        <v>3112</v>
      </c>
      <c r="C325" s="13" t="s">
        <v>471</v>
      </c>
      <c r="D325" s="44" t="s">
        <v>60</v>
      </c>
      <c r="E325" s="23">
        <v>1992</v>
      </c>
      <c r="F325" s="23">
        <v>2006</v>
      </c>
      <c r="G325" s="13" t="s">
        <v>125</v>
      </c>
      <c r="H325" s="13"/>
      <c r="I325" s="13" t="s">
        <v>59</v>
      </c>
      <c r="J325" s="32" t="s">
        <v>60</v>
      </c>
      <c r="K325" s="44"/>
      <c r="L325" s="15" t="s">
        <v>41</v>
      </c>
      <c r="M325" s="16" t="s">
        <v>41</v>
      </c>
      <c r="N325" s="13" t="s">
        <v>42</v>
      </c>
      <c r="O325" s="13" t="s">
        <v>472</v>
      </c>
      <c r="P325" s="12">
        <f>IF(Q325="", 0, 1)</f>
        <v>1</v>
      </c>
      <c r="Q325" s="12">
        <v>458</v>
      </c>
      <c r="R325" s="17"/>
      <c r="S325" s="17"/>
      <c r="T325" s="17">
        <v>28</v>
      </c>
      <c r="U325" s="17">
        <v>11</v>
      </c>
      <c r="V325" s="17">
        <v>76</v>
      </c>
      <c r="W325" s="17"/>
      <c r="X325" s="17"/>
      <c r="Y325" s="17"/>
      <c r="Z325" s="17" t="str">
        <f>IF(T325="", "mean", "med")</f>
        <v>med</v>
      </c>
      <c r="AA325" s="17">
        <f>IF(T325="", R325, T325)</f>
        <v>28</v>
      </c>
      <c r="AB325" s="12">
        <f>IF(AC325="", 0, 1)</f>
        <v>0</v>
      </c>
      <c r="AC325" s="13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>
        <f>IF(AO325="", 0, 1)</f>
        <v>0</v>
      </c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 t="s">
        <v>52</v>
      </c>
      <c r="BA325" s="12" t="str">
        <f>IF(AZ325="high","high","lower")</f>
        <v>high</v>
      </c>
      <c r="BB325" s="49">
        <v>0.82299999999999995</v>
      </c>
      <c r="BC325" s="12">
        <v>84</v>
      </c>
      <c r="BD325" s="12">
        <v>89.7</v>
      </c>
      <c r="BE325" s="12">
        <v>70.8</v>
      </c>
      <c r="BF325" s="12">
        <v>89.2</v>
      </c>
      <c r="BG325" s="18" t="s">
        <v>1030</v>
      </c>
      <c r="BH325" s="18" t="s">
        <v>1031</v>
      </c>
    </row>
    <row r="326" spans="1:60" ht="15.75" customHeight="1" x14ac:dyDescent="0.2">
      <c r="A326" s="11">
        <v>325</v>
      </c>
      <c r="B326" s="12">
        <v>3121</v>
      </c>
      <c r="C326" s="13" t="s">
        <v>473</v>
      </c>
      <c r="D326" s="14" t="s">
        <v>474</v>
      </c>
      <c r="E326" s="23">
        <v>2016</v>
      </c>
      <c r="F326" s="23">
        <v>2017</v>
      </c>
      <c r="G326" s="13" t="s">
        <v>393</v>
      </c>
      <c r="H326" s="13"/>
      <c r="I326" s="31" t="s">
        <v>94</v>
      </c>
      <c r="J326" s="13" t="s">
        <v>474</v>
      </c>
      <c r="K326" s="30"/>
      <c r="L326" s="19" t="s">
        <v>41</v>
      </c>
      <c r="M326" s="20" t="s">
        <v>41</v>
      </c>
      <c r="N326" s="13" t="s">
        <v>50</v>
      </c>
      <c r="O326" s="13" t="s">
        <v>41</v>
      </c>
      <c r="P326" s="12">
        <f>IF(Q326="", 0, 1)</f>
        <v>1</v>
      </c>
      <c r="Q326" s="12">
        <v>29</v>
      </c>
      <c r="R326" s="17"/>
      <c r="S326" s="17"/>
      <c r="T326" s="17">
        <v>37</v>
      </c>
      <c r="U326" s="17">
        <v>15</v>
      </c>
      <c r="V326" s="17">
        <v>56</v>
      </c>
      <c r="W326" s="17"/>
      <c r="X326" s="17"/>
      <c r="Y326" s="17"/>
      <c r="Z326" s="17" t="str">
        <f>IF(T326="", "mean", "med")</f>
        <v>med</v>
      </c>
      <c r="AA326" s="17">
        <f>IF(T326="", R326, T326)</f>
        <v>37</v>
      </c>
      <c r="AB326" s="12">
        <f>IF(AC326="", 0, 1)</f>
        <v>0</v>
      </c>
      <c r="AC326" s="13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>
        <f>IF(AO326="", 0, 1)</f>
        <v>1</v>
      </c>
      <c r="AO326" s="22">
        <v>29</v>
      </c>
      <c r="AP326" s="12"/>
      <c r="AQ326" s="12"/>
      <c r="AR326" s="22">
        <v>64</v>
      </c>
      <c r="AS326" s="12">
        <v>27</v>
      </c>
      <c r="AT326" s="12">
        <v>132</v>
      </c>
      <c r="AU326" s="12"/>
      <c r="AV326" s="12"/>
      <c r="AW326" s="12"/>
      <c r="AX326" s="12" t="str">
        <f>IF(AR326="", "mean", "med")</f>
        <v>med</v>
      </c>
      <c r="AY326" s="12">
        <f>IF(AR326="", AP326, AR326)</f>
        <v>64</v>
      </c>
      <c r="AZ326" s="49" t="s">
        <v>46</v>
      </c>
      <c r="BA326" s="49" t="str">
        <f>IF(AZ326="high","high","lower")</f>
        <v>lower</v>
      </c>
      <c r="BB326" s="49">
        <v>0.54600000000000004</v>
      </c>
      <c r="BC326" s="49"/>
      <c r="BD326" s="49"/>
      <c r="BE326" s="49"/>
      <c r="BF326" s="49"/>
      <c r="BG326" s="18" t="s">
        <v>1032</v>
      </c>
      <c r="BH326" s="18" t="s">
        <v>1033</v>
      </c>
    </row>
    <row r="327" spans="1:60" ht="15.75" customHeight="1" x14ac:dyDescent="0.2">
      <c r="A327" s="11">
        <v>326</v>
      </c>
      <c r="B327" s="12">
        <v>3121</v>
      </c>
      <c r="C327" s="13" t="s">
        <v>473</v>
      </c>
      <c r="D327" s="13" t="s">
        <v>475</v>
      </c>
      <c r="E327" s="23">
        <v>2016</v>
      </c>
      <c r="F327" s="23">
        <v>2017</v>
      </c>
      <c r="G327" s="13" t="s">
        <v>393</v>
      </c>
      <c r="H327" s="13"/>
      <c r="I327" s="31" t="s">
        <v>467</v>
      </c>
      <c r="J327" s="13" t="s">
        <v>476</v>
      </c>
      <c r="K327" s="30"/>
      <c r="L327" s="15" t="s">
        <v>41</v>
      </c>
      <c r="M327" s="16" t="s">
        <v>41</v>
      </c>
      <c r="N327" s="13" t="s">
        <v>50</v>
      </c>
      <c r="O327" s="13" t="s">
        <v>41</v>
      </c>
      <c r="P327" s="12">
        <f>IF(Q327="", 0, 1)</f>
        <v>1</v>
      </c>
      <c r="Q327" s="12">
        <v>23</v>
      </c>
      <c r="R327" s="17"/>
      <c r="S327" s="17"/>
      <c r="T327" s="17">
        <v>23</v>
      </c>
      <c r="U327" s="17">
        <v>8</v>
      </c>
      <c r="V327" s="17">
        <v>37</v>
      </c>
      <c r="W327" s="17"/>
      <c r="X327" s="17"/>
      <c r="Y327" s="17"/>
      <c r="Z327" s="17" t="str">
        <f>IF(T327="", "mean", "med")</f>
        <v>med</v>
      </c>
      <c r="AA327" s="17">
        <f>IF(T327="", R327, T327)</f>
        <v>23</v>
      </c>
      <c r="AB327" s="12">
        <f>IF(AC327="", 0, 1)</f>
        <v>0</v>
      </c>
      <c r="AC327" s="13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>
        <f>IF(AO327="", 0, 1)</f>
        <v>1</v>
      </c>
      <c r="AO327" s="12">
        <v>23</v>
      </c>
      <c r="AP327" s="12"/>
      <c r="AQ327" s="12"/>
      <c r="AR327" s="12">
        <v>86</v>
      </c>
      <c r="AS327" s="12">
        <v>34</v>
      </c>
      <c r="AT327" s="12">
        <v>127</v>
      </c>
      <c r="AU327" s="12"/>
      <c r="AV327" s="12"/>
      <c r="AW327" s="12"/>
      <c r="AX327" s="12" t="str">
        <f>IF(AR327="", "mean", "med")</f>
        <v>med</v>
      </c>
      <c r="AY327" s="12">
        <f>IF(AR327="", AP327, AR327)</f>
        <v>86</v>
      </c>
      <c r="AZ327" s="49" t="s">
        <v>46</v>
      </c>
      <c r="BA327" s="49" t="str">
        <f>IF(AZ327="high","high","lower")</f>
        <v>lower</v>
      </c>
      <c r="BB327" s="49">
        <v>0.54600000000000004</v>
      </c>
      <c r="BC327" s="49"/>
      <c r="BD327" s="49"/>
      <c r="BE327" s="49"/>
      <c r="BF327" s="49"/>
      <c r="BG327" s="18" t="s">
        <v>1032</v>
      </c>
      <c r="BH327" s="18" t="s">
        <v>1033</v>
      </c>
    </row>
    <row r="328" spans="1:60" ht="15.75" customHeight="1" x14ac:dyDescent="0.2">
      <c r="A328" s="11">
        <v>327</v>
      </c>
      <c r="B328" s="12">
        <v>3121</v>
      </c>
      <c r="C328" s="13" t="s">
        <v>473</v>
      </c>
      <c r="D328" s="13" t="s">
        <v>382</v>
      </c>
      <c r="E328" s="23">
        <v>2016</v>
      </c>
      <c r="F328" s="23">
        <v>2017</v>
      </c>
      <c r="G328" s="13" t="s">
        <v>393</v>
      </c>
      <c r="H328" s="13"/>
      <c r="I328" s="31" t="s">
        <v>324</v>
      </c>
      <c r="J328" s="13" t="s">
        <v>382</v>
      </c>
      <c r="K328" s="30"/>
      <c r="L328" s="19" t="s">
        <v>41</v>
      </c>
      <c r="M328" s="16" t="s">
        <v>41</v>
      </c>
      <c r="N328" s="13" t="s">
        <v>50</v>
      </c>
      <c r="O328" s="13" t="s">
        <v>41</v>
      </c>
      <c r="P328" s="12">
        <f>IF(Q328="", 0, 1)</f>
        <v>1</v>
      </c>
      <c r="Q328" s="12">
        <v>24</v>
      </c>
      <c r="R328" s="21"/>
      <c r="S328" s="17"/>
      <c r="T328" s="17">
        <v>25</v>
      </c>
      <c r="U328" s="17">
        <v>11</v>
      </c>
      <c r="V328" s="17">
        <v>43</v>
      </c>
      <c r="W328" s="17"/>
      <c r="X328" s="17"/>
      <c r="Y328" s="17"/>
      <c r="Z328" s="17" t="str">
        <f>IF(T328="", "mean", "med")</f>
        <v>med</v>
      </c>
      <c r="AA328" s="17">
        <f>IF(T328="", R328, T328)</f>
        <v>25</v>
      </c>
      <c r="AB328" s="12">
        <f>IF(AC328="", 0, 1)</f>
        <v>0</v>
      </c>
      <c r="AC328" s="13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>
        <f>IF(AO328="", 0, 1)</f>
        <v>1</v>
      </c>
      <c r="AO328" s="12">
        <v>24</v>
      </c>
      <c r="AP328" s="12"/>
      <c r="AQ328" s="12"/>
      <c r="AR328" s="12">
        <v>48</v>
      </c>
      <c r="AS328" s="12">
        <v>18</v>
      </c>
      <c r="AT328" s="12">
        <v>96</v>
      </c>
      <c r="AU328" s="12"/>
      <c r="AV328" s="12"/>
      <c r="AW328" s="12"/>
      <c r="AX328" s="12" t="str">
        <f>IF(AR328="", "mean", "med")</f>
        <v>med</v>
      </c>
      <c r="AY328" s="12">
        <f>IF(AR328="", AP328, AR328)</f>
        <v>48</v>
      </c>
      <c r="AZ328" s="49" t="s">
        <v>46</v>
      </c>
      <c r="BA328" s="49" t="str">
        <f>IF(AZ328="high","high","lower")</f>
        <v>lower</v>
      </c>
      <c r="BB328" s="49">
        <v>0.54600000000000004</v>
      </c>
      <c r="BC328" s="49"/>
      <c r="BD328" s="49"/>
      <c r="BE328" s="49"/>
      <c r="BF328" s="49"/>
      <c r="BG328" s="18" t="s">
        <v>1032</v>
      </c>
      <c r="BH328" s="18" t="s">
        <v>1033</v>
      </c>
    </row>
    <row r="329" spans="1:60" ht="15.75" customHeight="1" x14ac:dyDescent="0.2">
      <c r="A329" s="11">
        <v>328</v>
      </c>
      <c r="B329" s="22">
        <v>3121</v>
      </c>
      <c r="C329" s="13" t="s">
        <v>473</v>
      </c>
      <c r="D329" s="13" t="s">
        <v>40</v>
      </c>
      <c r="E329" s="23">
        <v>2016</v>
      </c>
      <c r="F329" s="23">
        <v>2017</v>
      </c>
      <c r="G329" s="13" t="s">
        <v>393</v>
      </c>
      <c r="H329" s="13"/>
      <c r="I329" s="13" t="s">
        <v>40</v>
      </c>
      <c r="J329" s="13" t="s">
        <v>40</v>
      </c>
      <c r="K329" s="30"/>
      <c r="L329" s="15" t="s">
        <v>41</v>
      </c>
      <c r="M329" s="16" t="s">
        <v>41</v>
      </c>
      <c r="N329" s="13" t="s">
        <v>50</v>
      </c>
      <c r="O329" s="14" t="s">
        <v>41</v>
      </c>
      <c r="P329" s="12">
        <f>IF(Q329="", 0, 1)</f>
        <v>1</v>
      </c>
      <c r="Q329" s="22">
        <v>152</v>
      </c>
      <c r="R329" s="21"/>
      <c r="S329" s="17"/>
      <c r="T329" s="17">
        <v>30</v>
      </c>
      <c r="U329" s="17">
        <v>13</v>
      </c>
      <c r="V329" s="17">
        <v>46</v>
      </c>
      <c r="W329" s="17"/>
      <c r="X329" s="17"/>
      <c r="Y329" s="17"/>
      <c r="Z329" s="17" t="str">
        <f>IF(T329="", "mean", "med")</f>
        <v>med</v>
      </c>
      <c r="AA329" s="17">
        <f>IF(T329="", R329, T329)</f>
        <v>30</v>
      </c>
      <c r="AB329" s="12">
        <f>IF(AC329="", 0, 1)</f>
        <v>0</v>
      </c>
      <c r="AC329" s="13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>
        <f>IF(AO329="", 0, 1)</f>
        <v>1</v>
      </c>
      <c r="AO329" s="12">
        <v>152</v>
      </c>
      <c r="AP329" s="12"/>
      <c r="AQ329" s="12"/>
      <c r="AR329" s="12">
        <v>255</v>
      </c>
      <c r="AS329" s="12">
        <v>120</v>
      </c>
      <c r="AT329" s="12">
        <v>375</v>
      </c>
      <c r="AU329" s="12"/>
      <c r="AV329" s="12"/>
      <c r="AW329" s="12"/>
      <c r="AX329" s="12" t="str">
        <f>IF(AR329="", "mean", "med")</f>
        <v>med</v>
      </c>
      <c r="AY329" s="12">
        <f>IF(AR329="", AP329, AR329)</f>
        <v>255</v>
      </c>
      <c r="AZ329" s="49" t="s">
        <v>46</v>
      </c>
      <c r="BA329" s="49" t="str">
        <f>IF(AZ329="high","high","lower")</f>
        <v>lower</v>
      </c>
      <c r="BB329" s="49">
        <v>0.54600000000000004</v>
      </c>
      <c r="BC329" s="49"/>
      <c r="BD329" s="49"/>
      <c r="BE329" s="49"/>
      <c r="BF329" s="49"/>
      <c r="BG329" s="18" t="s">
        <v>1032</v>
      </c>
      <c r="BH329" s="18" t="s">
        <v>1033</v>
      </c>
    </row>
    <row r="330" spans="1:60" ht="15.75" customHeight="1" x14ac:dyDescent="0.2">
      <c r="A330" s="11">
        <v>329</v>
      </c>
      <c r="B330" s="22">
        <v>3121</v>
      </c>
      <c r="C330" s="13" t="s">
        <v>473</v>
      </c>
      <c r="D330" s="13" t="s">
        <v>105</v>
      </c>
      <c r="E330" s="23">
        <v>2016</v>
      </c>
      <c r="F330" s="23">
        <v>2017</v>
      </c>
      <c r="G330" s="13" t="s">
        <v>393</v>
      </c>
      <c r="H330" s="13"/>
      <c r="I330" s="31" t="s">
        <v>104</v>
      </c>
      <c r="J330" s="13" t="s">
        <v>105</v>
      </c>
      <c r="K330" s="30"/>
      <c r="L330" s="15" t="s">
        <v>41</v>
      </c>
      <c r="M330" s="20" t="s">
        <v>41</v>
      </c>
      <c r="N330" s="13" t="s">
        <v>50</v>
      </c>
      <c r="O330" s="14" t="s">
        <v>41</v>
      </c>
      <c r="P330" s="12">
        <f>IF(Q330="", 0, 1)</f>
        <v>1</v>
      </c>
      <c r="Q330" s="12">
        <v>26</v>
      </c>
      <c r="R330" s="17"/>
      <c r="S330" s="17"/>
      <c r="T330" s="17">
        <v>26</v>
      </c>
      <c r="U330" s="17">
        <v>13</v>
      </c>
      <c r="V330" s="17">
        <v>52</v>
      </c>
      <c r="W330" s="17"/>
      <c r="X330" s="17"/>
      <c r="Y330" s="17"/>
      <c r="Z330" s="17" t="str">
        <f>IF(T330="", "mean", "med")</f>
        <v>med</v>
      </c>
      <c r="AA330" s="17">
        <f>IF(T330="", R330, T330)</f>
        <v>26</v>
      </c>
      <c r="AB330" s="12">
        <f>IF(AC330="", 0, 1)</f>
        <v>0</v>
      </c>
      <c r="AC330" s="13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>
        <f>IF(AO330="", 0, 1)</f>
        <v>1</v>
      </c>
      <c r="AO330" s="12">
        <v>26</v>
      </c>
      <c r="AP330" s="12"/>
      <c r="AQ330" s="12"/>
      <c r="AR330" s="12">
        <v>105</v>
      </c>
      <c r="AS330" s="12">
        <v>53</v>
      </c>
      <c r="AT330" s="12">
        <v>228</v>
      </c>
      <c r="AU330" s="12"/>
      <c r="AV330" s="12"/>
      <c r="AW330" s="12"/>
      <c r="AX330" s="12" t="str">
        <f>IF(AR330="", "mean", "med")</f>
        <v>med</v>
      </c>
      <c r="AY330" s="12">
        <f>IF(AR330="", AP330, AR330)</f>
        <v>105</v>
      </c>
      <c r="AZ330" s="49" t="s">
        <v>46</v>
      </c>
      <c r="BA330" s="49" t="str">
        <f>IF(AZ330="high","high","lower")</f>
        <v>lower</v>
      </c>
      <c r="BB330" s="49">
        <v>0.54600000000000004</v>
      </c>
      <c r="BC330" s="49"/>
      <c r="BD330" s="49"/>
      <c r="BE330" s="49"/>
      <c r="BF330" s="49"/>
      <c r="BG330" s="18" t="s">
        <v>1032</v>
      </c>
      <c r="BH330" s="18" t="s">
        <v>1033</v>
      </c>
    </row>
    <row r="331" spans="1:60" ht="15.75" customHeight="1" x14ac:dyDescent="0.2">
      <c r="A331" s="11">
        <v>330</v>
      </c>
      <c r="B331" s="12">
        <v>3121</v>
      </c>
      <c r="C331" s="13" t="s">
        <v>473</v>
      </c>
      <c r="D331" s="13" t="s">
        <v>298</v>
      </c>
      <c r="E331" s="23">
        <v>2016</v>
      </c>
      <c r="F331" s="23">
        <v>2017</v>
      </c>
      <c r="G331" s="13" t="s">
        <v>393</v>
      </c>
      <c r="H331" s="13"/>
      <c r="I331" s="31" t="s">
        <v>104</v>
      </c>
      <c r="J331" s="13" t="s">
        <v>298</v>
      </c>
      <c r="K331" s="30"/>
      <c r="L331" s="19" t="s">
        <v>41</v>
      </c>
      <c r="M331" s="16" t="s">
        <v>41</v>
      </c>
      <c r="N331" s="13" t="s">
        <v>50</v>
      </c>
      <c r="O331" s="14" t="s">
        <v>41</v>
      </c>
      <c r="P331" s="12">
        <f>IF(Q331="", 0, 1)</f>
        <v>1</v>
      </c>
      <c r="Q331" s="12">
        <v>62</v>
      </c>
      <c r="R331" s="17"/>
      <c r="S331" s="17"/>
      <c r="T331" s="17">
        <v>24</v>
      </c>
      <c r="U331" s="17">
        <v>11</v>
      </c>
      <c r="V331" s="17">
        <v>38</v>
      </c>
      <c r="W331" s="17"/>
      <c r="X331" s="17"/>
      <c r="Y331" s="17"/>
      <c r="Z331" s="17" t="str">
        <f>IF(T331="", "mean", "med")</f>
        <v>med</v>
      </c>
      <c r="AA331" s="17">
        <f>IF(T331="", R331, T331)</f>
        <v>24</v>
      </c>
      <c r="AB331" s="12">
        <f>IF(AC331="", 0, 1)</f>
        <v>0</v>
      </c>
      <c r="AC331" s="13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>
        <f>IF(AO331="", 0, 1)</f>
        <v>1</v>
      </c>
      <c r="AO331" s="12">
        <v>62</v>
      </c>
      <c r="AP331" s="12"/>
      <c r="AQ331" s="12"/>
      <c r="AR331" s="12">
        <v>60</v>
      </c>
      <c r="AS331" s="12">
        <v>20</v>
      </c>
      <c r="AT331" s="12">
        <v>90</v>
      </c>
      <c r="AU331" s="12"/>
      <c r="AV331" s="12"/>
      <c r="AW331" s="12"/>
      <c r="AX331" s="12" t="str">
        <f>IF(AR331="", "mean", "med")</f>
        <v>med</v>
      </c>
      <c r="AY331" s="12">
        <f>IF(AR331="", AP331, AR331)</f>
        <v>60</v>
      </c>
      <c r="AZ331" s="49" t="s">
        <v>46</v>
      </c>
      <c r="BA331" s="49" t="str">
        <f>IF(AZ331="high","high","lower")</f>
        <v>lower</v>
      </c>
      <c r="BB331" s="49">
        <v>0.54600000000000004</v>
      </c>
      <c r="BC331" s="49"/>
      <c r="BD331" s="49"/>
      <c r="BE331" s="49"/>
      <c r="BF331" s="49"/>
      <c r="BG331" s="18" t="s">
        <v>1032</v>
      </c>
      <c r="BH331" s="18" t="s">
        <v>1033</v>
      </c>
    </row>
    <row r="332" spans="1:60" ht="15.75" customHeight="1" x14ac:dyDescent="0.2">
      <c r="A332" s="11">
        <v>331</v>
      </c>
      <c r="B332" s="12">
        <v>3121</v>
      </c>
      <c r="C332" s="13" t="s">
        <v>473</v>
      </c>
      <c r="D332" s="13" t="s">
        <v>477</v>
      </c>
      <c r="E332" s="23">
        <v>2016</v>
      </c>
      <c r="F332" s="23">
        <v>2017</v>
      </c>
      <c r="G332" s="13" t="s">
        <v>393</v>
      </c>
      <c r="H332" s="13"/>
      <c r="I332" s="31" t="s">
        <v>324</v>
      </c>
      <c r="J332" s="13" t="s">
        <v>477</v>
      </c>
      <c r="K332" s="30"/>
      <c r="L332" s="19" t="s">
        <v>41</v>
      </c>
      <c r="M332" s="16" t="s">
        <v>41</v>
      </c>
      <c r="N332" s="13" t="s">
        <v>50</v>
      </c>
      <c r="O332" s="14" t="s">
        <v>41</v>
      </c>
      <c r="P332" s="12">
        <f>IF(Q332="", 0, 1)</f>
        <v>1</v>
      </c>
      <c r="Q332" s="12">
        <v>41</v>
      </c>
      <c r="R332" s="17"/>
      <c r="S332" s="17"/>
      <c r="T332" s="17">
        <v>26</v>
      </c>
      <c r="U332" s="17">
        <v>11</v>
      </c>
      <c r="V332" s="17">
        <v>42</v>
      </c>
      <c r="W332" s="17"/>
      <c r="X332" s="17"/>
      <c r="Y332" s="17"/>
      <c r="Z332" s="17" t="str">
        <f>IF(T332="", "mean", "med")</f>
        <v>med</v>
      </c>
      <c r="AA332" s="17">
        <f>IF(T332="", R332, T332)</f>
        <v>26</v>
      </c>
      <c r="AB332" s="12">
        <f>IF(AC332="", 0, 1)</f>
        <v>0</v>
      </c>
      <c r="AC332" s="13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>
        <f>IF(AO332="", 0, 1)</f>
        <v>1</v>
      </c>
      <c r="AO332" s="12">
        <v>41</v>
      </c>
      <c r="AP332" s="12"/>
      <c r="AQ332" s="12"/>
      <c r="AR332" s="12">
        <v>270</v>
      </c>
      <c r="AS332" s="12">
        <v>135</v>
      </c>
      <c r="AT332" s="12">
        <v>300</v>
      </c>
      <c r="AU332" s="12"/>
      <c r="AV332" s="12"/>
      <c r="AW332" s="12"/>
      <c r="AX332" s="12" t="str">
        <f>IF(AR332="", "mean", "med")</f>
        <v>med</v>
      </c>
      <c r="AY332" s="12">
        <f>IF(AR332="", AP332, AR332)</f>
        <v>270</v>
      </c>
      <c r="AZ332" s="49" t="s">
        <v>46</v>
      </c>
      <c r="BA332" s="49" t="str">
        <f>IF(AZ332="high","high","lower")</f>
        <v>lower</v>
      </c>
      <c r="BB332" s="49">
        <v>0.54600000000000004</v>
      </c>
      <c r="BC332" s="49"/>
      <c r="BD332" s="49"/>
      <c r="BE332" s="49"/>
      <c r="BF332" s="49"/>
      <c r="BG332" s="18" t="s">
        <v>1032</v>
      </c>
      <c r="BH332" s="18" t="s">
        <v>1033</v>
      </c>
    </row>
    <row r="333" spans="1:60" ht="15.75" customHeight="1" x14ac:dyDescent="0.2">
      <c r="A333" s="11">
        <v>332</v>
      </c>
      <c r="B333" s="12">
        <v>3121</v>
      </c>
      <c r="C333" s="13" t="s">
        <v>473</v>
      </c>
      <c r="D333" s="13" t="s">
        <v>209</v>
      </c>
      <c r="E333" s="23">
        <v>2016</v>
      </c>
      <c r="F333" s="23">
        <v>2017</v>
      </c>
      <c r="G333" s="13" t="s">
        <v>393</v>
      </c>
      <c r="H333" s="13"/>
      <c r="I333" s="31" t="s">
        <v>59</v>
      </c>
      <c r="J333" s="13" t="s">
        <v>320</v>
      </c>
      <c r="K333" s="30"/>
      <c r="L333" s="15" t="s">
        <v>41</v>
      </c>
      <c r="M333" s="16" t="s">
        <v>41</v>
      </c>
      <c r="N333" s="13" t="s">
        <v>50</v>
      </c>
      <c r="O333" s="13" t="s">
        <v>41</v>
      </c>
      <c r="P333" s="12">
        <f>IF(Q333="", 0, 1)</f>
        <v>1</v>
      </c>
      <c r="Q333" s="12">
        <v>34</v>
      </c>
      <c r="R333" s="17"/>
      <c r="S333" s="17"/>
      <c r="T333" s="17">
        <v>34</v>
      </c>
      <c r="U333" s="17">
        <v>14</v>
      </c>
      <c r="V333" s="17">
        <v>49</v>
      </c>
      <c r="W333" s="17"/>
      <c r="X333" s="17"/>
      <c r="Y333" s="17"/>
      <c r="Z333" s="17" t="str">
        <f>IF(T333="", "mean", "med")</f>
        <v>med</v>
      </c>
      <c r="AA333" s="17">
        <f>IF(T333="", R333, T333)</f>
        <v>34</v>
      </c>
      <c r="AB333" s="12">
        <f>IF(AC333="", 0, 1)</f>
        <v>0</v>
      </c>
      <c r="AC333" s="13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>
        <f>IF(AO333="", 0, 1)</f>
        <v>1</v>
      </c>
      <c r="AO333" s="12">
        <v>34</v>
      </c>
      <c r="AP333" s="12"/>
      <c r="AQ333" s="12"/>
      <c r="AR333" s="12">
        <v>78</v>
      </c>
      <c r="AS333" s="12">
        <v>26</v>
      </c>
      <c r="AT333" s="12">
        <v>148</v>
      </c>
      <c r="AU333" s="12"/>
      <c r="AV333" s="12"/>
      <c r="AW333" s="12"/>
      <c r="AX333" s="12" t="str">
        <f>IF(AR333="", "mean", "med")</f>
        <v>med</v>
      </c>
      <c r="AY333" s="12">
        <f>IF(AR333="", AP333, AR333)</f>
        <v>78</v>
      </c>
      <c r="AZ333" s="49" t="s">
        <v>46</v>
      </c>
      <c r="BA333" s="49" t="str">
        <f>IF(AZ333="high","high","lower")</f>
        <v>lower</v>
      </c>
      <c r="BB333" s="49">
        <v>0.54600000000000004</v>
      </c>
      <c r="BC333" s="49"/>
      <c r="BD333" s="49"/>
      <c r="BE333" s="49"/>
      <c r="BF333" s="49"/>
      <c r="BG333" s="18" t="s">
        <v>1032</v>
      </c>
      <c r="BH333" s="18" t="s">
        <v>1033</v>
      </c>
    </row>
    <row r="334" spans="1:60" ht="15.75" customHeight="1" x14ac:dyDescent="0.2">
      <c r="A334" s="11">
        <v>333</v>
      </c>
      <c r="B334" s="12">
        <v>3121</v>
      </c>
      <c r="C334" s="13" t="s">
        <v>473</v>
      </c>
      <c r="D334" s="13" t="s">
        <v>233</v>
      </c>
      <c r="E334" s="23">
        <v>2016</v>
      </c>
      <c r="F334" s="23">
        <v>2017</v>
      </c>
      <c r="G334" s="13" t="s">
        <v>393</v>
      </c>
      <c r="H334" s="13"/>
      <c r="I334" s="13" t="s">
        <v>79</v>
      </c>
      <c r="J334" s="13" t="s">
        <v>234</v>
      </c>
      <c r="K334" s="30"/>
      <c r="L334" s="15" t="s">
        <v>41</v>
      </c>
      <c r="M334" s="16" t="s">
        <v>41</v>
      </c>
      <c r="N334" s="13" t="s">
        <v>50</v>
      </c>
      <c r="O334" s="14" t="s">
        <v>41</v>
      </c>
      <c r="P334" s="12">
        <f>IF(Q334="", 0, 1)</f>
        <v>1</v>
      </c>
      <c r="Q334" s="12">
        <v>29</v>
      </c>
      <c r="R334" s="17"/>
      <c r="S334" s="17"/>
      <c r="T334" s="17">
        <v>18</v>
      </c>
      <c r="U334" s="17">
        <v>6</v>
      </c>
      <c r="V334" s="17">
        <v>28</v>
      </c>
      <c r="W334" s="17"/>
      <c r="X334" s="17"/>
      <c r="Y334" s="17"/>
      <c r="Z334" s="17" t="str">
        <f>IF(T334="", "mean", "med")</f>
        <v>med</v>
      </c>
      <c r="AA334" s="17">
        <f>IF(T334="", R334, T334)</f>
        <v>18</v>
      </c>
      <c r="AB334" s="12">
        <f>IF(AC334="", 0, 1)</f>
        <v>0</v>
      </c>
      <c r="AC334" s="13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>
        <f>IF(AO334="", 0, 1)</f>
        <v>1</v>
      </c>
      <c r="AO334" s="12">
        <v>29</v>
      </c>
      <c r="AP334" s="12"/>
      <c r="AQ334" s="12"/>
      <c r="AR334" s="12">
        <v>45</v>
      </c>
      <c r="AS334" s="12">
        <v>25</v>
      </c>
      <c r="AT334" s="12">
        <v>90</v>
      </c>
      <c r="AU334" s="12"/>
      <c r="AV334" s="12"/>
      <c r="AW334" s="12"/>
      <c r="AX334" s="12" t="str">
        <f>IF(AR334="", "mean", "med")</f>
        <v>med</v>
      </c>
      <c r="AY334" s="12">
        <f>IF(AR334="", AP334, AR334)</f>
        <v>45</v>
      </c>
      <c r="AZ334" s="49" t="s">
        <v>46</v>
      </c>
      <c r="BA334" s="49" t="str">
        <f>IF(AZ334="high","high","lower")</f>
        <v>lower</v>
      </c>
      <c r="BB334" s="49">
        <v>0.54600000000000004</v>
      </c>
      <c r="BC334" s="49"/>
      <c r="BD334" s="49"/>
      <c r="BE334" s="49"/>
      <c r="BF334" s="49"/>
      <c r="BG334" s="18" t="s">
        <v>1032</v>
      </c>
      <c r="BH334" s="18" t="s">
        <v>1033</v>
      </c>
    </row>
    <row r="335" spans="1:60" ht="15.75" customHeight="1" x14ac:dyDescent="0.2">
      <c r="A335" s="11">
        <v>334</v>
      </c>
      <c r="B335" s="12">
        <v>3121</v>
      </c>
      <c r="C335" s="13" t="s">
        <v>473</v>
      </c>
      <c r="D335" s="13" t="s">
        <v>58</v>
      </c>
      <c r="E335" s="23">
        <v>2016</v>
      </c>
      <c r="F335" s="23">
        <v>2017</v>
      </c>
      <c r="G335" s="13" t="s">
        <v>393</v>
      </c>
      <c r="H335" s="13"/>
      <c r="I335" s="31" t="s">
        <v>57</v>
      </c>
      <c r="J335" s="13" t="s">
        <v>58</v>
      </c>
      <c r="K335" s="30"/>
      <c r="L335" s="15" t="s">
        <v>41</v>
      </c>
      <c r="M335" s="16" t="s">
        <v>41</v>
      </c>
      <c r="N335" s="13" t="s">
        <v>50</v>
      </c>
      <c r="O335" s="13" t="s">
        <v>41</v>
      </c>
      <c r="P335" s="12">
        <f>IF(Q335="", 0, 1)</f>
        <v>1</v>
      </c>
      <c r="Q335" s="12">
        <v>103</v>
      </c>
      <c r="R335" s="17"/>
      <c r="S335" s="17"/>
      <c r="T335" s="17">
        <v>28</v>
      </c>
      <c r="U335" s="17">
        <v>12</v>
      </c>
      <c r="V335" s="17">
        <v>44</v>
      </c>
      <c r="W335" s="17"/>
      <c r="X335" s="17"/>
      <c r="Y335" s="17"/>
      <c r="Z335" s="17" t="str">
        <f>IF(T335="", "mean", "med")</f>
        <v>med</v>
      </c>
      <c r="AA335" s="17">
        <f>IF(T335="", R335, T335)</f>
        <v>28</v>
      </c>
      <c r="AB335" s="12">
        <f>IF(AC335="", 0, 1)</f>
        <v>0</v>
      </c>
      <c r="AC335" s="13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>
        <f>IF(AO335="", 0, 1)</f>
        <v>1</v>
      </c>
      <c r="AO335" s="12">
        <v>103</v>
      </c>
      <c r="AP335" s="12"/>
      <c r="AQ335" s="12"/>
      <c r="AR335" s="12">
        <v>205</v>
      </c>
      <c r="AS335" s="12">
        <v>90</v>
      </c>
      <c r="AT335" s="12">
        <v>315</v>
      </c>
      <c r="AU335" s="12"/>
      <c r="AV335" s="12"/>
      <c r="AW335" s="12"/>
      <c r="AX335" s="12" t="str">
        <f>IF(AR335="", "mean", "med")</f>
        <v>med</v>
      </c>
      <c r="AY335" s="12">
        <f>IF(AR335="", AP335, AR335)</f>
        <v>205</v>
      </c>
      <c r="AZ335" s="49" t="s">
        <v>46</v>
      </c>
      <c r="BA335" s="49" t="str">
        <f>IF(AZ335="high","high","lower")</f>
        <v>lower</v>
      </c>
      <c r="BB335" s="49">
        <v>0.54600000000000004</v>
      </c>
      <c r="BC335" s="49"/>
      <c r="BD335" s="49"/>
      <c r="BE335" s="49"/>
      <c r="BF335" s="49"/>
      <c r="BG335" s="18" t="s">
        <v>1032</v>
      </c>
      <c r="BH335" s="18" t="s">
        <v>1033</v>
      </c>
    </row>
    <row r="336" spans="1:60" ht="15.75" customHeight="1" x14ac:dyDescent="0.2">
      <c r="A336" s="11">
        <v>335</v>
      </c>
      <c r="B336" s="12">
        <v>3121</v>
      </c>
      <c r="C336" s="13" t="s">
        <v>473</v>
      </c>
      <c r="D336" s="13" t="s">
        <v>119</v>
      </c>
      <c r="E336" s="23">
        <v>2016</v>
      </c>
      <c r="F336" s="23">
        <v>2017</v>
      </c>
      <c r="G336" s="13" t="s">
        <v>393</v>
      </c>
      <c r="H336" s="13"/>
      <c r="I336" s="31" t="s">
        <v>70</v>
      </c>
      <c r="J336" s="13" t="s">
        <v>119</v>
      </c>
      <c r="K336" s="30"/>
      <c r="L336" s="15" t="s">
        <v>41</v>
      </c>
      <c r="M336" s="16" t="s">
        <v>41</v>
      </c>
      <c r="N336" s="13" t="s">
        <v>50</v>
      </c>
      <c r="O336" s="13" t="s">
        <v>41</v>
      </c>
      <c r="P336" s="12">
        <f>IF(Q336="", 0, 1)</f>
        <v>1</v>
      </c>
      <c r="Q336" s="12">
        <v>31</v>
      </c>
      <c r="R336" s="17"/>
      <c r="S336" s="17"/>
      <c r="T336" s="17">
        <v>32</v>
      </c>
      <c r="U336" s="17">
        <v>15</v>
      </c>
      <c r="V336" s="17">
        <v>48</v>
      </c>
      <c r="W336" s="17"/>
      <c r="X336" s="17"/>
      <c r="Y336" s="17"/>
      <c r="Z336" s="17" t="str">
        <f>IF(T336="", "mean", "med")</f>
        <v>med</v>
      </c>
      <c r="AA336" s="17">
        <f>IF(T336="", R336, T336)</f>
        <v>32</v>
      </c>
      <c r="AB336" s="12">
        <f>IF(AC336="", 0, 1)</f>
        <v>0</v>
      </c>
      <c r="AC336" s="13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>
        <f>IF(AO336="", 0, 1)</f>
        <v>1</v>
      </c>
      <c r="AO336" s="12">
        <v>31</v>
      </c>
      <c r="AP336" s="12"/>
      <c r="AQ336" s="12"/>
      <c r="AR336" s="12">
        <v>85</v>
      </c>
      <c r="AS336" s="12">
        <v>38</v>
      </c>
      <c r="AT336" s="12">
        <v>139</v>
      </c>
      <c r="AU336" s="12"/>
      <c r="AV336" s="12"/>
      <c r="AW336" s="12"/>
      <c r="AX336" s="12" t="str">
        <f>IF(AR336="", "mean", "med")</f>
        <v>med</v>
      </c>
      <c r="AY336" s="12">
        <f>IF(AR336="", AP336, AR336)</f>
        <v>85</v>
      </c>
      <c r="AZ336" s="49" t="s">
        <v>46</v>
      </c>
      <c r="BA336" s="49" t="str">
        <f>IF(AZ336="high","high","lower")</f>
        <v>lower</v>
      </c>
      <c r="BB336" s="49">
        <v>0.54600000000000004</v>
      </c>
      <c r="BC336" s="49"/>
      <c r="BD336" s="49"/>
      <c r="BE336" s="49"/>
      <c r="BF336" s="49"/>
      <c r="BG336" s="18" t="s">
        <v>1032</v>
      </c>
      <c r="BH336" s="18" t="s">
        <v>1033</v>
      </c>
    </row>
    <row r="337" spans="1:60" ht="15.75" customHeight="1" x14ac:dyDescent="0.2">
      <c r="A337" s="11">
        <v>336</v>
      </c>
      <c r="B337" s="22">
        <v>3121</v>
      </c>
      <c r="C337" s="13" t="s">
        <v>473</v>
      </c>
      <c r="D337" s="13" t="s">
        <v>478</v>
      </c>
      <c r="E337" s="23">
        <v>2016</v>
      </c>
      <c r="F337" s="23">
        <v>2017</v>
      </c>
      <c r="G337" s="13" t="s">
        <v>393</v>
      </c>
      <c r="H337" s="13"/>
      <c r="I337" s="13" t="s">
        <v>79</v>
      </c>
      <c r="J337" s="31" t="s">
        <v>236</v>
      </c>
      <c r="K337" s="30" t="s">
        <v>478</v>
      </c>
      <c r="L337" s="15" t="s">
        <v>41</v>
      </c>
      <c r="M337" s="16" t="s">
        <v>41</v>
      </c>
      <c r="N337" s="13" t="s">
        <v>50</v>
      </c>
      <c r="O337" s="13" t="s">
        <v>41</v>
      </c>
      <c r="P337" s="12">
        <f>IF(Q337="", 0, 1)</f>
        <v>1</v>
      </c>
      <c r="Q337" s="12">
        <v>32</v>
      </c>
      <c r="R337" s="17"/>
      <c r="S337" s="17"/>
      <c r="T337" s="17">
        <v>20</v>
      </c>
      <c r="U337" s="17">
        <v>7</v>
      </c>
      <c r="V337" s="17">
        <v>32</v>
      </c>
      <c r="W337" s="17"/>
      <c r="X337" s="17"/>
      <c r="Y337" s="17"/>
      <c r="Z337" s="17" t="str">
        <f>IF(T337="", "mean", "med")</f>
        <v>med</v>
      </c>
      <c r="AA337" s="17">
        <f>IF(T337="", R337, T337)</f>
        <v>20</v>
      </c>
      <c r="AB337" s="12">
        <f>IF(AC337="", 0, 1)</f>
        <v>0</v>
      </c>
      <c r="AC337" s="13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>
        <f>IF(AO337="", 0, 1)</f>
        <v>1</v>
      </c>
      <c r="AO337" s="12">
        <v>32</v>
      </c>
      <c r="AP337" s="12"/>
      <c r="AQ337" s="12"/>
      <c r="AR337" s="12">
        <v>90</v>
      </c>
      <c r="AS337" s="12">
        <v>45</v>
      </c>
      <c r="AT337" s="12">
        <v>180</v>
      </c>
      <c r="AU337" s="12"/>
      <c r="AV337" s="12"/>
      <c r="AW337" s="12"/>
      <c r="AX337" s="12" t="str">
        <f>IF(AR337="", "mean", "med")</f>
        <v>med</v>
      </c>
      <c r="AY337" s="12">
        <f>IF(AR337="", AP337, AR337)</f>
        <v>90</v>
      </c>
      <c r="AZ337" s="49" t="s">
        <v>46</v>
      </c>
      <c r="BA337" s="49" t="str">
        <f>IF(AZ337="high","high","lower")</f>
        <v>lower</v>
      </c>
      <c r="BB337" s="49">
        <v>0.54600000000000004</v>
      </c>
      <c r="BC337" s="49"/>
      <c r="BD337" s="49"/>
      <c r="BE337" s="49"/>
      <c r="BF337" s="49"/>
      <c r="BG337" s="18" t="s">
        <v>1032</v>
      </c>
      <c r="BH337" s="18" t="s">
        <v>1033</v>
      </c>
    </row>
    <row r="338" spans="1:60" ht="15.75" customHeight="1" x14ac:dyDescent="0.2">
      <c r="A338" s="11">
        <v>337</v>
      </c>
      <c r="B338" s="12">
        <v>3121</v>
      </c>
      <c r="C338" s="13" t="s">
        <v>473</v>
      </c>
      <c r="D338" s="13" t="s">
        <v>479</v>
      </c>
      <c r="E338" s="23">
        <v>2016</v>
      </c>
      <c r="F338" s="23">
        <v>2017</v>
      </c>
      <c r="G338" s="13" t="s">
        <v>393</v>
      </c>
      <c r="H338" s="13"/>
      <c r="I338" s="13" t="s">
        <v>79</v>
      </c>
      <c r="J338" s="13" t="s">
        <v>479</v>
      </c>
      <c r="K338" s="30"/>
      <c r="L338" s="19" t="s">
        <v>41</v>
      </c>
      <c r="M338" s="16" t="s">
        <v>41</v>
      </c>
      <c r="N338" s="13" t="s">
        <v>50</v>
      </c>
      <c r="O338" s="13" t="s">
        <v>41</v>
      </c>
      <c r="P338" s="12">
        <f>IF(Q338="", 0, 1)</f>
        <v>1</v>
      </c>
      <c r="Q338" s="22">
        <v>53</v>
      </c>
      <c r="R338" s="17"/>
      <c r="S338" s="17"/>
      <c r="T338" s="17">
        <v>25</v>
      </c>
      <c r="U338" s="17">
        <v>12</v>
      </c>
      <c r="V338" s="17">
        <v>40</v>
      </c>
      <c r="W338" s="21"/>
      <c r="X338" s="17"/>
      <c r="Y338" s="17"/>
      <c r="Z338" s="17" t="str">
        <f>IF(T338="", "mean", "med")</f>
        <v>med</v>
      </c>
      <c r="AA338" s="17">
        <f>IF(T338="", R338, T338)</f>
        <v>25</v>
      </c>
      <c r="AB338" s="12">
        <f>IF(AC338="", 0, 1)</f>
        <v>0</v>
      </c>
      <c r="AC338" s="13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>
        <f>IF(AO338="", 0, 1)</f>
        <v>1</v>
      </c>
      <c r="AO338" s="12">
        <v>53</v>
      </c>
      <c r="AP338" s="12"/>
      <c r="AQ338" s="12"/>
      <c r="AR338" s="12">
        <v>90</v>
      </c>
      <c r="AS338" s="12">
        <v>60</v>
      </c>
      <c r="AT338" s="12">
        <v>105</v>
      </c>
      <c r="AU338" s="12"/>
      <c r="AV338" s="12"/>
      <c r="AW338" s="12"/>
      <c r="AX338" s="12" t="str">
        <f>IF(AR338="", "mean", "med")</f>
        <v>med</v>
      </c>
      <c r="AY338" s="12">
        <f>IF(AR338="", AP338, AR338)</f>
        <v>90</v>
      </c>
      <c r="AZ338" s="49" t="s">
        <v>46</v>
      </c>
      <c r="BA338" s="49" t="str">
        <f>IF(AZ338="high","high","lower")</f>
        <v>lower</v>
      </c>
      <c r="BB338" s="49">
        <v>0.54600000000000004</v>
      </c>
      <c r="BC338" s="49"/>
      <c r="BD338" s="49"/>
      <c r="BE338" s="49"/>
      <c r="BF338" s="49"/>
      <c r="BG338" s="18" t="s">
        <v>1032</v>
      </c>
      <c r="BH338" s="18" t="s">
        <v>1033</v>
      </c>
    </row>
    <row r="339" spans="1:60" ht="15.75" customHeight="1" x14ac:dyDescent="0.2">
      <c r="A339" s="11">
        <v>338</v>
      </c>
      <c r="B339" s="12">
        <v>3121</v>
      </c>
      <c r="C339" s="13" t="s">
        <v>473</v>
      </c>
      <c r="D339" s="13" t="s">
        <v>227</v>
      </c>
      <c r="E339" s="23">
        <v>2016</v>
      </c>
      <c r="F339" s="23">
        <v>2017</v>
      </c>
      <c r="G339" s="13" t="s">
        <v>393</v>
      </c>
      <c r="H339" s="13"/>
      <c r="I339" s="31" t="s">
        <v>54</v>
      </c>
      <c r="J339" s="13" t="s">
        <v>227</v>
      </c>
      <c r="K339" s="30"/>
      <c r="L339" s="19" t="s">
        <v>41</v>
      </c>
      <c r="M339" s="16" t="s">
        <v>41</v>
      </c>
      <c r="N339" s="13" t="s">
        <v>50</v>
      </c>
      <c r="O339" s="13" t="s">
        <v>41</v>
      </c>
      <c r="P339" s="12">
        <f>IF(Q339="", 0, 1)</f>
        <v>1</v>
      </c>
      <c r="Q339" s="22">
        <v>34</v>
      </c>
      <c r="R339" s="17"/>
      <c r="S339" s="17"/>
      <c r="T339" s="17">
        <v>22</v>
      </c>
      <c r="U339" s="17">
        <v>7</v>
      </c>
      <c r="V339" s="17">
        <v>34</v>
      </c>
      <c r="W339" s="17"/>
      <c r="X339" s="17"/>
      <c r="Y339" s="17"/>
      <c r="Z339" s="17" t="str">
        <f>IF(T339="", "mean", "med")</f>
        <v>med</v>
      </c>
      <c r="AA339" s="17">
        <f>IF(T339="", R339, T339)</f>
        <v>22</v>
      </c>
      <c r="AB339" s="12">
        <f>IF(AC339="", 0, 1)</f>
        <v>0</v>
      </c>
      <c r="AC339" s="13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>
        <f>IF(AO339="", 0, 1)</f>
        <v>1</v>
      </c>
      <c r="AO339" s="12">
        <v>34</v>
      </c>
      <c r="AP339" s="12"/>
      <c r="AQ339" s="12"/>
      <c r="AR339" s="12">
        <v>128</v>
      </c>
      <c r="AS339" s="12">
        <v>78</v>
      </c>
      <c r="AT339" s="12">
        <v>273</v>
      </c>
      <c r="AU339" s="12"/>
      <c r="AV339" s="12"/>
      <c r="AW339" s="12"/>
      <c r="AX339" s="12" t="str">
        <f>IF(AR339="", "mean", "med")</f>
        <v>med</v>
      </c>
      <c r="AY339" s="12">
        <f>IF(AR339="", AP339, AR339)</f>
        <v>128</v>
      </c>
      <c r="AZ339" s="49" t="s">
        <v>46</v>
      </c>
      <c r="BA339" s="49" t="str">
        <f>IF(AZ339="high","high","lower")</f>
        <v>lower</v>
      </c>
      <c r="BB339" s="49">
        <v>0.54600000000000004</v>
      </c>
      <c r="BC339" s="49"/>
      <c r="BD339" s="49"/>
      <c r="BE339" s="49"/>
      <c r="BF339" s="49"/>
      <c r="BG339" s="18" t="s">
        <v>1032</v>
      </c>
      <c r="BH339" s="18" t="s">
        <v>1033</v>
      </c>
    </row>
    <row r="340" spans="1:60" ht="15.75" customHeight="1" x14ac:dyDescent="0.2">
      <c r="A340" s="11">
        <v>339</v>
      </c>
      <c r="B340" s="22">
        <v>3168</v>
      </c>
      <c r="C340" s="13" t="s">
        <v>480</v>
      </c>
      <c r="D340" s="31" t="s">
        <v>38</v>
      </c>
      <c r="E340" s="23">
        <v>2001</v>
      </c>
      <c r="F340" s="23">
        <v>2002</v>
      </c>
      <c r="G340" s="13" t="s">
        <v>140</v>
      </c>
      <c r="H340" s="13"/>
      <c r="I340" s="13" t="s">
        <v>40</v>
      </c>
      <c r="J340" s="13" t="s">
        <v>40</v>
      </c>
      <c r="K340" s="30"/>
      <c r="L340" s="15">
        <v>100</v>
      </c>
      <c r="M340" s="16" t="s">
        <v>41</v>
      </c>
      <c r="N340" s="13" t="s">
        <v>42</v>
      </c>
      <c r="O340" s="13" t="s">
        <v>41</v>
      </c>
      <c r="P340" s="12">
        <f>IF(Q340="", 0, 1)</f>
        <v>1</v>
      </c>
      <c r="Q340" s="12">
        <v>499</v>
      </c>
      <c r="R340" s="17">
        <v>38</v>
      </c>
      <c r="S340" s="17">
        <v>79.8</v>
      </c>
      <c r="T340" s="17">
        <v>14</v>
      </c>
      <c r="U340" s="17"/>
      <c r="V340" s="17"/>
      <c r="W340" s="17"/>
      <c r="X340" s="17"/>
      <c r="Y340" s="17"/>
      <c r="Z340" s="17" t="str">
        <f>IF(T340="", "mean", "med")</f>
        <v>med</v>
      </c>
      <c r="AA340" s="17">
        <f>IF(T340="", R340, T340)</f>
        <v>14</v>
      </c>
      <c r="AB340" s="12">
        <f>IF(AC340="", 0, 1)</f>
        <v>0</v>
      </c>
      <c r="AC340" s="13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>
        <f>IF(AO340="", 0, 1)</f>
        <v>0</v>
      </c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49" t="s">
        <v>43</v>
      </c>
      <c r="BA340" s="49" t="str">
        <f>IF(AZ340="high","high","lower")</f>
        <v>lower</v>
      </c>
      <c r="BB340" s="49">
        <v>0.8</v>
      </c>
      <c r="BC340" s="49"/>
      <c r="BD340" s="49"/>
      <c r="BE340" s="49"/>
      <c r="BF340" s="49"/>
      <c r="BG340" s="18" t="s">
        <v>1034</v>
      </c>
      <c r="BH340" s="18" t="s">
        <v>1031</v>
      </c>
    </row>
    <row r="341" spans="1:60" ht="15.75" customHeight="1" x14ac:dyDescent="0.2">
      <c r="A341" s="11">
        <v>340</v>
      </c>
      <c r="B341" s="22">
        <v>3171</v>
      </c>
      <c r="C341" s="13" t="s">
        <v>481</v>
      </c>
      <c r="D341" s="14" t="s">
        <v>38</v>
      </c>
      <c r="E341" s="23">
        <v>2014</v>
      </c>
      <c r="F341" s="23">
        <v>2014</v>
      </c>
      <c r="G341" s="13" t="s">
        <v>49</v>
      </c>
      <c r="H341" s="13"/>
      <c r="I341" s="13" t="s">
        <v>40</v>
      </c>
      <c r="J341" s="13" t="s">
        <v>40</v>
      </c>
      <c r="K341" s="30"/>
      <c r="L341" s="19">
        <v>100</v>
      </c>
      <c r="M341" s="16" t="s">
        <v>41</v>
      </c>
      <c r="N341" s="14" t="s">
        <v>42</v>
      </c>
      <c r="O341" s="14" t="s">
        <v>90</v>
      </c>
      <c r="P341" s="12">
        <f>IF(Q341="", 0, 1)</f>
        <v>1</v>
      </c>
      <c r="Q341" s="12">
        <v>77805</v>
      </c>
      <c r="R341" s="17"/>
      <c r="S341" s="17"/>
      <c r="T341" s="17">
        <v>32.94</v>
      </c>
      <c r="U341" s="17"/>
      <c r="V341" s="17"/>
      <c r="W341" s="17"/>
      <c r="X341" s="17"/>
      <c r="Y341" s="17"/>
      <c r="Z341" s="17" t="str">
        <f>IF(T341="", "mean", "med")</f>
        <v>med</v>
      </c>
      <c r="AA341" s="17">
        <f>IF(T341="", R341, T341)</f>
        <v>32.94</v>
      </c>
      <c r="AB341" s="12">
        <f>IF(AC341="", 0, 1)</f>
        <v>0</v>
      </c>
      <c r="AC341" s="13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>
        <f>IF(AO341="", 0, 1)</f>
        <v>0</v>
      </c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 t="s">
        <v>52</v>
      </c>
      <c r="BA341" s="12" t="str">
        <f>IF(AZ341="high","high","lower")</f>
        <v>high</v>
      </c>
      <c r="BB341" s="49">
        <v>0.92</v>
      </c>
      <c r="BC341" s="12">
        <v>84</v>
      </c>
      <c r="BD341" s="12">
        <v>88</v>
      </c>
      <c r="BE341" s="12">
        <v>100</v>
      </c>
      <c r="BF341" s="12">
        <v>84.2</v>
      </c>
      <c r="BG341" s="18" t="s">
        <v>1030</v>
      </c>
      <c r="BH341" s="18" t="s">
        <v>1031</v>
      </c>
    </row>
    <row r="342" spans="1:60" ht="15.75" customHeight="1" x14ac:dyDescent="0.2">
      <c r="A342" s="11">
        <v>341</v>
      </c>
      <c r="B342" s="12">
        <v>3179</v>
      </c>
      <c r="C342" s="13" t="s">
        <v>482</v>
      </c>
      <c r="D342" s="13" t="s">
        <v>483</v>
      </c>
      <c r="E342" s="23">
        <v>2002</v>
      </c>
      <c r="F342" s="23">
        <v>2012</v>
      </c>
      <c r="G342" s="13" t="s">
        <v>312</v>
      </c>
      <c r="H342" s="13" t="s">
        <v>484</v>
      </c>
      <c r="I342" s="13" t="s">
        <v>94</v>
      </c>
      <c r="J342" s="13" t="s">
        <v>95</v>
      </c>
      <c r="K342" s="13" t="s">
        <v>485</v>
      </c>
      <c r="L342" s="15">
        <f>100-54</f>
        <v>46</v>
      </c>
      <c r="M342" s="16">
        <v>61</v>
      </c>
      <c r="N342" s="13" t="s">
        <v>50</v>
      </c>
      <c r="O342" s="14" t="s">
        <v>41</v>
      </c>
      <c r="P342" s="12">
        <f>IF(Q342="", 0, 1)</f>
        <v>1</v>
      </c>
      <c r="Q342" s="12">
        <v>1444</v>
      </c>
      <c r="R342" s="17"/>
      <c r="S342" s="17"/>
      <c r="T342" s="17">
        <v>23</v>
      </c>
      <c r="U342" s="17"/>
      <c r="V342" s="17"/>
      <c r="W342" s="17"/>
      <c r="X342" s="17">
        <v>0</v>
      </c>
      <c r="Y342" s="17">
        <v>215</v>
      </c>
      <c r="Z342" s="17" t="str">
        <f>IF(T342="", "mean", "med")</f>
        <v>med</v>
      </c>
      <c r="AA342" s="17">
        <f>IF(T342="", R342, T342)</f>
        <v>23</v>
      </c>
      <c r="AB342" s="12">
        <f>IF(AC342="", 0, 1)</f>
        <v>0</v>
      </c>
      <c r="AC342" s="13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>
        <f>IF(AO342="", 0, 1)</f>
        <v>0</v>
      </c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49" t="s">
        <v>52</v>
      </c>
      <c r="BA342" s="49" t="str">
        <f>IF(AZ342="high","high","lower")</f>
        <v>high</v>
      </c>
      <c r="BB342" s="49">
        <v>0.89900000000000002</v>
      </c>
      <c r="BC342" s="49"/>
      <c r="BD342" s="49"/>
      <c r="BE342" s="49"/>
      <c r="BF342" s="49"/>
      <c r="BG342" s="18" t="s">
        <v>1030</v>
      </c>
      <c r="BH342" s="18" t="s">
        <v>1031</v>
      </c>
    </row>
    <row r="343" spans="1:60" ht="15.75" customHeight="1" x14ac:dyDescent="0.2">
      <c r="A343" s="11">
        <v>342</v>
      </c>
      <c r="B343" s="12">
        <v>3179</v>
      </c>
      <c r="C343" s="13" t="s">
        <v>482</v>
      </c>
      <c r="D343" s="13" t="s">
        <v>486</v>
      </c>
      <c r="E343" s="23">
        <v>2002</v>
      </c>
      <c r="F343" s="23">
        <v>2013</v>
      </c>
      <c r="G343" s="13" t="s">
        <v>49</v>
      </c>
      <c r="H343" s="13"/>
      <c r="I343" s="13" t="s">
        <v>94</v>
      </c>
      <c r="J343" s="13" t="s">
        <v>95</v>
      </c>
      <c r="K343" s="13" t="s">
        <v>485</v>
      </c>
      <c r="L343" s="15">
        <f>100-57</f>
        <v>43</v>
      </c>
      <c r="M343" s="16">
        <v>63</v>
      </c>
      <c r="N343" s="13" t="s">
        <v>42</v>
      </c>
      <c r="O343" s="14" t="s">
        <v>487</v>
      </c>
      <c r="P343" s="12">
        <f>IF(Q343="", 0, 1)</f>
        <v>1</v>
      </c>
      <c r="Q343" s="12">
        <v>986</v>
      </c>
      <c r="R343" s="17"/>
      <c r="S343" s="17"/>
      <c r="T343" s="17">
        <v>15</v>
      </c>
      <c r="U343" s="17"/>
      <c r="V343" s="17"/>
      <c r="W343" s="17"/>
      <c r="X343" s="17">
        <v>0</v>
      </c>
      <c r="Y343" s="17">
        <v>155</v>
      </c>
      <c r="Z343" s="17" t="str">
        <f>IF(T343="", "mean", "med")</f>
        <v>med</v>
      </c>
      <c r="AA343" s="17">
        <f>IF(T343="", R343, T343)</f>
        <v>15</v>
      </c>
      <c r="AB343" s="12">
        <f>IF(AC343="", 0, 1)</f>
        <v>0</v>
      </c>
      <c r="AC343" s="13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>
        <f>IF(AO343="", 0, 1)</f>
        <v>0</v>
      </c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 t="s">
        <v>52</v>
      </c>
      <c r="BA343" s="12" t="str">
        <f>IF(AZ343="high","high","lower")</f>
        <v>high</v>
      </c>
      <c r="BB343" s="49">
        <v>0.90700000000000003</v>
      </c>
      <c r="BC343" s="12">
        <v>84</v>
      </c>
      <c r="BD343" s="12">
        <v>88</v>
      </c>
      <c r="BE343" s="12">
        <v>100</v>
      </c>
      <c r="BF343" s="12">
        <v>84.2</v>
      </c>
      <c r="BG343" s="18" t="s">
        <v>1030</v>
      </c>
      <c r="BH343" s="18" t="s">
        <v>1031</v>
      </c>
    </row>
    <row r="344" spans="1:60" ht="15.75" customHeight="1" x14ac:dyDescent="0.2">
      <c r="A344" s="11">
        <v>343</v>
      </c>
      <c r="B344" s="12">
        <v>3207</v>
      </c>
      <c r="C344" s="13" t="s">
        <v>488</v>
      </c>
      <c r="D344" s="13" t="s">
        <v>38</v>
      </c>
      <c r="E344" s="23">
        <v>2014</v>
      </c>
      <c r="F344" s="23">
        <v>2015</v>
      </c>
      <c r="G344" s="13" t="s">
        <v>158</v>
      </c>
      <c r="H344" s="13"/>
      <c r="I344" s="13" t="s">
        <v>40</v>
      </c>
      <c r="J344" s="13" t="s">
        <v>40</v>
      </c>
      <c r="K344" s="13"/>
      <c r="L344" s="19">
        <v>100</v>
      </c>
      <c r="M344" s="16">
        <v>54</v>
      </c>
      <c r="N344" s="13" t="s">
        <v>50</v>
      </c>
      <c r="O344" s="14"/>
      <c r="P344" s="12">
        <f>IF(Q344="", 0, 1)</f>
        <v>0</v>
      </c>
      <c r="Q344" s="12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2">
        <f>IF(AC344="", 0, 1)</f>
        <v>0</v>
      </c>
      <c r="AC344" s="13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>
        <f>IF(AO344="", 0, 1)</f>
        <v>1</v>
      </c>
      <c r="AO344" s="12">
        <v>388</v>
      </c>
      <c r="AP344" s="12"/>
      <c r="AQ344" s="12"/>
      <c r="AR344" s="12">
        <v>41</v>
      </c>
      <c r="AS344" s="12">
        <v>13.2</v>
      </c>
      <c r="AT344" s="12">
        <v>130</v>
      </c>
      <c r="AU344" s="12"/>
      <c r="AV344" s="12"/>
      <c r="AW344" s="12"/>
      <c r="AX344" s="12" t="str">
        <f>IF(AR344="", "mean", "med")</f>
        <v>med</v>
      </c>
      <c r="AY344" s="12">
        <f>IF(AR344="", AP344, AR344)</f>
        <v>41</v>
      </c>
      <c r="AZ344" s="12" t="s">
        <v>43</v>
      </c>
      <c r="BA344" s="12" t="str">
        <f>IF(AZ344="high","high","lower")</f>
        <v>lower</v>
      </c>
      <c r="BB344" s="49">
        <v>0.75600000000000001</v>
      </c>
      <c r="BC344" s="12">
        <v>82.2</v>
      </c>
      <c r="BD344" s="12">
        <v>94.4</v>
      </c>
      <c r="BE344" s="12">
        <v>83.3</v>
      </c>
      <c r="BF344" s="12">
        <v>84.1</v>
      </c>
      <c r="BG344" s="18" t="s">
        <v>1030</v>
      </c>
      <c r="BH344" s="18" t="s">
        <v>1031</v>
      </c>
    </row>
    <row r="345" spans="1:60" ht="15.75" customHeight="1" x14ac:dyDescent="0.2">
      <c r="A345" s="11">
        <v>344</v>
      </c>
      <c r="B345" s="12">
        <v>3212</v>
      </c>
      <c r="C345" s="13" t="s">
        <v>489</v>
      </c>
      <c r="D345" s="13" t="s">
        <v>490</v>
      </c>
      <c r="E345" s="23">
        <v>2004</v>
      </c>
      <c r="F345" s="23">
        <v>2013</v>
      </c>
      <c r="G345" s="13" t="s">
        <v>49</v>
      </c>
      <c r="H345" s="13"/>
      <c r="I345" s="13" t="s">
        <v>79</v>
      </c>
      <c r="J345" s="13" t="s">
        <v>234</v>
      </c>
      <c r="K345" s="13"/>
      <c r="L345" s="19">
        <f>(1021+763+350)/(1021+763+350+4132+2935+1302)*100</f>
        <v>20.318004379701037</v>
      </c>
      <c r="M345" s="16" t="s">
        <v>41</v>
      </c>
      <c r="N345" s="13" t="s">
        <v>99</v>
      </c>
      <c r="O345" s="14" t="s">
        <v>90</v>
      </c>
      <c r="P345" s="12">
        <f>IF(Q345="", 0, 1)</f>
        <v>1</v>
      </c>
      <c r="Q345" s="12">
        <f>1021+763+350+4132+2935+1302</f>
        <v>10503</v>
      </c>
      <c r="R345" s="17"/>
      <c r="S345" s="17"/>
      <c r="T345" s="17">
        <v>28</v>
      </c>
      <c r="U345" s="17"/>
      <c r="V345" s="17"/>
      <c r="W345" s="17"/>
      <c r="X345" s="17"/>
      <c r="Y345" s="17"/>
      <c r="Z345" s="17" t="str">
        <f>IF(T345="", "mean", "med")</f>
        <v>med</v>
      </c>
      <c r="AA345" s="17">
        <f>IF(T345="", R345, T345)</f>
        <v>28</v>
      </c>
      <c r="AB345" s="12">
        <f>IF(AC345="", 0, 1)</f>
        <v>0</v>
      </c>
      <c r="AC345" s="13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>
        <f>IF(AO345="", 0, 1)</f>
        <v>0</v>
      </c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 t="s">
        <v>52</v>
      </c>
      <c r="BA345" s="12" t="str">
        <f>IF(AZ345="high","high","lower")</f>
        <v>high</v>
      </c>
      <c r="BB345" s="49">
        <v>0.91</v>
      </c>
      <c r="BC345" s="12">
        <v>84</v>
      </c>
      <c r="BD345" s="12">
        <v>88</v>
      </c>
      <c r="BE345" s="12">
        <v>100</v>
      </c>
      <c r="BF345" s="12">
        <v>84.2</v>
      </c>
      <c r="BG345" s="18" t="s">
        <v>1030</v>
      </c>
      <c r="BH345" s="18" t="s">
        <v>1031</v>
      </c>
    </row>
    <row r="346" spans="1:60" ht="15.75" customHeight="1" x14ac:dyDescent="0.2">
      <c r="A346" s="11">
        <v>345</v>
      </c>
      <c r="B346" s="12">
        <v>3212</v>
      </c>
      <c r="C346" s="13" t="s">
        <v>489</v>
      </c>
      <c r="D346" s="14" t="s">
        <v>491</v>
      </c>
      <c r="E346" s="23">
        <v>2004</v>
      </c>
      <c r="F346" s="23">
        <v>2013</v>
      </c>
      <c r="G346" s="13" t="s">
        <v>49</v>
      </c>
      <c r="H346" s="13"/>
      <c r="I346" s="13" t="s">
        <v>79</v>
      </c>
      <c r="J346" s="13" t="s">
        <v>234</v>
      </c>
      <c r="K346" s="14"/>
      <c r="L346" s="19">
        <f>(2638+2503)/(2638+2503+11193+6982)*100</f>
        <v>22.049236575741979</v>
      </c>
      <c r="M346" s="20" t="s">
        <v>41</v>
      </c>
      <c r="N346" s="13" t="s">
        <v>99</v>
      </c>
      <c r="O346" s="14" t="s">
        <v>492</v>
      </c>
      <c r="P346" s="12">
        <f>IF(Q346="", 0, 1)</f>
        <v>1</v>
      </c>
      <c r="Q346" s="12">
        <f>2638+2503+11193+6982</f>
        <v>23316</v>
      </c>
      <c r="R346" s="21"/>
      <c r="S346" s="17"/>
      <c r="T346" s="17">
        <v>33</v>
      </c>
      <c r="U346" s="17"/>
      <c r="V346" s="17"/>
      <c r="W346" s="17"/>
      <c r="X346" s="17"/>
      <c r="Y346" s="17"/>
      <c r="Z346" s="17" t="str">
        <f>IF(T346="", "mean", "med")</f>
        <v>med</v>
      </c>
      <c r="AA346" s="17">
        <f>IF(T346="", R346, T346)</f>
        <v>33</v>
      </c>
      <c r="AB346" s="12">
        <f>IF(AC346="", 0, 1)</f>
        <v>0</v>
      </c>
      <c r="AC346" s="13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>
        <f>IF(AO346="", 0, 1)</f>
        <v>0</v>
      </c>
      <c r="AO346" s="22"/>
      <c r="AP346" s="12"/>
      <c r="AQ346" s="12"/>
      <c r="AR346" s="22"/>
      <c r="AS346" s="12"/>
      <c r="AT346" s="12"/>
      <c r="AU346" s="12"/>
      <c r="AV346" s="12"/>
      <c r="AW346" s="12"/>
      <c r="AX346" s="12"/>
      <c r="AY346" s="12"/>
      <c r="AZ346" s="12" t="s">
        <v>52</v>
      </c>
      <c r="BA346" s="12" t="str">
        <f>IF(AZ346="high","high","lower")</f>
        <v>high</v>
      </c>
      <c r="BB346" s="49">
        <v>0.91</v>
      </c>
      <c r="BC346" s="12">
        <v>84</v>
      </c>
      <c r="BD346" s="12">
        <v>88</v>
      </c>
      <c r="BE346" s="12">
        <v>100</v>
      </c>
      <c r="BF346" s="12">
        <v>84.2</v>
      </c>
      <c r="BG346" s="18" t="s">
        <v>1030</v>
      </c>
      <c r="BH346" s="18" t="s">
        <v>1031</v>
      </c>
    </row>
    <row r="347" spans="1:60" ht="15.75" customHeight="1" x14ac:dyDescent="0.2">
      <c r="A347" s="11">
        <v>346</v>
      </c>
      <c r="B347" s="12">
        <v>3213</v>
      </c>
      <c r="C347" s="13" t="s">
        <v>489</v>
      </c>
      <c r="D347" s="14" t="s">
        <v>38</v>
      </c>
      <c r="E347" s="23">
        <v>2004</v>
      </c>
      <c r="F347" s="23">
        <v>2013</v>
      </c>
      <c r="G347" s="13" t="s">
        <v>49</v>
      </c>
      <c r="H347" s="13"/>
      <c r="I347" s="13" t="s">
        <v>79</v>
      </c>
      <c r="J347" s="13" t="s">
        <v>493</v>
      </c>
      <c r="K347" s="14"/>
      <c r="L347" s="19">
        <v>49.07</v>
      </c>
      <c r="M347" s="16" t="s">
        <v>41</v>
      </c>
      <c r="N347" s="13" t="s">
        <v>99</v>
      </c>
      <c r="O347" s="14" t="s">
        <v>494</v>
      </c>
      <c r="P347" s="12">
        <f>IF(Q347="", 0, 1)</f>
        <v>1</v>
      </c>
      <c r="Q347" s="22">
        <v>5953</v>
      </c>
      <c r="R347" s="17"/>
      <c r="S347" s="17"/>
      <c r="T347" s="17">
        <v>31</v>
      </c>
      <c r="U347" s="17"/>
      <c r="V347" s="17"/>
      <c r="W347" s="17"/>
      <c r="X347" s="17"/>
      <c r="Y347" s="17"/>
      <c r="Z347" s="17" t="str">
        <f>IF(T347="", "mean", "med")</f>
        <v>med</v>
      </c>
      <c r="AA347" s="17">
        <f>IF(T347="", R347, T347)</f>
        <v>31</v>
      </c>
      <c r="AB347" s="12">
        <f>IF(AC347="", 0, 1)</f>
        <v>0</v>
      </c>
      <c r="AC347" s="13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>
        <f>IF(AO347="", 0, 1)</f>
        <v>0</v>
      </c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 t="s">
        <v>52</v>
      </c>
      <c r="BA347" s="12" t="str">
        <f>IF(AZ347="high","high","lower")</f>
        <v>high</v>
      </c>
      <c r="BB347" s="49">
        <v>0.91</v>
      </c>
      <c r="BC347" s="12">
        <v>84</v>
      </c>
      <c r="BD347" s="12">
        <v>88</v>
      </c>
      <c r="BE347" s="12">
        <v>100</v>
      </c>
      <c r="BF347" s="12">
        <v>84.2</v>
      </c>
      <c r="BG347" s="18" t="s">
        <v>1030</v>
      </c>
      <c r="BH347" s="18" t="s">
        <v>1031</v>
      </c>
    </row>
    <row r="348" spans="1:60" ht="15.75" customHeight="1" x14ac:dyDescent="0.2">
      <c r="A348" s="11">
        <v>347</v>
      </c>
      <c r="B348" s="22">
        <v>3215</v>
      </c>
      <c r="C348" s="13" t="s">
        <v>489</v>
      </c>
      <c r="D348" s="13" t="s">
        <v>38</v>
      </c>
      <c r="E348" s="23">
        <v>2010</v>
      </c>
      <c r="F348" s="23">
        <v>2013</v>
      </c>
      <c r="G348" s="13" t="s">
        <v>49</v>
      </c>
      <c r="H348" s="13"/>
      <c r="I348" s="13" t="s">
        <v>79</v>
      </c>
      <c r="J348" s="13" t="s">
        <v>238</v>
      </c>
      <c r="K348" s="13"/>
      <c r="L348" s="19">
        <f>(311+203)/(311+203+1701+829)*100</f>
        <v>16.885676741130094</v>
      </c>
      <c r="M348" s="16" t="s">
        <v>41</v>
      </c>
      <c r="N348" s="13" t="s">
        <v>42</v>
      </c>
      <c r="O348" s="14" t="s">
        <v>495</v>
      </c>
      <c r="P348" s="12">
        <f>IF(Q348="", 0, 1)</f>
        <v>1</v>
      </c>
      <c r="Q348" s="52">
        <v>3044</v>
      </c>
      <c r="R348" s="17"/>
      <c r="S348" s="17"/>
      <c r="T348" s="17">
        <v>35</v>
      </c>
      <c r="U348" s="17"/>
      <c r="V348" s="17"/>
      <c r="W348" s="17"/>
      <c r="X348" s="17"/>
      <c r="Y348" s="17"/>
      <c r="Z348" s="17" t="str">
        <f>IF(T348="", "mean", "med")</f>
        <v>med</v>
      </c>
      <c r="AA348" s="17">
        <f>IF(T348="", R348, T348)</f>
        <v>35</v>
      </c>
      <c r="AB348" s="12">
        <f>IF(AC348="", 0, 1)</f>
        <v>0</v>
      </c>
      <c r="AC348" s="13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>
        <f>IF(AO348="", 0, 1)</f>
        <v>0</v>
      </c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 t="s">
        <v>52</v>
      </c>
      <c r="BA348" s="12" t="str">
        <f>IF(AZ348="high","high","lower")</f>
        <v>high</v>
      </c>
      <c r="BB348" s="49">
        <v>0.91800000000000004</v>
      </c>
      <c r="BC348" s="12">
        <v>84</v>
      </c>
      <c r="BD348" s="12">
        <v>88</v>
      </c>
      <c r="BE348" s="12">
        <v>100</v>
      </c>
      <c r="BF348" s="12">
        <v>84.2</v>
      </c>
      <c r="BG348" s="18" t="s">
        <v>1030</v>
      </c>
      <c r="BH348" s="18" t="s">
        <v>1031</v>
      </c>
    </row>
    <row r="349" spans="1:60" ht="15.75" customHeight="1" x14ac:dyDescent="0.2">
      <c r="A349" s="11">
        <v>348</v>
      </c>
      <c r="B349" s="22">
        <v>3226</v>
      </c>
      <c r="C349" s="13" t="s">
        <v>496</v>
      </c>
      <c r="D349" s="13" t="s">
        <v>38</v>
      </c>
      <c r="E349" s="23">
        <v>1997</v>
      </c>
      <c r="F349" s="23">
        <v>2007</v>
      </c>
      <c r="G349" s="13" t="s">
        <v>140</v>
      </c>
      <c r="H349" s="13"/>
      <c r="I349" s="13" t="s">
        <v>79</v>
      </c>
      <c r="J349" s="14" t="s">
        <v>234</v>
      </c>
      <c r="K349" s="14" t="s">
        <v>497</v>
      </c>
      <c r="L349" s="15">
        <f>27/569*100</f>
        <v>4.7451669595782073</v>
      </c>
      <c r="M349" s="16">
        <v>60</v>
      </c>
      <c r="N349" s="13" t="s">
        <v>42</v>
      </c>
      <c r="O349" s="13" t="s">
        <v>142</v>
      </c>
      <c r="P349" s="12">
        <f>IF(Q349="", 0, 1)</f>
        <v>1</v>
      </c>
      <c r="Q349" s="12">
        <v>569</v>
      </c>
      <c r="R349" s="17">
        <v>56</v>
      </c>
      <c r="S349" s="17"/>
      <c r="T349" s="17"/>
      <c r="U349" s="17"/>
      <c r="V349" s="17"/>
      <c r="W349" s="17"/>
      <c r="X349" s="17">
        <v>14</v>
      </c>
      <c r="Y349" s="17">
        <v>145</v>
      </c>
      <c r="Z349" s="17" t="str">
        <f>IF(T349="", "mean", "med")</f>
        <v>mean</v>
      </c>
      <c r="AA349" s="17">
        <f>IF(T349="", R349, T349)</f>
        <v>56</v>
      </c>
      <c r="AB349" s="12">
        <f>IF(AC349="", 0, 1)</f>
        <v>0</v>
      </c>
      <c r="AC349" s="13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>
        <f>IF(AO349="", 0, 1)</f>
        <v>0</v>
      </c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49" t="s">
        <v>43</v>
      </c>
      <c r="BA349" s="49" t="str">
        <f>IF(AZ349="high","high","lower")</f>
        <v>lower</v>
      </c>
      <c r="BB349" s="49">
        <v>0.79800000000000004</v>
      </c>
      <c r="BC349" s="49"/>
      <c r="BD349" s="49"/>
      <c r="BE349" s="49"/>
      <c r="BF349" s="49"/>
      <c r="BG349" s="18" t="s">
        <v>1030</v>
      </c>
      <c r="BH349" s="18" t="s">
        <v>1031</v>
      </c>
    </row>
    <row r="350" spans="1:60" ht="15.75" customHeight="1" x14ac:dyDescent="0.2">
      <c r="A350" s="11">
        <v>349</v>
      </c>
      <c r="B350" s="12">
        <v>3232</v>
      </c>
      <c r="C350" s="13" t="s">
        <v>498</v>
      </c>
      <c r="D350" s="13" t="s">
        <v>38</v>
      </c>
      <c r="E350" s="23">
        <v>2004</v>
      </c>
      <c r="F350" s="23">
        <v>2005</v>
      </c>
      <c r="G350" s="13" t="s">
        <v>499</v>
      </c>
      <c r="H350" s="13"/>
      <c r="I350" s="13" t="s">
        <v>40</v>
      </c>
      <c r="J350" s="13" t="s">
        <v>40</v>
      </c>
      <c r="K350" s="13"/>
      <c r="L350" s="15">
        <v>100</v>
      </c>
      <c r="M350" s="16" t="s">
        <v>41</v>
      </c>
      <c r="N350" s="13" t="s">
        <v>42</v>
      </c>
      <c r="O350" s="14" t="s">
        <v>500</v>
      </c>
      <c r="P350" s="12">
        <f>IF(Q350="", 0, 1)</f>
        <v>1</v>
      </c>
      <c r="Q350" s="12">
        <v>648</v>
      </c>
      <c r="R350" s="17">
        <v>25.69</v>
      </c>
      <c r="S350" s="17"/>
      <c r="T350" s="17">
        <v>18</v>
      </c>
      <c r="U350" s="17"/>
      <c r="V350" s="17"/>
      <c r="W350" s="17"/>
      <c r="X350" s="17">
        <v>1</v>
      </c>
      <c r="Y350" s="17">
        <v>450</v>
      </c>
      <c r="Z350" s="17" t="str">
        <f>IF(T350="", "mean", "med")</f>
        <v>med</v>
      </c>
      <c r="AA350" s="17">
        <f>IF(T350="", R350, T350)</f>
        <v>18</v>
      </c>
      <c r="AB350" s="12">
        <f>IF(AC350="", 0, 1)</f>
        <v>0</v>
      </c>
      <c r="AC350" s="13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>
        <f>IF(AO350="", 0, 1)</f>
        <v>0</v>
      </c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49" t="s">
        <v>43</v>
      </c>
      <c r="BA350" s="49" t="str">
        <f>IF(AZ350="high","high","lower")</f>
        <v>lower</v>
      </c>
      <c r="BB350" s="49">
        <v>0.73199999999999998</v>
      </c>
      <c r="BC350" s="49"/>
      <c r="BD350" s="49"/>
      <c r="BE350" s="49"/>
      <c r="BF350" s="49"/>
      <c r="BG350" s="18" t="s">
        <v>1030</v>
      </c>
      <c r="BH350" s="18" t="s">
        <v>1031</v>
      </c>
    </row>
    <row r="351" spans="1:60" ht="15.75" customHeight="1" x14ac:dyDescent="0.2">
      <c r="A351" s="11">
        <v>350</v>
      </c>
      <c r="B351" s="12">
        <v>3297</v>
      </c>
      <c r="C351" s="13" t="s">
        <v>501</v>
      </c>
      <c r="D351" s="14" t="s">
        <v>38</v>
      </c>
      <c r="E351" s="23">
        <v>2015</v>
      </c>
      <c r="F351" s="23">
        <v>2016</v>
      </c>
      <c r="G351" s="13" t="s">
        <v>74</v>
      </c>
      <c r="H351" s="13"/>
      <c r="I351" s="13" t="s">
        <v>79</v>
      </c>
      <c r="J351" s="13" t="s">
        <v>79</v>
      </c>
      <c r="K351" s="14"/>
      <c r="L351" s="19">
        <v>27</v>
      </c>
      <c r="M351" s="20">
        <v>62</v>
      </c>
      <c r="N351" s="13" t="s">
        <v>99</v>
      </c>
      <c r="O351" s="14"/>
      <c r="P351" s="12">
        <f>IF(Q351="", 0, 1)</f>
        <v>0</v>
      </c>
      <c r="Q351" s="12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2">
        <f>IF(AC351="", 0, 1)</f>
        <v>0</v>
      </c>
      <c r="AC351" s="13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>
        <f>IF(AO351="", 0, 1)</f>
        <v>1</v>
      </c>
      <c r="AO351" s="22">
        <v>142</v>
      </c>
      <c r="AP351" s="12">
        <v>128</v>
      </c>
      <c r="AQ351" s="12"/>
      <c r="AR351" s="22">
        <v>35</v>
      </c>
      <c r="AS351" s="12"/>
      <c r="AT351" s="12"/>
      <c r="AU351" s="12"/>
      <c r="AV351" s="12">
        <v>0</v>
      </c>
      <c r="AW351" s="12">
        <f>(8.9*365)</f>
        <v>3248.5</v>
      </c>
      <c r="AX351" s="12" t="str">
        <f>IF(AR351="", "mean", "med")</f>
        <v>med</v>
      </c>
      <c r="AY351" s="12">
        <f>IF(AR351="", AP351, AR351)</f>
        <v>35</v>
      </c>
      <c r="AZ351" s="49" t="s">
        <v>52</v>
      </c>
      <c r="BA351" s="49" t="str">
        <f>IF(AZ351="high","high","lower")</f>
        <v>high</v>
      </c>
      <c r="BB351" s="49">
        <v>0.93100000000000005</v>
      </c>
      <c r="BC351" s="49"/>
      <c r="BD351" s="49"/>
      <c r="BE351" s="49"/>
      <c r="BF351" s="49"/>
      <c r="BG351" s="18" t="s">
        <v>1034</v>
      </c>
      <c r="BH351" s="18" t="s">
        <v>1031</v>
      </c>
    </row>
    <row r="352" spans="1:60" ht="15.75" customHeight="1" x14ac:dyDescent="0.2">
      <c r="A352" s="11">
        <v>351</v>
      </c>
      <c r="B352" s="12">
        <v>3299</v>
      </c>
      <c r="C352" s="13" t="s">
        <v>501</v>
      </c>
      <c r="D352" s="13" t="s">
        <v>38</v>
      </c>
      <c r="E352" s="23">
        <v>2016</v>
      </c>
      <c r="F352" s="23">
        <v>2018</v>
      </c>
      <c r="G352" s="13" t="s">
        <v>74</v>
      </c>
      <c r="H352" s="13"/>
      <c r="I352" s="13" t="s">
        <v>79</v>
      </c>
      <c r="J352" s="13" t="s">
        <v>238</v>
      </c>
      <c r="K352" s="14"/>
      <c r="L352" s="19">
        <v>27.7</v>
      </c>
      <c r="M352" s="20" t="s">
        <v>41</v>
      </c>
      <c r="N352" s="13" t="s">
        <v>42</v>
      </c>
      <c r="O352" s="13" t="s">
        <v>502</v>
      </c>
      <c r="P352" s="12">
        <f>IF(Q352="", 0, 1)</f>
        <v>1</v>
      </c>
      <c r="Q352" s="12">
        <v>83</v>
      </c>
      <c r="R352" s="17">
        <v>30</v>
      </c>
      <c r="S352" s="17"/>
      <c r="T352" s="17">
        <v>29</v>
      </c>
      <c r="U352" s="17"/>
      <c r="V352" s="17"/>
      <c r="W352" s="17"/>
      <c r="X352" s="17">
        <v>0</v>
      </c>
      <c r="Y352" s="17">
        <v>73</v>
      </c>
      <c r="Z352" s="17" t="str">
        <f>IF(T352="", "mean", "med")</f>
        <v>med</v>
      </c>
      <c r="AA352" s="17">
        <f>IF(T352="", R352, T352)</f>
        <v>29</v>
      </c>
      <c r="AB352" s="12">
        <f>IF(AC352="", 0, 1)</f>
        <v>0</v>
      </c>
      <c r="AC352" s="13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>
        <f>IF(AO352="", 0, 1)</f>
        <v>1</v>
      </c>
      <c r="AO352" s="12">
        <v>83</v>
      </c>
      <c r="AP352" s="12">
        <v>56</v>
      </c>
      <c r="AQ352" s="12"/>
      <c r="AR352" s="12">
        <v>30</v>
      </c>
      <c r="AS352" s="12"/>
      <c r="AT352" s="12"/>
      <c r="AU352" s="12"/>
      <c r="AV352" s="12">
        <v>0</v>
      </c>
      <c r="AW352" s="12">
        <v>366</v>
      </c>
      <c r="AX352" s="12" t="str">
        <f>IF(AR352="", "mean", "med")</f>
        <v>med</v>
      </c>
      <c r="AY352" s="12">
        <f>IF(AR352="", AP352, AR352)</f>
        <v>30</v>
      </c>
      <c r="AZ352" s="49" t="s">
        <v>52</v>
      </c>
      <c r="BA352" s="49" t="str">
        <f>IF(AZ352="high","high","lower")</f>
        <v>high</v>
      </c>
      <c r="BB352" s="49">
        <v>0.93500000000000005</v>
      </c>
      <c r="BC352" s="49"/>
      <c r="BD352" s="49"/>
      <c r="BE352" s="49"/>
      <c r="BF352" s="49"/>
      <c r="BG352" s="18" t="s">
        <v>1030</v>
      </c>
      <c r="BH352" s="18" t="s">
        <v>1031</v>
      </c>
    </row>
    <row r="353" spans="1:60" ht="15.75" customHeight="1" x14ac:dyDescent="0.2">
      <c r="A353" s="11">
        <v>352</v>
      </c>
      <c r="B353" s="22">
        <v>3300</v>
      </c>
      <c r="C353" s="13" t="s">
        <v>503</v>
      </c>
      <c r="D353" s="13" t="s">
        <v>108</v>
      </c>
      <c r="E353" s="23">
        <v>2005</v>
      </c>
      <c r="F353" s="23">
        <v>2012</v>
      </c>
      <c r="G353" s="13" t="s">
        <v>504</v>
      </c>
      <c r="H353" s="13"/>
      <c r="I353" s="13" t="s">
        <v>79</v>
      </c>
      <c r="J353" s="13" t="s">
        <v>79</v>
      </c>
      <c r="K353" s="13"/>
      <c r="L353" s="15">
        <f>39/98*100</f>
        <v>39.795918367346935</v>
      </c>
      <c r="M353" s="16">
        <v>57.5</v>
      </c>
      <c r="N353" s="13" t="s">
        <v>99</v>
      </c>
      <c r="O353" s="14" t="s">
        <v>41</v>
      </c>
      <c r="P353" s="12">
        <f>IF(Q353="", 0, 1)</f>
        <v>1</v>
      </c>
      <c r="Q353" s="12">
        <v>98</v>
      </c>
      <c r="R353" s="17"/>
      <c r="S353" s="17"/>
      <c r="T353" s="17">
        <v>32</v>
      </c>
      <c r="U353" s="17"/>
      <c r="V353" s="17"/>
      <c r="W353" s="17"/>
      <c r="X353" s="17"/>
      <c r="Y353" s="17"/>
      <c r="Z353" s="17" t="str">
        <f>IF(T353="", "mean", "med")</f>
        <v>med</v>
      </c>
      <c r="AA353" s="17">
        <f>IF(T353="", R353, T353)</f>
        <v>32</v>
      </c>
      <c r="AB353" s="12">
        <f>IF(AC353="", 0, 1)</f>
        <v>0</v>
      </c>
      <c r="AC353" s="13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>
        <f>IF(AO353="", 0, 1)</f>
        <v>0</v>
      </c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49" t="s">
        <v>52</v>
      </c>
      <c r="BA353" s="49" t="str">
        <f>IF(AZ353="high","high","lower")</f>
        <v>high</v>
      </c>
      <c r="BB353" s="47"/>
      <c r="BC353" s="49"/>
      <c r="BD353" s="49"/>
      <c r="BE353" s="49"/>
      <c r="BF353" s="49"/>
      <c r="BG353" s="18" t="s">
        <v>1034</v>
      </c>
      <c r="BH353" s="18" t="s">
        <v>1031</v>
      </c>
    </row>
    <row r="354" spans="1:60" ht="15.75" customHeight="1" x14ac:dyDescent="0.2">
      <c r="A354" s="11">
        <v>353</v>
      </c>
      <c r="B354" s="12">
        <v>3300</v>
      </c>
      <c r="C354" s="13" t="s">
        <v>503</v>
      </c>
      <c r="D354" s="13" t="s">
        <v>505</v>
      </c>
      <c r="E354" s="23">
        <v>1994</v>
      </c>
      <c r="F354" s="23">
        <v>2003</v>
      </c>
      <c r="G354" s="13" t="s">
        <v>504</v>
      </c>
      <c r="H354" s="13"/>
      <c r="I354" s="13" t="s">
        <v>79</v>
      </c>
      <c r="J354" s="13" t="s">
        <v>79</v>
      </c>
      <c r="K354" s="13"/>
      <c r="L354" s="19">
        <v>40</v>
      </c>
      <c r="M354" s="16">
        <v>58</v>
      </c>
      <c r="N354" s="13" t="s">
        <v>99</v>
      </c>
      <c r="O354" s="13" t="s">
        <v>41</v>
      </c>
      <c r="P354" s="12">
        <f>IF(Q354="", 0, 1)</f>
        <v>1</v>
      </c>
      <c r="Q354" s="52">
        <v>125</v>
      </c>
      <c r="R354" s="17"/>
      <c r="S354" s="17"/>
      <c r="T354" s="17">
        <v>40</v>
      </c>
      <c r="U354" s="17"/>
      <c r="V354" s="17"/>
      <c r="W354" s="17"/>
      <c r="X354" s="17"/>
      <c r="Y354" s="17"/>
      <c r="Z354" s="17" t="str">
        <f>IF(T354="", "mean", "med")</f>
        <v>med</v>
      </c>
      <c r="AA354" s="17">
        <f>IF(T354="", R354, T354)</f>
        <v>40</v>
      </c>
      <c r="AB354" s="12">
        <f>IF(AC354="", 0, 1)</f>
        <v>0</v>
      </c>
      <c r="AC354" s="13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>
        <f>IF(AO354="", 0, 1)</f>
        <v>0</v>
      </c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49" t="s">
        <v>52</v>
      </c>
      <c r="BA354" s="49" t="str">
        <f>IF(AZ354="high","high","lower")</f>
        <v>high</v>
      </c>
      <c r="BB354" s="47"/>
      <c r="BC354" s="49"/>
      <c r="BD354" s="49"/>
      <c r="BE354" s="49"/>
      <c r="BF354" s="49"/>
      <c r="BG354" s="18" t="s">
        <v>1034</v>
      </c>
      <c r="BH354" s="18" t="s">
        <v>1031</v>
      </c>
    </row>
    <row r="355" spans="1:60" ht="15.75" customHeight="1" x14ac:dyDescent="0.2">
      <c r="A355" s="11">
        <v>354</v>
      </c>
      <c r="B355" s="22">
        <v>3316</v>
      </c>
      <c r="C355" s="13" t="s">
        <v>506</v>
      </c>
      <c r="D355" s="13" t="s">
        <v>38</v>
      </c>
      <c r="E355" s="23">
        <v>2013</v>
      </c>
      <c r="F355" s="23">
        <v>2013</v>
      </c>
      <c r="G355" s="13" t="s">
        <v>134</v>
      </c>
      <c r="H355" s="13"/>
      <c r="I355" s="13" t="s">
        <v>79</v>
      </c>
      <c r="J355" s="13" t="s">
        <v>79</v>
      </c>
      <c r="K355" s="13"/>
      <c r="L355" s="19">
        <f>13/28*100</f>
        <v>46.428571428571431</v>
      </c>
      <c r="M355" s="20">
        <v>66</v>
      </c>
      <c r="N355" s="13" t="s">
        <v>42</v>
      </c>
      <c r="O355" s="14"/>
      <c r="P355" s="12">
        <f>IF(Q355="", 0, 1)</f>
        <v>0</v>
      </c>
      <c r="Q355" s="12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2">
        <f>IF(AC355="", 0, 1)</f>
        <v>1</v>
      </c>
      <c r="AC355" s="13">
        <v>28</v>
      </c>
      <c r="AD355" s="12">
        <v>249.3</v>
      </c>
      <c r="AE355" s="12">
        <v>426.3</v>
      </c>
      <c r="AF355" s="12">
        <v>108</v>
      </c>
      <c r="AG355" s="12"/>
      <c r="AH355" s="12"/>
      <c r="AI355" s="12"/>
      <c r="AJ355" s="12">
        <v>10</v>
      </c>
      <c r="AK355" s="12">
        <v>1949</v>
      </c>
      <c r="AL355" s="12" t="str">
        <f>IF(AF355="", "mean", "med")</f>
        <v>med</v>
      </c>
      <c r="AM355" s="12">
        <f>IF(AF355="", AD355, AF355)</f>
        <v>108</v>
      </c>
      <c r="AN355" s="12">
        <f>IF(AO355="", 0, 1)</f>
        <v>1</v>
      </c>
      <c r="AO355" s="12">
        <v>28</v>
      </c>
      <c r="AP355" s="12">
        <v>111.5</v>
      </c>
      <c r="AQ355" s="12">
        <v>257.39999999999998</v>
      </c>
      <c r="AR355" s="12">
        <v>31</v>
      </c>
      <c r="AS355" s="12"/>
      <c r="AT355" s="12"/>
      <c r="AU355" s="12"/>
      <c r="AV355" s="12">
        <v>0</v>
      </c>
      <c r="AW355" s="12">
        <v>1090</v>
      </c>
      <c r="AX355" s="12" t="str">
        <f>IF(AR355="", "mean", "med")</f>
        <v>med</v>
      </c>
      <c r="AY355" s="12">
        <f>IF(AR355="", AP355, AR355)</f>
        <v>31</v>
      </c>
      <c r="AZ355" s="12" t="s">
        <v>52</v>
      </c>
      <c r="BA355" s="12" t="str">
        <f>IF(AZ355="high","high","lower")</f>
        <v>high</v>
      </c>
      <c r="BB355" s="49">
        <v>0.91300000000000003</v>
      </c>
      <c r="BC355" s="12">
        <v>84.8</v>
      </c>
      <c r="BD355" s="12">
        <v>94</v>
      </c>
      <c r="BE355" s="12">
        <v>100</v>
      </c>
      <c r="BF355" s="12">
        <v>82.2</v>
      </c>
      <c r="BG355" s="18" t="s">
        <v>1030</v>
      </c>
      <c r="BH355" s="18" t="s">
        <v>1031</v>
      </c>
    </row>
    <row r="356" spans="1:60" ht="15.75" customHeight="1" x14ac:dyDescent="0.2">
      <c r="A356" s="11">
        <v>355</v>
      </c>
      <c r="B356" s="12">
        <v>3319</v>
      </c>
      <c r="C356" s="13" t="s">
        <v>506</v>
      </c>
      <c r="D356" s="13" t="s">
        <v>38</v>
      </c>
      <c r="E356" s="23">
        <v>2007</v>
      </c>
      <c r="F356" s="23">
        <v>2017</v>
      </c>
      <c r="G356" s="13" t="s">
        <v>259</v>
      </c>
      <c r="H356" s="13"/>
      <c r="I356" s="13" t="s">
        <v>94</v>
      </c>
      <c r="J356" s="13" t="s">
        <v>95</v>
      </c>
      <c r="K356" s="13" t="s">
        <v>485</v>
      </c>
      <c r="L356" s="19">
        <v>46.1</v>
      </c>
      <c r="M356" s="20">
        <v>73</v>
      </c>
      <c r="N356" s="13" t="s">
        <v>42</v>
      </c>
      <c r="O356" s="44"/>
      <c r="P356" s="12">
        <f>IF(Q356="", 0, 1)</f>
        <v>0</v>
      </c>
      <c r="Q356" s="12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2">
        <f>IF(AC356="", 0, 1)</f>
        <v>1</v>
      </c>
      <c r="AC356" s="13">
        <v>193</v>
      </c>
      <c r="AD356" s="12"/>
      <c r="AE356" s="12"/>
      <c r="AF356" s="12">
        <v>40</v>
      </c>
      <c r="AG356" s="12"/>
      <c r="AH356" s="12"/>
      <c r="AI356" s="12"/>
      <c r="AJ356" s="12">
        <v>0</v>
      </c>
      <c r="AK356" s="12">
        <v>233</v>
      </c>
      <c r="AL356" s="12" t="str">
        <f>IF(AF356="", "mean", "med")</f>
        <v>med</v>
      </c>
      <c r="AM356" s="12">
        <f>IF(AF356="", AD356, AF356)</f>
        <v>40</v>
      </c>
      <c r="AN356" s="12">
        <f>IF(AO356="", 0, 1)</f>
        <v>0</v>
      </c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 t="s">
        <v>52</v>
      </c>
      <c r="BA356" s="12" t="str">
        <f>IF(AZ356="high","high","lower")</f>
        <v>high</v>
      </c>
      <c r="BB356" s="49">
        <v>0.89700000000000002</v>
      </c>
      <c r="BC356" s="12">
        <v>83.2</v>
      </c>
      <c r="BD356" s="12">
        <v>83.1</v>
      </c>
      <c r="BE356" s="12">
        <v>100</v>
      </c>
      <c r="BF356" s="12">
        <v>96.6</v>
      </c>
      <c r="BG356" s="18" t="s">
        <v>1030</v>
      </c>
      <c r="BH356" s="18" t="s">
        <v>1031</v>
      </c>
    </row>
    <row r="357" spans="1:60" ht="15.75" customHeight="1" x14ac:dyDescent="0.2">
      <c r="A357" s="11">
        <v>356</v>
      </c>
      <c r="B357" s="22">
        <v>3332</v>
      </c>
      <c r="C357" s="13" t="s">
        <v>507</v>
      </c>
      <c r="D357" s="13" t="s">
        <v>38</v>
      </c>
      <c r="E357" s="23">
        <v>2000</v>
      </c>
      <c r="F357" s="23">
        <v>2016</v>
      </c>
      <c r="G357" s="13" t="s">
        <v>39</v>
      </c>
      <c r="H357" s="13"/>
      <c r="I357" s="13" t="s">
        <v>40</v>
      </c>
      <c r="J357" s="13" t="s">
        <v>40</v>
      </c>
      <c r="K357" s="13"/>
      <c r="L357" s="19">
        <v>100</v>
      </c>
      <c r="M357" s="16">
        <v>55</v>
      </c>
      <c r="N357" s="13" t="s">
        <v>50</v>
      </c>
      <c r="O357" s="14"/>
      <c r="P357" s="12">
        <f>IF(Q357="", 0, 1)</f>
        <v>0</v>
      </c>
      <c r="Q357" s="12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2">
        <f>IF(AC357="", 0, 1)</f>
        <v>0</v>
      </c>
      <c r="AC357" s="13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>
        <f>IF(AO357="", 0, 1)</f>
        <v>1</v>
      </c>
      <c r="AO357" s="12">
        <v>174</v>
      </c>
      <c r="AP357" s="12"/>
      <c r="AQ357" s="12"/>
      <c r="AR357" s="12">
        <v>60.5</v>
      </c>
      <c r="AS357" s="12"/>
      <c r="AT357" s="12"/>
      <c r="AU357" s="12"/>
      <c r="AV357" s="12">
        <v>0</v>
      </c>
      <c r="AW357" s="12">
        <v>2243</v>
      </c>
      <c r="AX357" s="12" t="str">
        <f>IF(AR357="", "mean", "med")</f>
        <v>med</v>
      </c>
      <c r="AY357" s="12">
        <f>IF(AR357="", AP357, AR357)</f>
        <v>60.5</v>
      </c>
      <c r="AZ357" s="12" t="s">
        <v>43</v>
      </c>
      <c r="BA357" s="12" t="str">
        <f>IF(AZ357="high","high","lower")</f>
        <v>lower</v>
      </c>
      <c r="BB357" s="49">
        <v>0.74299999999999999</v>
      </c>
      <c r="BC357" s="12">
        <v>63.1</v>
      </c>
      <c r="BD357" s="12">
        <v>73.2</v>
      </c>
      <c r="BE357" s="12">
        <v>62.5</v>
      </c>
      <c r="BF357" s="12">
        <v>61.9</v>
      </c>
      <c r="BG357" s="18" t="s">
        <v>1030</v>
      </c>
      <c r="BH357" s="18" t="s">
        <v>1031</v>
      </c>
    </row>
    <row r="358" spans="1:60" ht="15.75" customHeight="1" x14ac:dyDescent="0.2">
      <c r="A358" s="11">
        <v>357</v>
      </c>
      <c r="B358" s="22">
        <v>3338</v>
      </c>
      <c r="C358" s="13" t="s">
        <v>508</v>
      </c>
      <c r="D358" s="13" t="s">
        <v>38</v>
      </c>
      <c r="E358" s="23">
        <v>2002</v>
      </c>
      <c r="F358" s="23">
        <v>2010</v>
      </c>
      <c r="G358" s="13" t="s">
        <v>134</v>
      </c>
      <c r="H358" s="13"/>
      <c r="I358" s="13" t="s">
        <v>94</v>
      </c>
      <c r="J358" s="13" t="s">
        <v>95</v>
      </c>
      <c r="K358" s="13" t="s">
        <v>509</v>
      </c>
      <c r="L358" s="19">
        <f>129/278*100</f>
        <v>46.402877697841724</v>
      </c>
      <c r="M358" s="16">
        <v>63</v>
      </c>
      <c r="N358" s="13" t="s">
        <v>42</v>
      </c>
      <c r="O358" s="14"/>
      <c r="P358" s="12">
        <f>IF(Q358="", 0, 1)</f>
        <v>0</v>
      </c>
      <c r="Q358" s="12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2">
        <f>IF(AC358="", 0, 1)</f>
        <v>0</v>
      </c>
      <c r="AC358" s="13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>
        <f>IF(AO358="", 0, 1)</f>
        <v>1</v>
      </c>
      <c r="AO358" s="12">
        <v>278</v>
      </c>
      <c r="AP358" s="12">
        <v>70</v>
      </c>
      <c r="AQ358" s="12"/>
      <c r="AR358" s="12">
        <v>28</v>
      </c>
      <c r="AS358" s="12"/>
      <c r="AT358" s="12"/>
      <c r="AU358" s="12"/>
      <c r="AV358" s="12"/>
      <c r="AW358" s="12"/>
      <c r="AX358" s="12" t="str">
        <f>IF(AR358="", "mean", "med")</f>
        <v>med</v>
      </c>
      <c r="AY358" s="12">
        <f>IF(AR358="", AP358, AR358)</f>
        <v>28</v>
      </c>
      <c r="AZ358" s="12" t="s">
        <v>52</v>
      </c>
      <c r="BA358" s="12" t="str">
        <f>IF(AZ358="high","high","lower")</f>
        <v>high</v>
      </c>
      <c r="BB358" s="49">
        <v>0.89200000000000002</v>
      </c>
      <c r="BC358" s="12">
        <v>84.8</v>
      </c>
      <c r="BD358" s="12">
        <v>94</v>
      </c>
      <c r="BE358" s="12">
        <v>100</v>
      </c>
      <c r="BF358" s="12">
        <v>82.2</v>
      </c>
      <c r="BG358" s="18" t="s">
        <v>1030</v>
      </c>
      <c r="BH358" s="18" t="s">
        <v>1031</v>
      </c>
    </row>
    <row r="359" spans="1:60" ht="15.75" customHeight="1" x14ac:dyDescent="0.2">
      <c r="A359" s="11">
        <v>358</v>
      </c>
      <c r="B359" s="12">
        <v>3341</v>
      </c>
      <c r="C359" s="13" t="s">
        <v>510</v>
      </c>
      <c r="D359" s="14" t="s">
        <v>38</v>
      </c>
      <c r="E359" s="23">
        <v>2012</v>
      </c>
      <c r="F359" s="23">
        <v>2018</v>
      </c>
      <c r="G359" s="13" t="s">
        <v>259</v>
      </c>
      <c r="H359" s="13"/>
      <c r="I359" s="13" t="s">
        <v>54</v>
      </c>
      <c r="J359" s="13" t="s">
        <v>226</v>
      </c>
      <c r="K359" s="14"/>
      <c r="L359" s="19">
        <f>31/110*100</f>
        <v>28.18181818181818</v>
      </c>
      <c r="M359" s="20">
        <v>70</v>
      </c>
      <c r="N359" s="13" t="s">
        <v>42</v>
      </c>
      <c r="O359" s="14" t="s">
        <v>136</v>
      </c>
      <c r="P359" s="12">
        <f>IF(Q359="", 0, 1)</f>
        <v>1</v>
      </c>
      <c r="Q359" s="22">
        <v>110</v>
      </c>
      <c r="R359" s="17"/>
      <c r="S359" s="17"/>
      <c r="T359" s="17">
        <v>17</v>
      </c>
      <c r="U359" s="17">
        <v>12.5</v>
      </c>
      <c r="V359" s="17">
        <v>26</v>
      </c>
      <c r="W359" s="17"/>
      <c r="X359" s="17"/>
      <c r="Y359" s="17"/>
      <c r="Z359" s="17" t="str">
        <f>IF(T359="", "mean", "med")</f>
        <v>med</v>
      </c>
      <c r="AA359" s="17">
        <f>IF(T359="", R359, T359)</f>
        <v>17</v>
      </c>
      <c r="AB359" s="12">
        <f>IF(AC359="", 0, 1)</f>
        <v>0</v>
      </c>
      <c r="AC359" s="13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>
        <f>IF(AO359="", 0, 1)</f>
        <v>0</v>
      </c>
      <c r="AO359" s="22"/>
      <c r="AP359" s="12"/>
      <c r="AQ359" s="12"/>
      <c r="AR359" s="22"/>
      <c r="AS359" s="12"/>
      <c r="AT359" s="12"/>
      <c r="AU359" s="12"/>
      <c r="AV359" s="12"/>
      <c r="AW359" s="12"/>
      <c r="AX359" s="12"/>
      <c r="AY359" s="12"/>
      <c r="AZ359" s="12" t="s">
        <v>52</v>
      </c>
      <c r="BA359" s="12" t="str">
        <f>IF(AZ359="high","high","lower")</f>
        <v>high</v>
      </c>
      <c r="BB359" s="49">
        <v>0.90800000000000003</v>
      </c>
      <c r="BC359" s="12">
        <v>83.2</v>
      </c>
      <c r="BD359" s="12">
        <v>83.1</v>
      </c>
      <c r="BE359" s="12">
        <v>100</v>
      </c>
      <c r="BF359" s="12">
        <v>96.6</v>
      </c>
      <c r="BG359" s="18" t="s">
        <v>1030</v>
      </c>
      <c r="BH359" s="18" t="s">
        <v>1031</v>
      </c>
    </row>
    <row r="360" spans="1:60" ht="15.75" customHeight="1" x14ac:dyDescent="0.2">
      <c r="A360" s="11">
        <v>359</v>
      </c>
      <c r="B360" s="12">
        <v>3375</v>
      </c>
      <c r="C360" s="13" t="s">
        <v>511</v>
      </c>
      <c r="D360" s="13" t="s">
        <v>38</v>
      </c>
      <c r="E360" s="23">
        <v>1998</v>
      </c>
      <c r="F360" s="23">
        <v>2013</v>
      </c>
      <c r="G360" s="13" t="s">
        <v>117</v>
      </c>
      <c r="H360" s="13"/>
      <c r="I360" s="13" t="s">
        <v>59</v>
      </c>
      <c r="J360" s="13" t="s">
        <v>60</v>
      </c>
      <c r="K360" s="13"/>
      <c r="L360" s="19">
        <v>0</v>
      </c>
      <c r="M360" s="16">
        <v>66.7</v>
      </c>
      <c r="N360" s="13" t="s">
        <v>42</v>
      </c>
      <c r="O360" s="14" t="s">
        <v>41</v>
      </c>
      <c r="P360" s="12">
        <f>IF(Q360="", 0, 1)</f>
        <v>1</v>
      </c>
      <c r="Q360" s="12">
        <v>3140</v>
      </c>
      <c r="R360" s="17"/>
      <c r="S360" s="17"/>
      <c r="T360" s="17">
        <v>107</v>
      </c>
      <c r="U360" s="17">
        <v>62</v>
      </c>
      <c r="V360" s="17">
        <v>179</v>
      </c>
      <c r="W360" s="17"/>
      <c r="X360" s="17"/>
      <c r="Y360" s="17"/>
      <c r="Z360" s="17" t="str">
        <f>IF(T360="", "mean", "med")</f>
        <v>med</v>
      </c>
      <c r="AA360" s="17">
        <f>IF(T360="", R360, T360)</f>
        <v>107</v>
      </c>
      <c r="AB360" s="12">
        <f>IF(AC360="", 0, 1)</f>
        <v>0</v>
      </c>
      <c r="AC360" s="13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>
        <f>IF(AO360="", 0, 1)</f>
        <v>0</v>
      </c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 t="s">
        <v>52</v>
      </c>
      <c r="BA360" s="12" t="str">
        <f>IF(AZ360="high","high","lower")</f>
        <v>high</v>
      </c>
      <c r="BB360" s="49">
        <v>0.91500000000000004</v>
      </c>
      <c r="BC360" s="12">
        <v>90.6</v>
      </c>
      <c r="BD360" s="12">
        <v>98</v>
      </c>
      <c r="BE360" s="12">
        <v>100</v>
      </c>
      <c r="BF360" s="12">
        <v>90</v>
      </c>
      <c r="BG360" s="18" t="s">
        <v>1034</v>
      </c>
      <c r="BH360" s="18" t="s">
        <v>1031</v>
      </c>
    </row>
    <row r="361" spans="1:60" ht="15.75" customHeight="1" x14ac:dyDescent="0.2">
      <c r="A361" s="11">
        <v>360</v>
      </c>
      <c r="B361" s="12">
        <v>3413</v>
      </c>
      <c r="C361" s="13" t="s">
        <v>512</v>
      </c>
      <c r="D361" s="14" t="s">
        <v>38</v>
      </c>
      <c r="E361" s="13">
        <v>2015</v>
      </c>
      <c r="F361" s="13">
        <v>2015</v>
      </c>
      <c r="G361" s="13" t="s">
        <v>131</v>
      </c>
      <c r="H361" s="13"/>
      <c r="I361" s="13" t="s">
        <v>59</v>
      </c>
      <c r="J361" s="13" t="s">
        <v>154</v>
      </c>
      <c r="K361" s="14"/>
      <c r="L361" s="19">
        <v>0</v>
      </c>
      <c r="M361" s="20">
        <v>26</v>
      </c>
      <c r="N361" s="13" t="s">
        <v>50</v>
      </c>
      <c r="O361" s="13"/>
      <c r="P361" s="12">
        <f>IF(Q361="", 0, 1)</f>
        <v>0</v>
      </c>
      <c r="Q361" s="12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2">
        <f>IF(AC361="", 0, 1)</f>
        <v>0</v>
      </c>
      <c r="AC361" s="13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>
        <f>IF(AO361="", 0, 1)</f>
        <v>1</v>
      </c>
      <c r="AO361" s="22">
        <v>60</v>
      </c>
      <c r="AP361" s="12"/>
      <c r="AQ361" s="12"/>
      <c r="AR361" s="22">
        <v>30</v>
      </c>
      <c r="AS361" s="12"/>
      <c r="AT361" s="12"/>
      <c r="AU361" s="12"/>
      <c r="AV361" s="12">
        <v>1</v>
      </c>
      <c r="AW361" s="12">
        <v>365</v>
      </c>
      <c r="AX361" s="12" t="str">
        <f>IF(AR361="", "mean", "med")</f>
        <v>med</v>
      </c>
      <c r="AY361" s="12">
        <f>IF(AR361="", AP361, AR361)</f>
        <v>30</v>
      </c>
      <c r="AZ361" s="12" t="s">
        <v>52</v>
      </c>
      <c r="BA361" s="12" t="str">
        <f>IF(AZ361="high","high","lower")</f>
        <v>high</v>
      </c>
      <c r="BB361" s="47"/>
      <c r="BC361" s="12">
        <v>89.9</v>
      </c>
      <c r="BD361" s="12">
        <v>94</v>
      </c>
      <c r="BE361" s="12">
        <v>100</v>
      </c>
      <c r="BF361" s="12">
        <v>92.1</v>
      </c>
      <c r="BG361" s="18" t="s">
        <v>1030</v>
      </c>
      <c r="BH361" s="18" t="s">
        <v>1031</v>
      </c>
    </row>
    <row r="362" spans="1:60" ht="15.75" customHeight="1" x14ac:dyDescent="0.2">
      <c r="A362" s="11">
        <v>361</v>
      </c>
      <c r="B362" s="12">
        <v>3415</v>
      </c>
      <c r="C362" s="13" t="s">
        <v>513</v>
      </c>
      <c r="D362" s="14" t="s">
        <v>38</v>
      </c>
      <c r="E362" s="23">
        <v>2012</v>
      </c>
      <c r="F362" s="23">
        <v>2014</v>
      </c>
      <c r="G362" s="13" t="s">
        <v>171</v>
      </c>
      <c r="H362" s="13"/>
      <c r="I362" s="13" t="s">
        <v>40</v>
      </c>
      <c r="J362" s="13" t="s">
        <v>40</v>
      </c>
      <c r="K362" s="14"/>
      <c r="L362" s="19">
        <v>100</v>
      </c>
      <c r="M362" s="20">
        <v>49</v>
      </c>
      <c r="N362" s="13" t="s">
        <v>42</v>
      </c>
      <c r="O362" s="13"/>
      <c r="P362" s="12">
        <f>IF(Q362="", 0, 1)</f>
        <v>0</v>
      </c>
      <c r="Q362" s="22"/>
      <c r="R362" s="21"/>
      <c r="S362" s="21"/>
      <c r="T362" s="17"/>
      <c r="U362" s="17"/>
      <c r="V362" s="17"/>
      <c r="W362" s="17"/>
      <c r="X362" s="17"/>
      <c r="Y362" s="17"/>
      <c r="Z362" s="17"/>
      <c r="AA362" s="17"/>
      <c r="AB362" s="12">
        <f>IF(AC362="", 0, 1)</f>
        <v>1</v>
      </c>
      <c r="AC362" s="13">
        <v>144</v>
      </c>
      <c r="AD362" s="12"/>
      <c r="AE362" s="12"/>
      <c r="AF362" s="12">
        <f>5*30</f>
        <v>150</v>
      </c>
      <c r="AG362" s="12">
        <f>2*30</f>
        <v>60</v>
      </c>
      <c r="AH362" s="12">
        <f>14*30</f>
        <v>420</v>
      </c>
      <c r="AI362" s="12"/>
      <c r="AJ362" s="12"/>
      <c r="AK362" s="12"/>
      <c r="AL362" s="12" t="str">
        <f>IF(AF362="", "mean", "med")</f>
        <v>med</v>
      </c>
      <c r="AM362" s="12">
        <f>IF(AF362="", AD362, AF362)</f>
        <v>150</v>
      </c>
      <c r="AN362" s="12">
        <f>IF(AO362="", 0, 1)</f>
        <v>1</v>
      </c>
      <c r="AO362" s="22">
        <v>144</v>
      </c>
      <c r="AP362" s="12"/>
      <c r="AQ362" s="12"/>
      <c r="AR362" s="22">
        <f>5*30</f>
        <v>150</v>
      </c>
      <c r="AS362" s="12">
        <f>30</f>
        <v>30</v>
      </c>
      <c r="AT362" s="12">
        <f>13*30</f>
        <v>390</v>
      </c>
      <c r="AU362" s="12"/>
      <c r="AV362" s="12"/>
      <c r="AW362" s="12"/>
      <c r="AX362" s="12" t="str">
        <f>IF(AR362="", "mean", "med")</f>
        <v>med</v>
      </c>
      <c r="AY362" s="12">
        <f>IF(AR362="", AP362, AR362)</f>
        <v>150</v>
      </c>
      <c r="AZ362" s="49" t="s">
        <v>146</v>
      </c>
      <c r="BA362" s="49" t="str">
        <f>IF(AZ362="high","high","lower")</f>
        <v>lower</v>
      </c>
      <c r="BB362" s="49">
        <v>0.51500000000000001</v>
      </c>
      <c r="BC362" s="49"/>
      <c r="BD362" s="49"/>
      <c r="BE362" s="49"/>
      <c r="BF362" s="49"/>
      <c r="BG362" s="18" t="s">
        <v>1030</v>
      </c>
      <c r="BH362" s="18" t="s">
        <v>1031</v>
      </c>
    </row>
    <row r="363" spans="1:60" ht="15.75" customHeight="1" x14ac:dyDescent="0.2">
      <c r="A363" s="11">
        <v>362</v>
      </c>
      <c r="B363" s="12">
        <v>3419</v>
      </c>
      <c r="C363" s="13" t="s">
        <v>514</v>
      </c>
      <c r="D363" s="14" t="s">
        <v>38</v>
      </c>
      <c r="E363" s="23">
        <v>2007</v>
      </c>
      <c r="F363" s="23">
        <v>2009</v>
      </c>
      <c r="G363" s="13" t="s">
        <v>145</v>
      </c>
      <c r="H363" s="13"/>
      <c r="I363" s="13" t="s">
        <v>40</v>
      </c>
      <c r="J363" s="13" t="s">
        <v>40</v>
      </c>
      <c r="K363" s="14"/>
      <c r="L363" s="19">
        <v>100</v>
      </c>
      <c r="M363" s="20">
        <v>46.99</v>
      </c>
      <c r="N363" s="13" t="s">
        <v>42</v>
      </c>
      <c r="O363" s="14"/>
      <c r="P363" s="12">
        <f>IF(Q363="", 0, 1)</f>
        <v>0</v>
      </c>
      <c r="Q363" s="12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2">
        <f>IF(AC363="", 0, 1)</f>
        <v>0</v>
      </c>
      <c r="AC363" s="13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>
        <f>IF(AO363="", 0, 1)</f>
        <v>1</v>
      </c>
      <c r="AO363" s="12">
        <v>172</v>
      </c>
      <c r="AP363" s="12">
        <f>10.9*30</f>
        <v>327</v>
      </c>
      <c r="AQ363" s="12">
        <f>20.19*30</f>
        <v>605.70000000000005</v>
      </c>
      <c r="AR363" s="12">
        <f>5*30</f>
        <v>150</v>
      </c>
      <c r="AS363" s="12"/>
      <c r="AT363" s="12"/>
      <c r="AU363" s="12"/>
      <c r="AV363" s="12">
        <v>0</v>
      </c>
      <c r="AW363" s="12">
        <f>237*30</f>
        <v>7110</v>
      </c>
      <c r="AX363" s="12" t="str">
        <f>IF(AR363="", "mean", "med")</f>
        <v>med</v>
      </c>
      <c r="AY363" s="12">
        <f>IF(AR363="", AP363, AR363)</f>
        <v>150</v>
      </c>
      <c r="AZ363" s="12" t="s">
        <v>46</v>
      </c>
      <c r="BA363" s="12" t="str">
        <f>IF(AZ363="high","high","lower")</f>
        <v>lower</v>
      </c>
      <c r="BB363" s="49">
        <v>0.56200000000000006</v>
      </c>
      <c r="BC363" s="12">
        <v>64.900000000000006</v>
      </c>
      <c r="BD363" s="12">
        <v>80.8</v>
      </c>
      <c r="BE363" s="12">
        <v>58.3</v>
      </c>
      <c r="BF363" s="12">
        <v>61.3</v>
      </c>
      <c r="BG363" s="18" t="s">
        <v>1030</v>
      </c>
      <c r="BH363" s="18" t="s">
        <v>1031</v>
      </c>
    </row>
    <row r="364" spans="1:60" ht="15.75" customHeight="1" x14ac:dyDescent="0.2">
      <c r="A364" s="11">
        <v>363</v>
      </c>
      <c r="B364" s="12">
        <v>3427</v>
      </c>
      <c r="C364" s="13" t="s">
        <v>515</v>
      </c>
      <c r="D364" s="13" t="s">
        <v>38</v>
      </c>
      <c r="E364" s="23">
        <v>2018</v>
      </c>
      <c r="F364" s="23">
        <v>2018</v>
      </c>
      <c r="G364" s="13" t="s">
        <v>145</v>
      </c>
      <c r="H364" s="13"/>
      <c r="I364" s="31" t="s">
        <v>104</v>
      </c>
      <c r="J364" s="13" t="s">
        <v>105</v>
      </c>
      <c r="K364" s="13"/>
      <c r="L364" s="19">
        <v>100</v>
      </c>
      <c r="M364" s="16">
        <v>52.1</v>
      </c>
      <c r="N364" s="13" t="s">
        <v>42</v>
      </c>
      <c r="O364" s="13"/>
      <c r="P364" s="12">
        <f>IF(Q364="", 0, 1)</f>
        <v>0</v>
      </c>
      <c r="Q364" s="22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2">
        <f>IF(AC364="", 0, 1)</f>
        <v>0</v>
      </c>
      <c r="AC364" s="13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>
        <f>IF(AO364="", 0, 1)</f>
        <v>1</v>
      </c>
      <c r="AO364" s="12">
        <v>122</v>
      </c>
      <c r="AP364" s="12"/>
      <c r="AQ364" s="12"/>
      <c r="AR364" s="12">
        <v>52.5</v>
      </c>
      <c r="AS364" s="12"/>
      <c r="AT364" s="12"/>
      <c r="AU364" s="12"/>
      <c r="AV364" s="12">
        <v>1</v>
      </c>
      <c r="AW364" s="12">
        <v>385</v>
      </c>
      <c r="AX364" s="12" t="str">
        <f>IF(AR364="", "mean", "med")</f>
        <v>med</v>
      </c>
      <c r="AY364" s="12">
        <f>IF(AR364="", AP364, AR364)</f>
        <v>52.5</v>
      </c>
      <c r="AZ364" s="12" t="s">
        <v>46</v>
      </c>
      <c r="BA364" s="12" t="str">
        <f>IF(AZ364="high","high","lower")</f>
        <v>lower</v>
      </c>
      <c r="BB364" s="49">
        <v>0.64200000000000002</v>
      </c>
      <c r="BC364" s="12">
        <v>64.900000000000006</v>
      </c>
      <c r="BD364" s="12">
        <v>80.8</v>
      </c>
      <c r="BE364" s="12">
        <v>58.3</v>
      </c>
      <c r="BF364" s="12">
        <v>61.3</v>
      </c>
      <c r="BG364" s="18" t="s">
        <v>1030</v>
      </c>
      <c r="BH364" s="18" t="s">
        <v>1031</v>
      </c>
    </row>
    <row r="365" spans="1:60" ht="15.75" customHeight="1" x14ac:dyDescent="0.2">
      <c r="A365" s="11">
        <v>364</v>
      </c>
      <c r="B365" s="12">
        <v>3428</v>
      </c>
      <c r="C365" s="13" t="s">
        <v>516</v>
      </c>
      <c r="D365" s="14" t="s">
        <v>38</v>
      </c>
      <c r="E365" s="23">
        <v>2011</v>
      </c>
      <c r="F365" s="23">
        <v>2016</v>
      </c>
      <c r="G365" s="13" t="s">
        <v>77</v>
      </c>
      <c r="H365" s="13"/>
      <c r="I365" s="13" t="s">
        <v>54</v>
      </c>
      <c r="J365" s="13" t="s">
        <v>229</v>
      </c>
      <c r="K365" s="14" t="s">
        <v>288</v>
      </c>
      <c r="L365" s="19" t="s">
        <v>41</v>
      </c>
      <c r="M365" s="20" t="s">
        <v>41</v>
      </c>
      <c r="N365" s="13" t="s">
        <v>42</v>
      </c>
      <c r="O365" s="13" t="s">
        <v>90</v>
      </c>
      <c r="P365" s="12">
        <f>IF(Q365="", 0, 1)</f>
        <v>1</v>
      </c>
      <c r="Q365" s="22">
        <v>483</v>
      </c>
      <c r="R365" s="17"/>
      <c r="S365" s="17"/>
      <c r="T365" s="17">
        <v>61</v>
      </c>
      <c r="U365" s="17">
        <v>37</v>
      </c>
      <c r="V365" s="17">
        <v>90</v>
      </c>
      <c r="W365" s="17"/>
      <c r="X365" s="17"/>
      <c r="Y365" s="17"/>
      <c r="Z365" s="17" t="str">
        <f>IF(T365="", "mean", "med")</f>
        <v>med</v>
      </c>
      <c r="AA365" s="17">
        <f>IF(T365="", R365, T365)</f>
        <v>61</v>
      </c>
      <c r="AB365" s="12">
        <f>IF(AC365="", 0, 1)</f>
        <v>0</v>
      </c>
      <c r="AC365" s="13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>
        <f>IF(AO365="", 0, 1)</f>
        <v>0</v>
      </c>
      <c r="AO365" s="22"/>
      <c r="AP365" s="12"/>
      <c r="AQ365" s="12"/>
      <c r="AR365" s="22"/>
      <c r="AS365" s="12"/>
      <c r="AT365" s="12"/>
      <c r="AU365" s="12"/>
      <c r="AV365" s="12"/>
      <c r="AW365" s="12"/>
      <c r="AX365" s="12"/>
      <c r="AY365" s="12"/>
      <c r="AZ365" s="12" t="s">
        <v>52</v>
      </c>
      <c r="BA365" s="12" t="str">
        <f>IF(AZ365="high","high","lower")</f>
        <v>high</v>
      </c>
      <c r="BB365" s="49">
        <v>0.91700000000000004</v>
      </c>
      <c r="BC365" s="12">
        <v>85.3</v>
      </c>
      <c r="BD365" s="12">
        <v>96.3</v>
      </c>
      <c r="BE365" s="12">
        <v>91.7</v>
      </c>
      <c r="BF365" s="12">
        <v>80</v>
      </c>
      <c r="BG365" s="18" t="s">
        <v>1030</v>
      </c>
      <c r="BH365" s="18" t="s">
        <v>1031</v>
      </c>
    </row>
    <row r="366" spans="1:60" ht="15.75" customHeight="1" x14ac:dyDescent="0.2">
      <c r="A366" s="11">
        <v>365</v>
      </c>
      <c r="B366" s="12">
        <v>3429</v>
      </c>
      <c r="C366" s="13" t="s">
        <v>517</v>
      </c>
      <c r="D366" s="13" t="s">
        <v>38</v>
      </c>
      <c r="E366" s="23">
        <v>2016</v>
      </c>
      <c r="F366" s="23">
        <v>2017</v>
      </c>
      <c r="G366" s="13" t="s">
        <v>49</v>
      </c>
      <c r="H366" s="13"/>
      <c r="I366" s="13" t="s">
        <v>79</v>
      </c>
      <c r="J366" s="13" t="s">
        <v>79</v>
      </c>
      <c r="K366" s="13"/>
      <c r="L366" s="15">
        <v>14</v>
      </c>
      <c r="M366" s="20">
        <v>60.1</v>
      </c>
      <c r="N366" s="13" t="s">
        <v>42</v>
      </c>
      <c r="O366" s="14" t="s">
        <v>518</v>
      </c>
      <c r="P366" s="12">
        <f>IF(Q366="", 0, 1)</f>
        <v>1</v>
      </c>
      <c r="Q366" s="12">
        <v>49</v>
      </c>
      <c r="R366" s="17"/>
      <c r="S366" s="17"/>
      <c r="T366" s="17">
        <v>42</v>
      </c>
      <c r="U366" s="17">
        <v>32</v>
      </c>
      <c r="V366" s="17">
        <v>54</v>
      </c>
      <c r="W366" s="17"/>
      <c r="X366" s="17"/>
      <c r="Y366" s="17"/>
      <c r="Z366" s="17" t="str">
        <f>IF(T366="", "mean", "med")</f>
        <v>med</v>
      </c>
      <c r="AA366" s="17">
        <f>IF(T366="", R366, T366)</f>
        <v>42</v>
      </c>
      <c r="AB366" s="12">
        <f>IF(AC366="", 0, 1)</f>
        <v>0</v>
      </c>
      <c r="AC366" s="13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>
        <f>IF(AO366="", 0, 1)</f>
        <v>0</v>
      </c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 t="s">
        <v>52</v>
      </c>
      <c r="BA366" s="12" t="str">
        <f>IF(AZ366="high","high","lower")</f>
        <v>high</v>
      </c>
      <c r="BB366" s="49">
        <v>0.92300000000000004</v>
      </c>
      <c r="BC366" s="12">
        <v>84</v>
      </c>
      <c r="BD366" s="12">
        <v>88</v>
      </c>
      <c r="BE366" s="12">
        <v>100</v>
      </c>
      <c r="BF366" s="12">
        <v>84.2</v>
      </c>
      <c r="BG366" s="18" t="s">
        <v>1030</v>
      </c>
      <c r="BH366" s="18" t="s">
        <v>1031</v>
      </c>
    </row>
    <row r="367" spans="1:60" ht="15.75" customHeight="1" x14ac:dyDescent="0.2">
      <c r="A367" s="11">
        <v>366</v>
      </c>
      <c r="B367" s="22">
        <v>3438</v>
      </c>
      <c r="C367" s="13" t="s">
        <v>519</v>
      </c>
      <c r="D367" s="13" t="s">
        <v>38</v>
      </c>
      <c r="E367" s="23">
        <v>1996</v>
      </c>
      <c r="F367" s="23">
        <v>2014</v>
      </c>
      <c r="G367" s="13" t="s">
        <v>49</v>
      </c>
      <c r="H367" s="13"/>
      <c r="I367" s="13" t="s">
        <v>59</v>
      </c>
      <c r="J367" s="13" t="s">
        <v>82</v>
      </c>
      <c r="K367" s="14"/>
      <c r="L367" s="15">
        <v>21</v>
      </c>
      <c r="M367" s="16">
        <v>61.8</v>
      </c>
      <c r="N367" s="13" t="s">
        <v>42</v>
      </c>
      <c r="O367" s="14" t="s">
        <v>304</v>
      </c>
      <c r="P367" s="12">
        <f>IF(Q367="", 0, 1)</f>
        <v>1</v>
      </c>
      <c r="Q367" s="12">
        <v>201</v>
      </c>
      <c r="R367" s="17"/>
      <c r="S367" s="17"/>
      <c r="T367" s="17">
        <v>42</v>
      </c>
      <c r="U367" s="17"/>
      <c r="V367" s="17"/>
      <c r="W367" s="17"/>
      <c r="X367" s="17"/>
      <c r="Y367" s="17"/>
      <c r="Z367" s="17" t="str">
        <f>IF(T367="", "mean", "med")</f>
        <v>med</v>
      </c>
      <c r="AA367" s="17">
        <f>IF(T367="", R367, T367)</f>
        <v>42</v>
      </c>
      <c r="AB367" s="12">
        <f>IF(AC367="", 0, 1)</f>
        <v>0</v>
      </c>
      <c r="AC367" s="13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>
        <f>IF(AO367="", 0, 1)</f>
        <v>0</v>
      </c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 t="s">
        <v>52</v>
      </c>
      <c r="BA367" s="12" t="str">
        <f>IF(AZ367="high","high","lower")</f>
        <v>high</v>
      </c>
      <c r="BB367" s="49">
        <v>0.90200000000000002</v>
      </c>
      <c r="BC367" s="12">
        <v>84</v>
      </c>
      <c r="BD367" s="12">
        <v>88</v>
      </c>
      <c r="BE367" s="12">
        <v>100</v>
      </c>
      <c r="BF367" s="12">
        <v>84.2</v>
      </c>
      <c r="BG367" s="18" t="s">
        <v>1030</v>
      </c>
      <c r="BH367" s="18" t="s">
        <v>1031</v>
      </c>
    </row>
    <row r="368" spans="1:60" ht="15.75" customHeight="1" x14ac:dyDescent="0.2">
      <c r="A368" s="11">
        <v>367</v>
      </c>
      <c r="B368" s="12">
        <v>3443</v>
      </c>
      <c r="C368" s="13" t="s">
        <v>520</v>
      </c>
      <c r="D368" s="13" t="s">
        <v>38</v>
      </c>
      <c r="E368" s="23">
        <v>2009</v>
      </c>
      <c r="F368" s="23">
        <v>2011</v>
      </c>
      <c r="G368" s="13" t="s">
        <v>49</v>
      </c>
      <c r="H368" s="13"/>
      <c r="I368" s="13" t="s">
        <v>40</v>
      </c>
      <c r="J368" s="14" t="s">
        <v>40</v>
      </c>
      <c r="K368" s="14"/>
      <c r="L368" s="15">
        <v>100</v>
      </c>
      <c r="M368" s="16" t="s">
        <v>41</v>
      </c>
      <c r="N368" s="13" t="s">
        <v>42</v>
      </c>
      <c r="O368" s="13" t="s">
        <v>41</v>
      </c>
      <c r="P368" s="12">
        <f>IF(Q368="", 0, 1)</f>
        <v>1</v>
      </c>
      <c r="Q368" s="12">
        <v>362</v>
      </c>
      <c r="R368" s="17"/>
      <c r="S368" s="17"/>
      <c r="T368" s="17">
        <v>42</v>
      </c>
      <c r="U368" s="17"/>
      <c r="V368" s="17"/>
      <c r="W368" s="17"/>
      <c r="X368" s="17"/>
      <c r="Y368" s="17"/>
      <c r="Z368" s="17" t="str">
        <f>IF(T368="", "mean", "med")</f>
        <v>med</v>
      </c>
      <c r="AA368" s="17">
        <f>IF(T368="", R368, T368)</f>
        <v>42</v>
      </c>
      <c r="AB368" s="12">
        <f>IF(AC368="", 0, 1)</f>
        <v>0</v>
      </c>
      <c r="AC368" s="13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>
        <f>IF(AO368="", 0, 1)</f>
        <v>0</v>
      </c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 t="s">
        <v>52</v>
      </c>
      <c r="BA368" s="12" t="str">
        <f>IF(AZ368="high","high","lower")</f>
        <v>high</v>
      </c>
      <c r="BB368" s="49">
        <v>0.91600000000000004</v>
      </c>
      <c r="BC368" s="12">
        <v>84</v>
      </c>
      <c r="BD368" s="12">
        <v>88</v>
      </c>
      <c r="BE368" s="12">
        <v>100</v>
      </c>
      <c r="BF368" s="12">
        <v>84.2</v>
      </c>
      <c r="BG368" s="18" t="s">
        <v>1030</v>
      </c>
      <c r="BH368" s="18" t="s">
        <v>1031</v>
      </c>
    </row>
    <row r="369" spans="1:60" ht="15.75" customHeight="1" x14ac:dyDescent="0.2">
      <c r="A369" s="11">
        <v>368</v>
      </c>
      <c r="B369" s="22">
        <v>3451</v>
      </c>
      <c r="C369" s="13" t="s">
        <v>521</v>
      </c>
      <c r="D369" s="13" t="s">
        <v>38</v>
      </c>
      <c r="E369" s="23">
        <v>2005</v>
      </c>
      <c r="F369" s="23">
        <v>2007</v>
      </c>
      <c r="G369" s="13" t="s">
        <v>49</v>
      </c>
      <c r="H369" s="13"/>
      <c r="I369" s="13" t="s">
        <v>79</v>
      </c>
      <c r="J369" s="13" t="s">
        <v>79</v>
      </c>
      <c r="K369" s="13"/>
      <c r="L369" s="15">
        <v>7</v>
      </c>
      <c r="M369" s="16">
        <v>55.5</v>
      </c>
      <c r="N369" s="13" t="s">
        <v>42</v>
      </c>
      <c r="O369" s="13" t="s">
        <v>522</v>
      </c>
      <c r="P369" s="12">
        <f>IF(Q369="", 0, 1)</f>
        <v>1</v>
      </c>
      <c r="Q369" s="22">
        <v>110</v>
      </c>
      <c r="R369" s="17">
        <v>48</v>
      </c>
      <c r="S369" s="17"/>
      <c r="T369" s="17"/>
      <c r="U369" s="17"/>
      <c r="V369" s="17"/>
      <c r="W369" s="17"/>
      <c r="X369" s="17"/>
      <c r="Y369" s="17"/>
      <c r="Z369" s="17" t="str">
        <f>IF(T369="", "mean", "med")</f>
        <v>mean</v>
      </c>
      <c r="AA369" s="17">
        <f>IF(T369="", R369, T369)</f>
        <v>48</v>
      </c>
      <c r="AB369" s="12">
        <f>IF(AC369="", 0, 1)</f>
        <v>1</v>
      </c>
      <c r="AC369" s="13">
        <v>110</v>
      </c>
      <c r="AD369" s="12">
        <v>8</v>
      </c>
      <c r="AE369" s="12"/>
      <c r="AF369" s="12"/>
      <c r="AG369" s="12"/>
      <c r="AH369" s="12"/>
      <c r="AI369" s="12"/>
      <c r="AJ369" s="12"/>
      <c r="AK369" s="12"/>
      <c r="AL369" s="12" t="str">
        <f>IF(AF369="", "mean", "med")</f>
        <v>mean</v>
      </c>
      <c r="AM369" s="12">
        <f>IF(AF369="", AD369, AF369)</f>
        <v>8</v>
      </c>
      <c r="AN369" s="12">
        <f>IF(AO369="", 0, 1)</f>
        <v>0</v>
      </c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 t="s">
        <v>52</v>
      </c>
      <c r="BA369" s="12" t="str">
        <f>IF(AZ369="high","high","lower")</f>
        <v>high</v>
      </c>
      <c r="BB369" s="49">
        <v>0.90300000000000002</v>
      </c>
      <c r="BC369" s="12">
        <v>84</v>
      </c>
      <c r="BD369" s="12">
        <v>88</v>
      </c>
      <c r="BE369" s="12">
        <v>100</v>
      </c>
      <c r="BF369" s="12">
        <v>84.2</v>
      </c>
      <c r="BG369" s="18" t="s">
        <v>1030</v>
      </c>
      <c r="BH369" s="18" t="s">
        <v>1031</v>
      </c>
    </row>
    <row r="370" spans="1:60" ht="15.75" customHeight="1" x14ac:dyDescent="0.2">
      <c r="A370" s="11">
        <v>369</v>
      </c>
      <c r="B370" s="22">
        <v>3458</v>
      </c>
      <c r="C370" s="13" t="s">
        <v>523</v>
      </c>
      <c r="D370" s="14" t="s">
        <v>38</v>
      </c>
      <c r="E370" s="23">
        <v>2004</v>
      </c>
      <c r="F370" s="23">
        <v>2005</v>
      </c>
      <c r="G370" s="13" t="s">
        <v>205</v>
      </c>
      <c r="H370" s="13"/>
      <c r="I370" s="13" t="s">
        <v>54</v>
      </c>
      <c r="J370" s="13" t="s">
        <v>55</v>
      </c>
      <c r="K370" s="14"/>
      <c r="L370" s="15">
        <f>61/136*100</f>
        <v>44.852941176470587</v>
      </c>
      <c r="M370" s="16">
        <v>67.88</v>
      </c>
      <c r="N370" s="13" t="s">
        <v>99</v>
      </c>
      <c r="O370" s="13"/>
      <c r="P370" s="12">
        <f>IF(Q370="", 0, 1)</f>
        <v>0</v>
      </c>
      <c r="Q370" s="12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2">
        <f>IF(AC370="", 0, 1)</f>
        <v>0</v>
      </c>
      <c r="AC370" s="13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>
        <f>IF(AO370="", 0, 1)</f>
        <v>1</v>
      </c>
      <c r="AO370" s="12">
        <v>136</v>
      </c>
      <c r="AP370" s="12"/>
      <c r="AQ370" s="12"/>
      <c r="AR370" s="12">
        <v>28</v>
      </c>
      <c r="AS370" s="12">
        <v>5</v>
      </c>
      <c r="AT370" s="12">
        <v>70</v>
      </c>
      <c r="AU370" s="12"/>
      <c r="AV370" s="12"/>
      <c r="AW370" s="12"/>
      <c r="AX370" s="12" t="str">
        <f>IF(AR370="", "mean", "med")</f>
        <v>med</v>
      </c>
      <c r="AY370" s="12">
        <f>IF(AR370="", AP370, AR370)</f>
        <v>28</v>
      </c>
      <c r="AZ370" s="49" t="s">
        <v>52</v>
      </c>
      <c r="BA370" s="49" t="str">
        <f>IF(AZ370="high","high","lower")</f>
        <v>high</v>
      </c>
      <c r="BB370" s="49">
        <v>0.90800000000000003</v>
      </c>
      <c r="BC370" s="49"/>
      <c r="BD370" s="49"/>
      <c r="BE370" s="49"/>
      <c r="BF370" s="49"/>
      <c r="BG370" s="18" t="s">
        <v>1030</v>
      </c>
      <c r="BH370" s="18" t="s">
        <v>1031</v>
      </c>
    </row>
    <row r="371" spans="1:60" ht="15.75" customHeight="1" x14ac:dyDescent="0.2">
      <c r="A371" s="11">
        <v>370</v>
      </c>
      <c r="B371" s="12">
        <v>3461</v>
      </c>
      <c r="C371" s="13" t="s">
        <v>524</v>
      </c>
      <c r="D371" s="13" t="s">
        <v>38</v>
      </c>
      <c r="E371" s="23">
        <v>2015</v>
      </c>
      <c r="F371" s="23">
        <v>2017</v>
      </c>
      <c r="G371" s="13" t="s">
        <v>117</v>
      </c>
      <c r="H371" s="13"/>
      <c r="I371" s="13" t="s">
        <v>59</v>
      </c>
      <c r="J371" s="13" t="s">
        <v>60</v>
      </c>
      <c r="K371" s="14"/>
      <c r="L371" s="19">
        <v>0</v>
      </c>
      <c r="M371" s="16">
        <v>65</v>
      </c>
      <c r="N371" s="13" t="s">
        <v>42</v>
      </c>
      <c r="O371" s="14" t="s">
        <v>525</v>
      </c>
      <c r="P371" s="12">
        <f>IF(Q371="", 0, 1)</f>
        <v>1</v>
      </c>
      <c r="Q371" s="12">
        <v>230</v>
      </c>
      <c r="R371" s="17"/>
      <c r="S371" s="17"/>
      <c r="T371" s="17">
        <f>1.9*30</f>
        <v>57</v>
      </c>
      <c r="U371" s="17"/>
      <c r="V371" s="17"/>
      <c r="W371" s="17"/>
      <c r="X371" s="17">
        <f>0.2*30</f>
        <v>6</v>
      </c>
      <c r="Y371" s="17">
        <f>17.3*30</f>
        <v>519</v>
      </c>
      <c r="Z371" s="17" t="str">
        <f>IF(T371="", "mean", "med")</f>
        <v>med</v>
      </c>
      <c r="AA371" s="17">
        <f>IF(T371="", R371, T371)</f>
        <v>57</v>
      </c>
      <c r="AB371" s="12">
        <f>IF(AC371="", 0, 1)</f>
        <v>0</v>
      </c>
      <c r="AC371" s="13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>
        <f>IF(AO371="", 0, 1)</f>
        <v>0</v>
      </c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 t="s">
        <v>52</v>
      </c>
      <c r="BA371" s="12" t="str">
        <f>IF(AZ371="high","high","lower")</f>
        <v>high</v>
      </c>
      <c r="BB371" s="49">
        <v>0.93899999999999995</v>
      </c>
      <c r="BC371" s="12">
        <v>90.6</v>
      </c>
      <c r="BD371" s="12">
        <v>98</v>
      </c>
      <c r="BE371" s="12">
        <v>100</v>
      </c>
      <c r="BF371" s="12">
        <v>90</v>
      </c>
      <c r="BG371" s="18" t="s">
        <v>1030</v>
      </c>
      <c r="BH371" s="18" t="s">
        <v>1031</v>
      </c>
    </row>
    <row r="372" spans="1:60" ht="15.75" customHeight="1" x14ac:dyDescent="0.2">
      <c r="A372" s="11">
        <v>371</v>
      </c>
      <c r="B372" s="12">
        <v>3470</v>
      </c>
      <c r="C372" s="13" t="s">
        <v>526</v>
      </c>
      <c r="D372" s="13" t="s">
        <v>38</v>
      </c>
      <c r="E372" s="23">
        <v>2004</v>
      </c>
      <c r="F372" s="23">
        <v>2008</v>
      </c>
      <c r="G372" s="13" t="s">
        <v>62</v>
      </c>
      <c r="H372" s="13"/>
      <c r="I372" s="31" t="s">
        <v>104</v>
      </c>
      <c r="J372" s="13" t="s">
        <v>206</v>
      </c>
      <c r="K372" s="13"/>
      <c r="L372" s="15">
        <v>100</v>
      </c>
      <c r="M372" s="16">
        <v>52</v>
      </c>
      <c r="N372" s="13" t="s">
        <v>42</v>
      </c>
      <c r="O372" s="13"/>
      <c r="P372" s="12">
        <f>IF(Q372="", 0, 1)</f>
        <v>0</v>
      </c>
      <c r="Q372" s="12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2">
        <f>IF(AC372="", 0, 1)</f>
        <v>0</v>
      </c>
      <c r="AC372" s="13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>
        <f>IF(AO372="", 0, 1)</f>
        <v>1</v>
      </c>
      <c r="AO372" s="12">
        <v>37</v>
      </c>
      <c r="AP372" s="12">
        <f>36.1*7</f>
        <v>252.70000000000002</v>
      </c>
      <c r="AQ372" s="12">
        <f>40.8*7</f>
        <v>285.59999999999997</v>
      </c>
      <c r="AR372" s="12">
        <f>24*7</f>
        <v>168</v>
      </c>
      <c r="AS372" s="12"/>
      <c r="AT372" s="12"/>
      <c r="AU372" s="12"/>
      <c r="AV372" s="12">
        <f>2*7</f>
        <v>14</v>
      </c>
      <c r="AW372" s="12">
        <f>171*7</f>
        <v>1197</v>
      </c>
      <c r="AX372" s="12" t="str">
        <f>IF(AR372="", "mean", "med")</f>
        <v>med</v>
      </c>
      <c r="AY372" s="12">
        <f>IF(AR372="", AP372, AR372)</f>
        <v>168</v>
      </c>
      <c r="AZ372" s="49" t="s">
        <v>46</v>
      </c>
      <c r="BA372" s="49" t="str">
        <f>IF(AZ372="high","high","lower")</f>
        <v>lower</v>
      </c>
      <c r="BB372" s="49">
        <v>0.47199999999999998</v>
      </c>
      <c r="BC372" s="49"/>
      <c r="BD372" s="49"/>
      <c r="BE372" s="49"/>
      <c r="BF372" s="49"/>
      <c r="BG372" s="18" t="s">
        <v>1034</v>
      </c>
      <c r="BH372" s="18" t="s">
        <v>1031</v>
      </c>
    </row>
    <row r="373" spans="1:60" ht="15.75" customHeight="1" x14ac:dyDescent="0.2">
      <c r="A373" s="11">
        <v>372</v>
      </c>
      <c r="B373" s="12">
        <v>3472</v>
      </c>
      <c r="C373" s="13" t="s">
        <v>527</v>
      </c>
      <c r="D373" s="13" t="s">
        <v>38</v>
      </c>
      <c r="E373" s="23">
        <v>1995</v>
      </c>
      <c r="F373" s="23">
        <v>1998</v>
      </c>
      <c r="G373" s="13" t="s">
        <v>140</v>
      </c>
      <c r="H373" s="13"/>
      <c r="I373" s="13" t="s">
        <v>57</v>
      </c>
      <c r="J373" s="13" t="s">
        <v>58</v>
      </c>
      <c r="K373" s="13"/>
      <c r="L373" s="15">
        <v>17.82</v>
      </c>
      <c r="M373" s="16">
        <v>60</v>
      </c>
      <c r="N373" s="13" t="s">
        <v>42</v>
      </c>
      <c r="O373" s="13" t="s">
        <v>41</v>
      </c>
      <c r="P373" s="12">
        <f>IF(Q373="", 0, 1)</f>
        <v>1</v>
      </c>
      <c r="Q373" s="22">
        <v>2443</v>
      </c>
      <c r="R373" s="17">
        <v>28.9</v>
      </c>
      <c r="S373" s="17">
        <v>64.400000000000006</v>
      </c>
      <c r="T373" s="17">
        <v>6</v>
      </c>
      <c r="U373" s="17">
        <v>6</v>
      </c>
      <c r="V373" s="17">
        <v>21</v>
      </c>
      <c r="W373" s="17"/>
      <c r="X373" s="17"/>
      <c r="Y373" s="17"/>
      <c r="Z373" s="17" t="str">
        <f>IF(T373="", "mean", "med")</f>
        <v>med</v>
      </c>
      <c r="AA373" s="17">
        <f>IF(T373="", R373, T373)</f>
        <v>6</v>
      </c>
      <c r="AB373" s="12">
        <f>IF(AC373="", 0, 1)</f>
        <v>1</v>
      </c>
      <c r="AC373" s="13">
        <v>3076</v>
      </c>
      <c r="AD373" s="12">
        <v>55.5</v>
      </c>
      <c r="AE373" s="12">
        <v>78.8</v>
      </c>
      <c r="AF373" s="12">
        <v>34</v>
      </c>
      <c r="AG373" s="12">
        <v>19</v>
      </c>
      <c r="AH373" s="12">
        <v>61</v>
      </c>
      <c r="AI373" s="12"/>
      <c r="AJ373" s="12"/>
      <c r="AK373" s="12"/>
      <c r="AL373" s="12" t="str">
        <f>IF(AF373="", "mean", "med")</f>
        <v>med</v>
      </c>
      <c r="AM373" s="12">
        <f>IF(AF373="", AD373, AF373)</f>
        <v>34</v>
      </c>
      <c r="AN373" s="12">
        <f>IF(AO373="", 0, 1)</f>
        <v>1</v>
      </c>
      <c r="AO373" s="12">
        <v>2497</v>
      </c>
      <c r="AP373" s="12">
        <v>47.4</v>
      </c>
      <c r="AQ373" s="12">
        <v>80.3</v>
      </c>
      <c r="AR373" s="12">
        <v>30</v>
      </c>
      <c r="AS373" s="12">
        <v>9</v>
      </c>
      <c r="AT373" s="12">
        <v>59</v>
      </c>
      <c r="AU373" s="12"/>
      <c r="AV373" s="12"/>
      <c r="AW373" s="12"/>
      <c r="AX373" s="12" t="str">
        <f>IF(AR373="", "mean", "med")</f>
        <v>med</v>
      </c>
      <c r="AY373" s="12">
        <f>IF(AR373="", AP373, AR373)</f>
        <v>30</v>
      </c>
      <c r="AZ373" s="49" t="s">
        <v>43</v>
      </c>
      <c r="BA373" s="49" t="str">
        <f>IF(AZ373="high","high","lower")</f>
        <v>lower</v>
      </c>
      <c r="BB373" s="49">
        <v>0.75900000000000001</v>
      </c>
      <c r="BC373" s="49"/>
      <c r="BD373" s="49"/>
      <c r="BE373" s="49"/>
      <c r="BF373" s="49"/>
      <c r="BG373" s="18" t="s">
        <v>1032</v>
      </c>
      <c r="BH373" s="18" t="s">
        <v>1033</v>
      </c>
    </row>
    <row r="374" spans="1:60" ht="15.75" customHeight="1" x14ac:dyDescent="0.2">
      <c r="A374" s="11">
        <v>373</v>
      </c>
      <c r="B374" s="12">
        <v>3481</v>
      </c>
      <c r="C374" s="13" t="s">
        <v>528</v>
      </c>
      <c r="D374" s="13">
        <v>2004</v>
      </c>
      <c r="E374" s="13">
        <v>2004</v>
      </c>
      <c r="F374" s="13">
        <v>2004</v>
      </c>
      <c r="G374" s="13" t="s">
        <v>49</v>
      </c>
      <c r="H374" s="13"/>
      <c r="I374" s="13" t="s">
        <v>54</v>
      </c>
      <c r="J374" s="14" t="s">
        <v>529</v>
      </c>
      <c r="K374" s="14"/>
      <c r="L374" s="19" t="s">
        <v>41</v>
      </c>
      <c r="M374" s="16" t="s">
        <v>41</v>
      </c>
      <c r="N374" s="13" t="s">
        <v>42</v>
      </c>
      <c r="O374" s="14" t="s">
        <v>530</v>
      </c>
      <c r="P374" s="12">
        <f>IF(Q374="", 0, 1)</f>
        <v>1</v>
      </c>
      <c r="Q374" s="22">
        <v>641</v>
      </c>
      <c r="R374" s="21">
        <v>34.799999999999997</v>
      </c>
      <c r="S374" s="21"/>
      <c r="T374" s="17">
        <v>30</v>
      </c>
      <c r="U374" s="17"/>
      <c r="V374" s="17"/>
      <c r="W374" s="17"/>
      <c r="X374" s="17"/>
      <c r="Y374" s="17"/>
      <c r="Z374" s="17" t="str">
        <f>IF(T374="", "mean", "med")</f>
        <v>med</v>
      </c>
      <c r="AA374" s="17">
        <f>IF(T374="", R374, T374)</f>
        <v>30</v>
      </c>
      <c r="AB374" s="12">
        <f>IF(AC374="", 0, 1)</f>
        <v>0</v>
      </c>
      <c r="AC374" s="13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>
        <f>IF(AO374="", 0, 1)</f>
        <v>0</v>
      </c>
      <c r="AO374" s="12"/>
      <c r="AP374" s="12"/>
      <c r="AQ374" s="12"/>
      <c r="AR374" s="12"/>
      <c r="AS374" s="12"/>
      <c r="AT374" s="12"/>
      <c r="AU374" s="12"/>
      <c r="AV374" s="12"/>
      <c r="AW374" s="49"/>
      <c r="AX374" s="12"/>
      <c r="AY374" s="12"/>
      <c r="AZ374" s="12" t="s">
        <v>52</v>
      </c>
      <c r="BA374" s="12" t="str">
        <f>IF(AZ374="high","high","lower")</f>
        <v>high</v>
      </c>
      <c r="BB374" s="49">
        <v>0.89700000000000002</v>
      </c>
      <c r="BC374" s="12">
        <v>84</v>
      </c>
      <c r="BD374" s="12">
        <v>88</v>
      </c>
      <c r="BE374" s="12">
        <v>100</v>
      </c>
      <c r="BF374" s="12">
        <v>84.2</v>
      </c>
      <c r="BG374" s="18" t="s">
        <v>1034</v>
      </c>
      <c r="BH374" s="18" t="s">
        <v>1031</v>
      </c>
    </row>
    <row r="375" spans="1:60" ht="15.75" customHeight="1" x14ac:dyDescent="0.2">
      <c r="A375" s="11">
        <v>374</v>
      </c>
      <c r="B375" s="12">
        <v>3481</v>
      </c>
      <c r="C375" s="13" t="s">
        <v>528</v>
      </c>
      <c r="D375" s="14">
        <v>2005</v>
      </c>
      <c r="E375" s="13">
        <v>2005</v>
      </c>
      <c r="F375" s="13">
        <v>2005</v>
      </c>
      <c r="G375" s="13" t="s">
        <v>49</v>
      </c>
      <c r="H375" s="13"/>
      <c r="I375" s="13" t="s">
        <v>54</v>
      </c>
      <c r="J375" s="13" t="s">
        <v>529</v>
      </c>
      <c r="K375" s="13"/>
      <c r="L375" s="15" t="s">
        <v>41</v>
      </c>
      <c r="M375" s="16" t="s">
        <v>41</v>
      </c>
      <c r="N375" s="13" t="s">
        <v>42</v>
      </c>
      <c r="O375" s="14" t="s">
        <v>530</v>
      </c>
      <c r="P375" s="12">
        <f>IF(Q375="", 0, 1)</f>
        <v>1</v>
      </c>
      <c r="Q375" s="12">
        <v>656</v>
      </c>
      <c r="R375" s="17">
        <v>37.1</v>
      </c>
      <c r="S375" s="17"/>
      <c r="T375" s="17">
        <v>32</v>
      </c>
      <c r="U375" s="17"/>
      <c r="V375" s="17"/>
      <c r="W375" s="17"/>
      <c r="X375" s="17"/>
      <c r="Y375" s="17"/>
      <c r="Z375" s="17" t="str">
        <f>IF(T375="", "mean", "med")</f>
        <v>med</v>
      </c>
      <c r="AA375" s="17">
        <f>IF(T375="", R375, T375)</f>
        <v>32</v>
      </c>
      <c r="AB375" s="12">
        <f>IF(AC375="", 0, 1)</f>
        <v>0</v>
      </c>
      <c r="AC375" s="13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>
        <f>IF(AO375="", 0, 1)</f>
        <v>0</v>
      </c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 t="s">
        <v>52</v>
      </c>
      <c r="BA375" s="12" t="str">
        <f>IF(AZ375="high","high","lower")</f>
        <v>high</v>
      </c>
      <c r="BB375" s="49">
        <v>0.9</v>
      </c>
      <c r="BC375" s="12">
        <v>84</v>
      </c>
      <c r="BD375" s="12">
        <v>88</v>
      </c>
      <c r="BE375" s="12">
        <v>100</v>
      </c>
      <c r="BF375" s="12">
        <v>84.2</v>
      </c>
      <c r="BG375" s="18" t="s">
        <v>1034</v>
      </c>
      <c r="BH375" s="18" t="s">
        <v>1031</v>
      </c>
    </row>
    <row r="376" spans="1:60" ht="15.75" customHeight="1" x14ac:dyDescent="0.2">
      <c r="A376" s="11">
        <v>375</v>
      </c>
      <c r="B376" s="12">
        <v>3481</v>
      </c>
      <c r="C376" s="13" t="s">
        <v>528</v>
      </c>
      <c r="D376" s="14">
        <v>2006</v>
      </c>
      <c r="E376" s="13">
        <v>2006</v>
      </c>
      <c r="F376" s="13">
        <v>2006</v>
      </c>
      <c r="G376" s="13" t="s">
        <v>49</v>
      </c>
      <c r="H376" s="13"/>
      <c r="I376" s="13" t="s">
        <v>54</v>
      </c>
      <c r="J376" s="13" t="s">
        <v>529</v>
      </c>
      <c r="K376" s="14"/>
      <c r="L376" s="19" t="s">
        <v>41</v>
      </c>
      <c r="M376" s="20" t="s">
        <v>41</v>
      </c>
      <c r="N376" s="13" t="s">
        <v>42</v>
      </c>
      <c r="O376" s="14" t="s">
        <v>530</v>
      </c>
      <c r="P376" s="12">
        <f>IF(Q376="", 0, 1)</f>
        <v>1</v>
      </c>
      <c r="Q376" s="12">
        <v>739</v>
      </c>
      <c r="R376" s="17">
        <v>36.299999999999997</v>
      </c>
      <c r="S376" s="17"/>
      <c r="T376" s="17">
        <v>31</v>
      </c>
      <c r="U376" s="17"/>
      <c r="V376" s="17"/>
      <c r="W376" s="17"/>
      <c r="X376" s="17"/>
      <c r="Y376" s="17"/>
      <c r="Z376" s="17" t="str">
        <f>IF(T376="", "mean", "med")</f>
        <v>med</v>
      </c>
      <c r="AA376" s="17">
        <f>IF(T376="", R376, T376)</f>
        <v>31</v>
      </c>
      <c r="AB376" s="12">
        <f>IF(AC376="", 0, 1)</f>
        <v>0</v>
      </c>
      <c r="AC376" s="13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>
        <f>IF(AO376="", 0, 1)</f>
        <v>0</v>
      </c>
      <c r="AO376" s="22"/>
      <c r="AP376" s="12"/>
      <c r="AQ376" s="12"/>
      <c r="AR376" s="22"/>
      <c r="AS376" s="12"/>
      <c r="AT376" s="12"/>
      <c r="AU376" s="12"/>
      <c r="AV376" s="12"/>
      <c r="AW376" s="12"/>
      <c r="AX376" s="12"/>
      <c r="AY376" s="12"/>
      <c r="AZ376" s="12" t="s">
        <v>52</v>
      </c>
      <c r="BA376" s="12" t="str">
        <f>IF(AZ376="high","high","lower")</f>
        <v>high</v>
      </c>
      <c r="BB376" s="49">
        <v>0.90300000000000002</v>
      </c>
      <c r="BC376" s="12">
        <v>84</v>
      </c>
      <c r="BD376" s="12">
        <v>88</v>
      </c>
      <c r="BE376" s="12">
        <v>100</v>
      </c>
      <c r="BF376" s="12">
        <v>84.2</v>
      </c>
      <c r="BG376" s="18" t="s">
        <v>1034</v>
      </c>
      <c r="BH376" s="18" t="s">
        <v>1031</v>
      </c>
    </row>
    <row r="377" spans="1:60" ht="15.75" customHeight="1" x14ac:dyDescent="0.2">
      <c r="A377" s="11">
        <v>376</v>
      </c>
      <c r="B377" s="22">
        <v>3481</v>
      </c>
      <c r="C377" s="13" t="s">
        <v>528</v>
      </c>
      <c r="D377" s="14">
        <v>2007</v>
      </c>
      <c r="E377" s="13">
        <v>2007</v>
      </c>
      <c r="F377" s="13">
        <v>2007</v>
      </c>
      <c r="G377" s="13" t="s">
        <v>49</v>
      </c>
      <c r="H377" s="13"/>
      <c r="I377" s="13" t="s">
        <v>54</v>
      </c>
      <c r="J377" s="13" t="s">
        <v>529</v>
      </c>
      <c r="K377" s="14"/>
      <c r="L377" s="19" t="s">
        <v>41</v>
      </c>
      <c r="M377" s="20" t="s">
        <v>41</v>
      </c>
      <c r="N377" s="13" t="s">
        <v>42</v>
      </c>
      <c r="O377" s="14" t="s">
        <v>530</v>
      </c>
      <c r="P377" s="12">
        <f>IF(Q377="", 0, 1)</f>
        <v>1</v>
      </c>
      <c r="Q377" s="12">
        <v>905</v>
      </c>
      <c r="R377" s="17">
        <v>39</v>
      </c>
      <c r="S377" s="17"/>
      <c r="T377" s="17">
        <v>33</v>
      </c>
      <c r="U377" s="17"/>
      <c r="V377" s="17"/>
      <c r="W377" s="17"/>
      <c r="X377" s="17"/>
      <c r="Y377" s="17"/>
      <c r="Z377" s="17" t="str">
        <f>IF(T377="", "mean", "med")</f>
        <v>med</v>
      </c>
      <c r="AA377" s="17">
        <f>IF(T377="", R377, T377)</f>
        <v>33</v>
      </c>
      <c r="AB377" s="12">
        <f>IF(AC377="", 0, 1)</f>
        <v>0</v>
      </c>
      <c r="AC377" s="13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>
        <f>IF(AO377="", 0, 1)</f>
        <v>0</v>
      </c>
      <c r="AO377" s="22"/>
      <c r="AP377" s="12"/>
      <c r="AQ377" s="12"/>
      <c r="AR377" s="22"/>
      <c r="AS377" s="12"/>
      <c r="AT377" s="12"/>
      <c r="AU377" s="12"/>
      <c r="AV377" s="12"/>
      <c r="AW377" s="12"/>
      <c r="AX377" s="12"/>
      <c r="AY377" s="12"/>
      <c r="AZ377" s="12" t="s">
        <v>52</v>
      </c>
      <c r="BA377" s="12" t="str">
        <f>IF(AZ377="high","high","lower")</f>
        <v>high</v>
      </c>
      <c r="BB377" s="49">
        <v>0.90600000000000003</v>
      </c>
      <c r="BC377" s="12">
        <v>84</v>
      </c>
      <c r="BD377" s="12">
        <v>88</v>
      </c>
      <c r="BE377" s="12">
        <v>100</v>
      </c>
      <c r="BF377" s="12">
        <v>84.2</v>
      </c>
      <c r="BG377" s="18" t="s">
        <v>1034</v>
      </c>
      <c r="BH377" s="18" t="s">
        <v>1031</v>
      </c>
    </row>
    <row r="378" spans="1:60" ht="15.75" customHeight="1" x14ac:dyDescent="0.2">
      <c r="A378" s="11">
        <v>377</v>
      </c>
      <c r="B378" s="12">
        <v>3481</v>
      </c>
      <c r="C378" s="13" t="s">
        <v>528</v>
      </c>
      <c r="D378" s="14">
        <v>2008</v>
      </c>
      <c r="E378" s="13">
        <v>2008</v>
      </c>
      <c r="F378" s="13">
        <v>2008</v>
      </c>
      <c r="G378" s="13" t="s">
        <v>49</v>
      </c>
      <c r="H378" s="13"/>
      <c r="I378" s="13" t="s">
        <v>54</v>
      </c>
      <c r="J378" s="13" t="s">
        <v>529</v>
      </c>
      <c r="K378" s="14"/>
      <c r="L378" s="19" t="s">
        <v>41</v>
      </c>
      <c r="M378" s="20" t="s">
        <v>41</v>
      </c>
      <c r="N378" s="13" t="s">
        <v>42</v>
      </c>
      <c r="O378" s="14" t="s">
        <v>530</v>
      </c>
      <c r="P378" s="12">
        <f>IF(Q378="", 0, 1)</f>
        <v>1</v>
      </c>
      <c r="Q378" s="12">
        <v>943</v>
      </c>
      <c r="R378" s="17">
        <v>38.4</v>
      </c>
      <c r="S378" s="17"/>
      <c r="T378" s="17">
        <v>33</v>
      </c>
      <c r="U378" s="17"/>
      <c r="V378" s="17"/>
      <c r="W378" s="17"/>
      <c r="X378" s="17"/>
      <c r="Y378" s="17"/>
      <c r="Z378" s="17" t="str">
        <f>IF(T378="", "mean", "med")</f>
        <v>med</v>
      </c>
      <c r="AA378" s="17">
        <f>IF(T378="", R378, T378)</f>
        <v>33</v>
      </c>
      <c r="AB378" s="12">
        <f>IF(AC378="", 0, 1)</f>
        <v>0</v>
      </c>
      <c r="AC378" s="13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>
        <f>IF(AO378="", 0, 1)</f>
        <v>0</v>
      </c>
      <c r="AO378" s="22"/>
      <c r="AP378" s="12"/>
      <c r="AQ378" s="12"/>
      <c r="AR378" s="22"/>
      <c r="AS378" s="12"/>
      <c r="AT378" s="12"/>
      <c r="AU378" s="12"/>
      <c r="AV378" s="12"/>
      <c r="AW378" s="12"/>
      <c r="AX378" s="12"/>
      <c r="AY378" s="12"/>
      <c r="AZ378" s="12" t="s">
        <v>52</v>
      </c>
      <c r="BA378" s="12" t="str">
        <f>IF(AZ378="high","high","lower")</f>
        <v>high</v>
      </c>
      <c r="BB378" s="49">
        <v>0.91100000000000003</v>
      </c>
      <c r="BC378" s="12">
        <v>84</v>
      </c>
      <c r="BD378" s="12">
        <v>88</v>
      </c>
      <c r="BE378" s="12">
        <v>100</v>
      </c>
      <c r="BF378" s="12">
        <v>84.2</v>
      </c>
      <c r="BG378" s="18" t="s">
        <v>1034</v>
      </c>
      <c r="BH378" s="18" t="s">
        <v>1031</v>
      </c>
    </row>
    <row r="379" spans="1:60" ht="15.75" customHeight="1" x14ac:dyDescent="0.2">
      <c r="A379" s="11">
        <v>378</v>
      </c>
      <c r="B379" s="12">
        <v>3481</v>
      </c>
      <c r="C379" s="13" t="s">
        <v>528</v>
      </c>
      <c r="D379" s="14">
        <v>2009</v>
      </c>
      <c r="E379" s="13">
        <v>2009</v>
      </c>
      <c r="F379" s="13">
        <v>2009</v>
      </c>
      <c r="G379" s="13" t="s">
        <v>49</v>
      </c>
      <c r="H379" s="13"/>
      <c r="I379" s="13" t="s">
        <v>54</v>
      </c>
      <c r="J379" s="13" t="s">
        <v>529</v>
      </c>
      <c r="K379" s="14"/>
      <c r="L379" s="19" t="s">
        <v>41</v>
      </c>
      <c r="M379" s="20" t="s">
        <v>41</v>
      </c>
      <c r="N379" s="13" t="s">
        <v>42</v>
      </c>
      <c r="O379" s="14" t="s">
        <v>530</v>
      </c>
      <c r="P379" s="12">
        <f>IF(Q379="", 0, 1)</f>
        <v>1</v>
      </c>
      <c r="Q379" s="12">
        <v>1134</v>
      </c>
      <c r="R379" s="17">
        <v>38.799999999999997</v>
      </c>
      <c r="S379" s="17"/>
      <c r="T379" s="17">
        <v>33</v>
      </c>
      <c r="U379" s="17"/>
      <c r="V379" s="17"/>
      <c r="W379" s="17"/>
      <c r="X379" s="17"/>
      <c r="Y379" s="17"/>
      <c r="Z379" s="17" t="str">
        <f>IF(T379="", "mean", "med")</f>
        <v>med</v>
      </c>
      <c r="AA379" s="17">
        <f>IF(T379="", R379, T379)</f>
        <v>33</v>
      </c>
      <c r="AB379" s="12">
        <f>IF(AC379="", 0, 1)</f>
        <v>0</v>
      </c>
      <c r="AC379" s="13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>
        <f>IF(AO379="", 0, 1)</f>
        <v>0</v>
      </c>
      <c r="AO379" s="22"/>
      <c r="AP379" s="12"/>
      <c r="AQ379" s="12"/>
      <c r="AR379" s="22"/>
      <c r="AS379" s="12"/>
      <c r="AT379" s="12"/>
      <c r="AU379" s="12"/>
      <c r="AV379" s="12"/>
      <c r="AW379" s="12"/>
      <c r="AX379" s="12"/>
      <c r="AY379" s="12"/>
      <c r="AZ379" s="12" t="s">
        <v>52</v>
      </c>
      <c r="BA379" s="12" t="str">
        <f>IF(AZ379="high","high","lower")</f>
        <v>high</v>
      </c>
      <c r="BB379" s="49">
        <v>0.91200000000000003</v>
      </c>
      <c r="BC379" s="12">
        <v>84</v>
      </c>
      <c r="BD379" s="12">
        <v>88</v>
      </c>
      <c r="BE379" s="12">
        <v>100</v>
      </c>
      <c r="BF379" s="12">
        <v>84.2</v>
      </c>
      <c r="BG379" s="18" t="s">
        <v>1034</v>
      </c>
      <c r="BH379" s="18" t="s">
        <v>1031</v>
      </c>
    </row>
    <row r="380" spans="1:60" ht="15.75" customHeight="1" x14ac:dyDescent="0.2">
      <c r="A380" s="11">
        <v>379</v>
      </c>
      <c r="B380" s="12">
        <v>3481</v>
      </c>
      <c r="C380" s="13" t="s">
        <v>528</v>
      </c>
      <c r="D380" s="14">
        <v>2010</v>
      </c>
      <c r="E380" s="13">
        <v>2010</v>
      </c>
      <c r="F380" s="13">
        <v>2010</v>
      </c>
      <c r="G380" s="13" t="s">
        <v>49</v>
      </c>
      <c r="H380" s="13"/>
      <c r="I380" s="13" t="s">
        <v>54</v>
      </c>
      <c r="J380" s="13" t="s">
        <v>529</v>
      </c>
      <c r="K380" s="14"/>
      <c r="L380" s="19" t="s">
        <v>41</v>
      </c>
      <c r="M380" s="20" t="s">
        <v>41</v>
      </c>
      <c r="N380" s="13" t="s">
        <v>42</v>
      </c>
      <c r="O380" s="14" t="s">
        <v>530</v>
      </c>
      <c r="P380" s="12">
        <f>IF(Q380="", 0, 1)</f>
        <v>1</v>
      </c>
      <c r="Q380" s="12">
        <v>1181</v>
      </c>
      <c r="R380" s="17">
        <v>39.9</v>
      </c>
      <c r="S380" s="17"/>
      <c r="T380" s="17">
        <v>34</v>
      </c>
      <c r="U380" s="17"/>
      <c r="V380" s="17"/>
      <c r="W380" s="17"/>
      <c r="X380" s="17"/>
      <c r="Y380" s="17"/>
      <c r="Z380" s="17" t="str">
        <f>IF(T380="", "mean", "med")</f>
        <v>med</v>
      </c>
      <c r="AA380" s="17">
        <f>IF(T380="", R380, T380)</f>
        <v>34</v>
      </c>
      <c r="AB380" s="12">
        <f>IF(AC380="", 0, 1)</f>
        <v>0</v>
      </c>
      <c r="AC380" s="13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>
        <f>IF(AO380="", 0, 1)</f>
        <v>0</v>
      </c>
      <c r="AO380" s="22"/>
      <c r="AP380" s="12"/>
      <c r="AQ380" s="12"/>
      <c r="AR380" s="22"/>
      <c r="AS380" s="12"/>
      <c r="AT380" s="12"/>
      <c r="AU380" s="12"/>
      <c r="AV380" s="12"/>
      <c r="AW380" s="12"/>
      <c r="AX380" s="12"/>
      <c r="AY380" s="12"/>
      <c r="AZ380" s="12" t="s">
        <v>52</v>
      </c>
      <c r="BA380" s="12" t="str">
        <f>IF(AZ380="high","high","lower")</f>
        <v>high</v>
      </c>
      <c r="BB380" s="49">
        <v>0.91600000000000004</v>
      </c>
      <c r="BC380" s="12">
        <v>84</v>
      </c>
      <c r="BD380" s="12">
        <v>88</v>
      </c>
      <c r="BE380" s="12">
        <v>100</v>
      </c>
      <c r="BF380" s="12">
        <v>84.2</v>
      </c>
      <c r="BG380" s="18" t="s">
        <v>1034</v>
      </c>
      <c r="BH380" s="18" t="s">
        <v>1031</v>
      </c>
    </row>
    <row r="381" spans="1:60" ht="15.75" customHeight="1" x14ac:dyDescent="0.2">
      <c r="A381" s="11">
        <v>380</v>
      </c>
      <c r="B381" s="12">
        <v>3481</v>
      </c>
      <c r="C381" s="13" t="s">
        <v>528</v>
      </c>
      <c r="D381" s="14">
        <v>2011</v>
      </c>
      <c r="E381" s="13">
        <v>2011</v>
      </c>
      <c r="F381" s="13">
        <v>2011</v>
      </c>
      <c r="G381" s="13" t="s">
        <v>49</v>
      </c>
      <c r="H381" s="13"/>
      <c r="I381" s="13" t="s">
        <v>54</v>
      </c>
      <c r="J381" s="13" t="s">
        <v>529</v>
      </c>
      <c r="K381" s="14"/>
      <c r="L381" s="19" t="s">
        <v>41</v>
      </c>
      <c r="M381" s="20" t="s">
        <v>41</v>
      </c>
      <c r="N381" s="13" t="s">
        <v>42</v>
      </c>
      <c r="O381" s="14" t="s">
        <v>530</v>
      </c>
      <c r="P381" s="12">
        <f>IF(Q381="", 0, 1)</f>
        <v>1</v>
      </c>
      <c r="Q381" s="12">
        <v>1324</v>
      </c>
      <c r="R381" s="17">
        <v>40.4</v>
      </c>
      <c r="S381" s="17"/>
      <c r="T381" s="17">
        <v>34</v>
      </c>
      <c r="U381" s="21"/>
      <c r="V381" s="17"/>
      <c r="W381" s="17"/>
      <c r="X381" s="17"/>
      <c r="Y381" s="17"/>
      <c r="Z381" s="17" t="str">
        <f>IF(T381="", "mean", "med")</f>
        <v>med</v>
      </c>
      <c r="AA381" s="17">
        <f>IF(T381="", R381, T381)</f>
        <v>34</v>
      </c>
      <c r="AB381" s="12">
        <f>IF(AC381="", 0, 1)</f>
        <v>0</v>
      </c>
      <c r="AC381" s="13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>
        <f>IF(AO381="", 0, 1)</f>
        <v>0</v>
      </c>
      <c r="AO381" s="22"/>
      <c r="AP381" s="12"/>
      <c r="AQ381" s="12"/>
      <c r="AR381" s="22"/>
      <c r="AS381" s="12"/>
      <c r="AT381" s="12"/>
      <c r="AU381" s="12"/>
      <c r="AV381" s="12"/>
      <c r="AW381" s="12"/>
      <c r="AX381" s="12"/>
      <c r="AY381" s="12"/>
      <c r="AZ381" s="12" t="s">
        <v>52</v>
      </c>
      <c r="BA381" s="12" t="str">
        <f>IF(AZ381="high","high","lower")</f>
        <v>high</v>
      </c>
      <c r="BB381" s="49">
        <v>0.91900000000000004</v>
      </c>
      <c r="BC381" s="12">
        <v>84</v>
      </c>
      <c r="BD381" s="12">
        <v>88</v>
      </c>
      <c r="BE381" s="12">
        <v>100</v>
      </c>
      <c r="BF381" s="12">
        <v>84.2</v>
      </c>
      <c r="BG381" s="18" t="s">
        <v>1034</v>
      </c>
      <c r="BH381" s="18" t="s">
        <v>1031</v>
      </c>
    </row>
    <row r="382" spans="1:60" ht="15.75" customHeight="1" x14ac:dyDescent="0.2">
      <c r="A382" s="11">
        <v>381</v>
      </c>
      <c r="B382" s="12">
        <v>3481</v>
      </c>
      <c r="C382" s="13" t="s">
        <v>528</v>
      </c>
      <c r="D382" s="14">
        <v>2012</v>
      </c>
      <c r="E382" s="13">
        <v>2012</v>
      </c>
      <c r="F382" s="13">
        <v>2012</v>
      </c>
      <c r="G382" s="13" t="s">
        <v>49</v>
      </c>
      <c r="H382" s="13"/>
      <c r="I382" s="13" t="s">
        <v>54</v>
      </c>
      <c r="J382" s="13" t="s">
        <v>529</v>
      </c>
      <c r="K382" s="14"/>
      <c r="L382" s="19" t="s">
        <v>41</v>
      </c>
      <c r="M382" s="20" t="s">
        <v>41</v>
      </c>
      <c r="N382" s="13" t="s">
        <v>42</v>
      </c>
      <c r="O382" s="13" t="s">
        <v>530</v>
      </c>
      <c r="P382" s="12">
        <f>IF(Q382="", 0, 1)</f>
        <v>1</v>
      </c>
      <c r="Q382" s="12">
        <v>1539</v>
      </c>
      <c r="R382" s="17">
        <v>38.9</v>
      </c>
      <c r="S382" s="17"/>
      <c r="T382" s="17">
        <v>34</v>
      </c>
      <c r="U382" s="17"/>
      <c r="V382" s="17"/>
      <c r="W382" s="17"/>
      <c r="X382" s="17"/>
      <c r="Y382" s="17"/>
      <c r="Z382" s="17" t="str">
        <f>IF(T382="", "mean", "med")</f>
        <v>med</v>
      </c>
      <c r="AA382" s="17">
        <f>IF(T382="", R382, T382)</f>
        <v>34</v>
      </c>
      <c r="AB382" s="12">
        <f>IF(AC382="", 0, 1)</f>
        <v>0</v>
      </c>
      <c r="AC382" s="13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>
        <f>IF(AO382="", 0, 1)</f>
        <v>0</v>
      </c>
      <c r="AO382" s="22"/>
      <c r="AP382" s="12"/>
      <c r="AQ382" s="12"/>
      <c r="AR382" s="22"/>
      <c r="AS382" s="12"/>
      <c r="AT382" s="12"/>
      <c r="AU382" s="12"/>
      <c r="AV382" s="12"/>
      <c r="AW382" s="12"/>
      <c r="AX382" s="12"/>
      <c r="AY382" s="12"/>
      <c r="AZ382" s="12" t="s">
        <v>52</v>
      </c>
      <c r="BA382" s="12" t="str">
        <f>IF(AZ382="high","high","lower")</f>
        <v>high</v>
      </c>
      <c r="BB382" s="49">
        <v>0.92</v>
      </c>
      <c r="BC382" s="12">
        <v>84</v>
      </c>
      <c r="BD382" s="12">
        <v>88</v>
      </c>
      <c r="BE382" s="12">
        <v>100</v>
      </c>
      <c r="BF382" s="12">
        <v>84.2</v>
      </c>
      <c r="BG382" s="18" t="s">
        <v>1034</v>
      </c>
      <c r="BH382" s="18" t="s">
        <v>1031</v>
      </c>
    </row>
    <row r="383" spans="1:60" ht="15.75" customHeight="1" x14ac:dyDescent="0.2">
      <c r="A383" s="11">
        <v>382</v>
      </c>
      <c r="B383" s="22">
        <v>3481</v>
      </c>
      <c r="C383" s="13" t="s">
        <v>528</v>
      </c>
      <c r="D383" s="14">
        <v>2013</v>
      </c>
      <c r="E383" s="13">
        <v>2013</v>
      </c>
      <c r="F383" s="13">
        <v>2013</v>
      </c>
      <c r="G383" s="13" t="s">
        <v>49</v>
      </c>
      <c r="H383" s="13"/>
      <c r="I383" s="13" t="s">
        <v>54</v>
      </c>
      <c r="J383" s="13" t="s">
        <v>529</v>
      </c>
      <c r="K383" s="14"/>
      <c r="L383" s="19" t="s">
        <v>41</v>
      </c>
      <c r="M383" s="20" t="s">
        <v>41</v>
      </c>
      <c r="N383" s="13" t="s">
        <v>42</v>
      </c>
      <c r="O383" s="14" t="s">
        <v>530</v>
      </c>
      <c r="P383" s="12">
        <f>IF(Q383="", 0, 1)</f>
        <v>1</v>
      </c>
      <c r="Q383" s="12">
        <v>1717</v>
      </c>
      <c r="R383" s="17">
        <v>40.799999999999997</v>
      </c>
      <c r="S383" s="17"/>
      <c r="T383" s="17">
        <v>34</v>
      </c>
      <c r="U383" s="17"/>
      <c r="V383" s="17"/>
      <c r="W383" s="17"/>
      <c r="X383" s="17"/>
      <c r="Y383" s="17"/>
      <c r="Z383" s="17" t="str">
        <f>IF(T383="", "mean", "med")</f>
        <v>med</v>
      </c>
      <c r="AA383" s="17">
        <f>IF(T383="", R383, T383)</f>
        <v>34</v>
      </c>
      <c r="AB383" s="12">
        <f>IF(AC383="", 0, 1)</f>
        <v>0</v>
      </c>
      <c r="AC383" s="13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>
        <f>IF(AO383="", 0, 1)</f>
        <v>0</v>
      </c>
      <c r="AO383" s="22"/>
      <c r="AP383" s="12"/>
      <c r="AQ383" s="12"/>
      <c r="AR383" s="22"/>
      <c r="AS383" s="12"/>
      <c r="AT383" s="12"/>
      <c r="AU383" s="12"/>
      <c r="AV383" s="12"/>
      <c r="AW383" s="12"/>
      <c r="AX383" s="12"/>
      <c r="AY383" s="12"/>
      <c r="AZ383" s="12" t="s">
        <v>52</v>
      </c>
      <c r="BA383" s="12" t="str">
        <f>IF(AZ383="high","high","lower")</f>
        <v>high</v>
      </c>
      <c r="BB383" s="49">
        <v>0.91800000000000004</v>
      </c>
      <c r="BC383" s="12">
        <v>84</v>
      </c>
      <c r="BD383" s="12">
        <v>88</v>
      </c>
      <c r="BE383" s="12">
        <v>100</v>
      </c>
      <c r="BF383" s="12">
        <v>84.2</v>
      </c>
      <c r="BG383" s="18" t="s">
        <v>1034</v>
      </c>
      <c r="BH383" s="18" t="s">
        <v>1031</v>
      </c>
    </row>
    <row r="384" spans="1:60" ht="15.75" customHeight="1" x14ac:dyDescent="0.2">
      <c r="A384" s="11">
        <v>383</v>
      </c>
      <c r="B384" s="12">
        <v>3481</v>
      </c>
      <c r="C384" s="13" t="s">
        <v>528</v>
      </c>
      <c r="D384" s="14">
        <v>2014</v>
      </c>
      <c r="E384" s="13">
        <v>2014</v>
      </c>
      <c r="F384" s="13">
        <v>2014</v>
      </c>
      <c r="G384" s="13" t="s">
        <v>49</v>
      </c>
      <c r="H384" s="13"/>
      <c r="I384" s="13" t="s">
        <v>54</v>
      </c>
      <c r="J384" s="13" t="s">
        <v>529</v>
      </c>
      <c r="K384" s="14"/>
      <c r="L384" s="19" t="s">
        <v>41</v>
      </c>
      <c r="M384" s="20" t="s">
        <v>41</v>
      </c>
      <c r="N384" s="13" t="s">
        <v>42</v>
      </c>
      <c r="O384" s="13" t="s">
        <v>530</v>
      </c>
      <c r="P384" s="12">
        <f>IF(Q384="", 0, 1)</f>
        <v>1</v>
      </c>
      <c r="Q384" s="12">
        <v>1767</v>
      </c>
      <c r="R384" s="17">
        <v>41.2</v>
      </c>
      <c r="S384" s="17"/>
      <c r="T384" s="17">
        <v>35</v>
      </c>
      <c r="U384" s="17"/>
      <c r="V384" s="17"/>
      <c r="W384" s="17"/>
      <c r="X384" s="17"/>
      <c r="Y384" s="17"/>
      <c r="Z384" s="17" t="str">
        <f>IF(T384="", "mean", "med")</f>
        <v>med</v>
      </c>
      <c r="AA384" s="17">
        <f>IF(T384="", R384, T384)</f>
        <v>35</v>
      </c>
      <c r="AB384" s="12">
        <f>IF(AC384="", 0, 1)</f>
        <v>0</v>
      </c>
      <c r="AC384" s="13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>
        <f>IF(AO384="", 0, 1)</f>
        <v>0</v>
      </c>
      <c r="AO384" s="22"/>
      <c r="AP384" s="12"/>
      <c r="AQ384" s="12"/>
      <c r="AR384" s="22"/>
      <c r="AS384" s="12"/>
      <c r="AT384" s="12"/>
      <c r="AU384" s="12"/>
      <c r="AV384" s="12"/>
      <c r="AW384" s="12"/>
      <c r="AX384" s="12"/>
      <c r="AY384" s="12"/>
      <c r="AZ384" s="12" t="s">
        <v>52</v>
      </c>
      <c r="BA384" s="12" t="str">
        <f>IF(AZ384="high","high","lower")</f>
        <v>high</v>
      </c>
      <c r="BB384" s="49">
        <v>0.92</v>
      </c>
      <c r="BC384" s="12">
        <v>84</v>
      </c>
      <c r="BD384" s="12">
        <v>88</v>
      </c>
      <c r="BE384" s="12">
        <v>100</v>
      </c>
      <c r="BF384" s="12">
        <v>84.2</v>
      </c>
      <c r="BG384" s="18" t="s">
        <v>1034</v>
      </c>
      <c r="BH384" s="18" t="s">
        <v>1031</v>
      </c>
    </row>
    <row r="385" spans="1:60" ht="15.75" customHeight="1" x14ac:dyDescent="0.2">
      <c r="A385" s="11">
        <v>384</v>
      </c>
      <c r="B385" s="12">
        <v>3506</v>
      </c>
      <c r="C385" s="13" t="s">
        <v>531</v>
      </c>
      <c r="D385" s="13" t="s">
        <v>40</v>
      </c>
      <c r="E385" s="23">
        <v>1998</v>
      </c>
      <c r="F385" s="23">
        <v>2009</v>
      </c>
      <c r="G385" s="13" t="s">
        <v>77</v>
      </c>
      <c r="H385" s="13"/>
      <c r="I385" s="13" t="s">
        <v>40</v>
      </c>
      <c r="J385" s="13" t="s">
        <v>40</v>
      </c>
      <c r="K385" s="13"/>
      <c r="L385" s="15">
        <v>100</v>
      </c>
      <c r="M385" s="16" t="s">
        <v>41</v>
      </c>
      <c r="N385" s="13" t="s">
        <v>99</v>
      </c>
      <c r="O385" s="14"/>
      <c r="P385" s="12">
        <f>IF(Q385="", 0, 1)</f>
        <v>0</v>
      </c>
      <c r="Q385" s="12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2">
        <f>IF(AC385="", 0, 1)</f>
        <v>1</v>
      </c>
      <c r="AC385" s="13">
        <v>8639</v>
      </c>
      <c r="AD385" s="12"/>
      <c r="AE385" s="12"/>
      <c r="AF385" s="12">
        <v>14</v>
      </c>
      <c r="AG385" s="12">
        <v>9</v>
      </c>
      <c r="AH385" s="12">
        <v>31</v>
      </c>
      <c r="AI385" s="12"/>
      <c r="AJ385" s="12"/>
      <c r="AK385" s="12"/>
      <c r="AL385" s="12" t="str">
        <f>IF(AF385="", "mean", "med")</f>
        <v>med</v>
      </c>
      <c r="AM385" s="12">
        <f>IF(AF385="", AD385, AF385)</f>
        <v>14</v>
      </c>
      <c r="AN385" s="12">
        <f>IF(AO385="", 0, 1)</f>
        <v>0</v>
      </c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 t="s">
        <v>52</v>
      </c>
      <c r="BA385" s="12" t="str">
        <f>IF(AZ385="high","high","lower")</f>
        <v>high</v>
      </c>
      <c r="BB385" s="49">
        <v>0.88700000000000001</v>
      </c>
      <c r="BC385" s="12">
        <v>85.3</v>
      </c>
      <c r="BD385" s="12">
        <v>96.3</v>
      </c>
      <c r="BE385" s="12">
        <v>91.7</v>
      </c>
      <c r="BF385" s="12">
        <v>80</v>
      </c>
      <c r="BG385" s="18" t="s">
        <v>1034</v>
      </c>
      <c r="BH385" s="18" t="s">
        <v>1031</v>
      </c>
    </row>
    <row r="386" spans="1:60" ht="15.75" customHeight="1" x14ac:dyDescent="0.2">
      <c r="A386" s="11">
        <v>385</v>
      </c>
      <c r="B386" s="12">
        <v>3506</v>
      </c>
      <c r="C386" s="13" t="s">
        <v>531</v>
      </c>
      <c r="D386" s="13" t="s">
        <v>55</v>
      </c>
      <c r="E386" s="23">
        <v>1998</v>
      </c>
      <c r="F386" s="23">
        <v>2009</v>
      </c>
      <c r="G386" s="13" t="s">
        <v>77</v>
      </c>
      <c r="H386" s="13"/>
      <c r="I386" s="13" t="s">
        <v>54</v>
      </c>
      <c r="J386" s="13" t="s">
        <v>55</v>
      </c>
      <c r="K386" s="13"/>
      <c r="L386" s="19">
        <f>2693/5912*100</f>
        <v>45.551420838971588</v>
      </c>
      <c r="M386" s="16" t="s">
        <v>41</v>
      </c>
      <c r="N386" s="13" t="s">
        <v>99</v>
      </c>
      <c r="O386" s="13"/>
      <c r="P386" s="12">
        <f>IF(Q386="", 0, 1)</f>
        <v>0</v>
      </c>
      <c r="Q386" s="22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2">
        <f>IF(AC386="", 0, 1)</f>
        <v>1</v>
      </c>
      <c r="AC386" s="13">
        <v>5912</v>
      </c>
      <c r="AD386" s="12"/>
      <c r="AE386" s="12"/>
      <c r="AF386" s="12">
        <v>67</v>
      </c>
      <c r="AG386" s="12">
        <v>27</v>
      </c>
      <c r="AH386" s="12">
        <v>147</v>
      </c>
      <c r="AI386" s="12"/>
      <c r="AJ386" s="12"/>
      <c r="AK386" s="12"/>
      <c r="AL386" s="12" t="str">
        <f>IF(AF386="", "mean", "med")</f>
        <v>med</v>
      </c>
      <c r="AM386" s="12">
        <f>IF(AF386="", AD386, AF386)</f>
        <v>67</v>
      </c>
      <c r="AN386" s="12">
        <f>IF(AO386="", 0, 1)</f>
        <v>0</v>
      </c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 t="s">
        <v>52</v>
      </c>
      <c r="BA386" s="12" t="str">
        <f>IF(AZ386="high","high","lower")</f>
        <v>high</v>
      </c>
      <c r="BB386" s="49">
        <v>0.88700000000000001</v>
      </c>
      <c r="BC386" s="12">
        <v>85.3</v>
      </c>
      <c r="BD386" s="12">
        <v>96.3</v>
      </c>
      <c r="BE386" s="12">
        <v>91.7</v>
      </c>
      <c r="BF386" s="12">
        <v>80</v>
      </c>
      <c r="BG386" s="18" t="s">
        <v>1034</v>
      </c>
      <c r="BH386" s="18" t="s">
        <v>1031</v>
      </c>
    </row>
    <row r="387" spans="1:60" ht="15.75" customHeight="1" x14ac:dyDescent="0.2">
      <c r="A387" s="11">
        <v>386</v>
      </c>
      <c r="B387" s="12">
        <v>3506</v>
      </c>
      <c r="C387" s="13" t="s">
        <v>531</v>
      </c>
      <c r="D387" s="13" t="s">
        <v>58</v>
      </c>
      <c r="E387" s="23">
        <v>1998</v>
      </c>
      <c r="F387" s="23">
        <v>2009</v>
      </c>
      <c r="G387" s="13" t="s">
        <v>77</v>
      </c>
      <c r="H387" s="13"/>
      <c r="I387" s="13" t="s">
        <v>57</v>
      </c>
      <c r="J387" s="13" t="s">
        <v>58</v>
      </c>
      <c r="K387" s="13"/>
      <c r="L387" s="15">
        <f>2355/5737*100</f>
        <v>41.049328917552728</v>
      </c>
      <c r="M387" s="16" t="s">
        <v>41</v>
      </c>
      <c r="N387" s="13" t="s">
        <v>99</v>
      </c>
      <c r="O387" s="13"/>
      <c r="P387" s="12">
        <f>IF(Q387="", 0, 1)</f>
        <v>0</v>
      </c>
      <c r="Q387" s="12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2">
        <f>IF(AC387="", 0, 1)</f>
        <v>1</v>
      </c>
      <c r="AC387" s="13">
        <v>5737</v>
      </c>
      <c r="AD387" s="12"/>
      <c r="AE387" s="12"/>
      <c r="AF387" s="12">
        <v>88</v>
      </c>
      <c r="AG387" s="12">
        <v>34</v>
      </c>
      <c r="AH387" s="12">
        <v>210</v>
      </c>
      <c r="AI387" s="12"/>
      <c r="AJ387" s="12"/>
      <c r="AK387" s="12"/>
      <c r="AL387" s="12" t="str">
        <f>IF(AF387="", "mean", "med")</f>
        <v>med</v>
      </c>
      <c r="AM387" s="12">
        <f>IF(AF387="", AD387, AF387)</f>
        <v>88</v>
      </c>
      <c r="AN387" s="12">
        <f>IF(AO387="", 0, 1)</f>
        <v>0</v>
      </c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 t="s">
        <v>52</v>
      </c>
      <c r="BA387" s="12" t="str">
        <f>IF(AZ387="high","high","lower")</f>
        <v>high</v>
      </c>
      <c r="BB387" s="49">
        <v>0.88700000000000001</v>
      </c>
      <c r="BC387" s="12">
        <v>85.3</v>
      </c>
      <c r="BD387" s="12">
        <v>96.3</v>
      </c>
      <c r="BE387" s="12">
        <v>91.7</v>
      </c>
      <c r="BF387" s="12">
        <v>80</v>
      </c>
      <c r="BG387" s="18" t="s">
        <v>1034</v>
      </c>
      <c r="BH387" s="18" t="s">
        <v>1031</v>
      </c>
    </row>
    <row r="388" spans="1:60" ht="15.75" customHeight="1" x14ac:dyDescent="0.2">
      <c r="A388" s="11">
        <v>387</v>
      </c>
      <c r="B388" s="12">
        <v>3506</v>
      </c>
      <c r="C388" s="13" t="s">
        <v>531</v>
      </c>
      <c r="D388" s="13" t="s">
        <v>60</v>
      </c>
      <c r="E388" s="23">
        <v>1998</v>
      </c>
      <c r="F388" s="23">
        <v>2009</v>
      </c>
      <c r="G388" s="13" t="s">
        <v>77</v>
      </c>
      <c r="H388" s="13"/>
      <c r="I388" s="14" t="s">
        <v>59</v>
      </c>
      <c r="J388" s="13" t="s">
        <v>60</v>
      </c>
      <c r="K388" s="13"/>
      <c r="L388" s="15">
        <v>0</v>
      </c>
      <c r="M388" s="16" t="s">
        <v>41</v>
      </c>
      <c r="N388" s="13" t="s">
        <v>99</v>
      </c>
      <c r="O388" s="14"/>
      <c r="P388" s="12">
        <f>IF(Q388="", 0, 1)</f>
        <v>0</v>
      </c>
      <c r="Q388" s="12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2">
        <f>IF(AC388="", 0, 1)</f>
        <v>1</v>
      </c>
      <c r="AC388" s="13">
        <v>1763</v>
      </c>
      <c r="AD388" s="12"/>
      <c r="AE388" s="12"/>
      <c r="AF388" s="12">
        <v>71</v>
      </c>
      <c r="AG388" s="12">
        <v>35</v>
      </c>
      <c r="AH388" s="12">
        <v>145</v>
      </c>
      <c r="AI388" s="12"/>
      <c r="AJ388" s="12"/>
      <c r="AK388" s="12"/>
      <c r="AL388" s="12" t="str">
        <f>IF(AF388="", "mean", "med")</f>
        <v>med</v>
      </c>
      <c r="AM388" s="12">
        <f>IF(AF388="", AD388, AF388)</f>
        <v>71</v>
      </c>
      <c r="AN388" s="12">
        <f>IF(AO388="", 0, 1)</f>
        <v>0</v>
      </c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 t="s">
        <v>52</v>
      </c>
      <c r="BA388" s="12" t="str">
        <f>IF(AZ388="high","high","lower")</f>
        <v>high</v>
      </c>
      <c r="BB388" s="49">
        <v>0.88700000000000001</v>
      </c>
      <c r="BC388" s="12">
        <v>85.3</v>
      </c>
      <c r="BD388" s="12">
        <v>96.3</v>
      </c>
      <c r="BE388" s="12">
        <v>91.7</v>
      </c>
      <c r="BF388" s="12">
        <v>80</v>
      </c>
      <c r="BG388" s="18" t="s">
        <v>1034</v>
      </c>
      <c r="BH388" s="18" t="s">
        <v>1031</v>
      </c>
    </row>
    <row r="389" spans="1:60" ht="15.75" customHeight="1" x14ac:dyDescent="0.2">
      <c r="A389" s="11">
        <v>388</v>
      </c>
      <c r="B389" s="12">
        <v>3507</v>
      </c>
      <c r="C389" s="13" t="s">
        <v>532</v>
      </c>
      <c r="D389" s="13" t="s">
        <v>38</v>
      </c>
      <c r="E389" s="23">
        <v>1996</v>
      </c>
      <c r="F389" s="23">
        <v>2001</v>
      </c>
      <c r="G389" s="13" t="s">
        <v>125</v>
      </c>
      <c r="H389" s="13"/>
      <c r="I389" s="13" t="s">
        <v>40</v>
      </c>
      <c r="J389" s="13" t="s">
        <v>40</v>
      </c>
      <c r="K389" s="13"/>
      <c r="L389" s="15">
        <v>100</v>
      </c>
      <c r="M389" s="16">
        <v>58.3</v>
      </c>
      <c r="N389" s="13" t="s">
        <v>42</v>
      </c>
      <c r="O389" s="13" t="s">
        <v>41</v>
      </c>
      <c r="P389" s="12">
        <f>IF(Q389="", 0, 1)</f>
        <v>1</v>
      </c>
      <c r="Q389" s="22">
        <v>411</v>
      </c>
      <c r="R389" s="17"/>
      <c r="S389" s="17"/>
      <c r="T389" s="17">
        <v>36</v>
      </c>
      <c r="U389" s="17">
        <v>8</v>
      </c>
      <c r="V389" s="17">
        <v>48</v>
      </c>
      <c r="W389" s="17"/>
      <c r="X389" s="17"/>
      <c r="Y389" s="17"/>
      <c r="Z389" s="17" t="str">
        <f>IF(T389="", "mean", "med")</f>
        <v>med</v>
      </c>
      <c r="AA389" s="17">
        <f>IF(T389="", R389, T389)</f>
        <v>36</v>
      </c>
      <c r="AB389" s="12">
        <f>IF(AC389="", 0, 1)</f>
        <v>0</v>
      </c>
      <c r="AC389" s="13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>
        <f>IF(AO389="", 0, 1)</f>
        <v>0</v>
      </c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 t="s">
        <v>52</v>
      </c>
      <c r="BA389" s="12" t="str">
        <f>IF(AZ389="high","high","lower")</f>
        <v>high</v>
      </c>
      <c r="BB389" s="49">
        <v>0.82399999999999995</v>
      </c>
      <c r="BC389" s="12">
        <v>84</v>
      </c>
      <c r="BD389" s="12">
        <v>89.7</v>
      </c>
      <c r="BE389" s="12">
        <v>70.8</v>
      </c>
      <c r="BF389" s="12">
        <v>89.2</v>
      </c>
      <c r="BG389" s="18" t="s">
        <v>1030</v>
      </c>
      <c r="BH389" s="18" t="s">
        <v>1031</v>
      </c>
    </row>
    <row r="390" spans="1:60" ht="15.75" customHeight="1" x14ac:dyDescent="0.2">
      <c r="A390" s="11">
        <v>389</v>
      </c>
      <c r="B390" s="12">
        <v>3515</v>
      </c>
      <c r="C390" s="13" t="s">
        <v>533</v>
      </c>
      <c r="D390" s="13" t="s">
        <v>38</v>
      </c>
      <c r="E390" s="23">
        <v>2004</v>
      </c>
      <c r="F390" s="23">
        <v>2006</v>
      </c>
      <c r="G390" s="13" t="s">
        <v>249</v>
      </c>
      <c r="H390" s="13"/>
      <c r="I390" s="13" t="s">
        <v>70</v>
      </c>
      <c r="J390" s="13" t="s">
        <v>71</v>
      </c>
      <c r="K390" s="13" t="s">
        <v>917</v>
      </c>
      <c r="L390" s="15">
        <v>44.1</v>
      </c>
      <c r="M390" s="16">
        <v>70.8</v>
      </c>
      <c r="N390" s="13" t="s">
        <v>42</v>
      </c>
      <c r="O390" s="13"/>
      <c r="P390" s="12">
        <f>IF(Q390="", 0, 1)</f>
        <v>0</v>
      </c>
      <c r="Q390" s="22"/>
      <c r="R390" s="21"/>
      <c r="S390" s="21"/>
      <c r="T390" s="17"/>
      <c r="U390" s="17"/>
      <c r="V390" s="17"/>
      <c r="W390" s="17"/>
      <c r="X390" s="17"/>
      <c r="Y390" s="17"/>
      <c r="Z390" s="17"/>
      <c r="AA390" s="17"/>
      <c r="AB390" s="12">
        <f>IF(AC390="", 0, 1)</f>
        <v>0</v>
      </c>
      <c r="AC390" s="13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>
        <f>IF(AO390="", 0, 1)</f>
        <v>1</v>
      </c>
      <c r="AO390" s="12">
        <v>308</v>
      </c>
      <c r="AP390" s="12">
        <f>11.5*30</f>
        <v>345</v>
      </c>
      <c r="AQ390" s="12">
        <f>39.5*30</f>
        <v>1185</v>
      </c>
      <c r="AR390" s="12">
        <f>2*30</f>
        <v>60</v>
      </c>
      <c r="AS390" s="12">
        <v>15</v>
      </c>
      <c r="AT390" s="12">
        <f>9*30</f>
        <v>270</v>
      </c>
      <c r="AU390" s="12"/>
      <c r="AV390" s="12"/>
      <c r="AW390" s="12"/>
      <c r="AX390" s="12" t="str">
        <f>IF(AR390="", "mean", "med")</f>
        <v>med</v>
      </c>
      <c r="AY390" s="12">
        <f>IF(AR390="", AP390, AR390)</f>
        <v>60</v>
      </c>
      <c r="AZ390" s="12" t="s">
        <v>52</v>
      </c>
      <c r="BA390" s="12" t="str">
        <f>IF(AZ390="high","high","lower")</f>
        <v>high</v>
      </c>
      <c r="BB390" s="49">
        <v>0.86499999999999999</v>
      </c>
      <c r="BC390" s="12">
        <v>79.900000000000006</v>
      </c>
      <c r="BD390" s="12">
        <v>85.9</v>
      </c>
      <c r="BE390" s="12">
        <v>70.8</v>
      </c>
      <c r="BF390" s="12">
        <v>84.7</v>
      </c>
      <c r="BG390" s="18" t="s">
        <v>1030</v>
      </c>
      <c r="BH390" s="18" t="s">
        <v>1031</v>
      </c>
    </row>
    <row r="391" spans="1:60" ht="15.75" customHeight="1" x14ac:dyDescent="0.2">
      <c r="A391" s="11">
        <v>390</v>
      </c>
      <c r="B391" s="12">
        <v>3535</v>
      </c>
      <c r="C391" s="13" t="s">
        <v>534</v>
      </c>
      <c r="D391" s="14" t="s">
        <v>206</v>
      </c>
      <c r="E391" s="23">
        <v>2006</v>
      </c>
      <c r="F391" s="23">
        <v>2007</v>
      </c>
      <c r="G391" s="13" t="s">
        <v>205</v>
      </c>
      <c r="H391" s="13"/>
      <c r="I391" s="31" t="s">
        <v>104</v>
      </c>
      <c r="J391" s="13" t="s">
        <v>206</v>
      </c>
      <c r="K391" s="13"/>
      <c r="L391" s="19">
        <v>100</v>
      </c>
      <c r="M391" s="16" t="s">
        <v>41</v>
      </c>
      <c r="N391" s="13" t="s">
        <v>50</v>
      </c>
      <c r="O391" s="13"/>
      <c r="P391" s="12">
        <f>IF(Q391="", 0, 1)</f>
        <v>0</v>
      </c>
      <c r="Q391" s="22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2">
        <f>IF(AC391="", 0, 1)</f>
        <v>0</v>
      </c>
      <c r="AC391" s="13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>
        <f>IF(AO391="", 0, 1)</f>
        <v>1</v>
      </c>
      <c r="AO391" s="12">
        <v>164</v>
      </c>
      <c r="AP391" s="12"/>
      <c r="AQ391" s="12"/>
      <c r="AR391" s="12">
        <v>9</v>
      </c>
      <c r="AS391" s="12">
        <v>0</v>
      </c>
      <c r="AT391" s="12">
        <v>29</v>
      </c>
      <c r="AU391" s="12"/>
      <c r="AV391" s="12"/>
      <c r="AW391" s="12"/>
      <c r="AX391" s="12" t="str">
        <f>IF(AR391="", "mean", "med")</f>
        <v>med</v>
      </c>
      <c r="AY391" s="12">
        <f>IF(AR391="", AP391, AR391)</f>
        <v>9</v>
      </c>
      <c r="AZ391" s="49" t="s">
        <v>52</v>
      </c>
      <c r="BA391" s="49" t="str">
        <f>IF(AZ391="high","high","lower")</f>
        <v>high</v>
      </c>
      <c r="BB391" s="49">
        <v>0.91200000000000003</v>
      </c>
      <c r="BC391" s="49"/>
      <c r="BD391" s="49"/>
      <c r="BE391" s="49"/>
      <c r="BF391" s="49"/>
      <c r="BG391" s="18" t="s">
        <v>1030</v>
      </c>
      <c r="BH391" s="18" t="s">
        <v>1031</v>
      </c>
    </row>
    <row r="392" spans="1:60" ht="15.75" customHeight="1" x14ac:dyDescent="0.2">
      <c r="A392" s="11">
        <v>391</v>
      </c>
      <c r="B392" s="12">
        <v>3535</v>
      </c>
      <c r="C392" s="13" t="s">
        <v>534</v>
      </c>
      <c r="D392" s="13" t="s">
        <v>298</v>
      </c>
      <c r="E392" s="23">
        <v>2006</v>
      </c>
      <c r="F392" s="23">
        <v>2007</v>
      </c>
      <c r="G392" s="13" t="s">
        <v>205</v>
      </c>
      <c r="H392" s="13"/>
      <c r="I392" s="31" t="s">
        <v>104</v>
      </c>
      <c r="J392" s="13" t="s">
        <v>298</v>
      </c>
      <c r="K392" s="13"/>
      <c r="L392" s="19">
        <v>100</v>
      </c>
      <c r="M392" s="16" t="s">
        <v>41</v>
      </c>
      <c r="N392" s="13" t="s">
        <v>50</v>
      </c>
      <c r="O392" s="14"/>
      <c r="P392" s="12">
        <f>IF(Q392="", 0, 1)</f>
        <v>0</v>
      </c>
      <c r="Q392" s="22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2">
        <f>IF(AC392="", 0, 1)</f>
        <v>0</v>
      </c>
      <c r="AC392" s="13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>
        <f>IF(AO392="", 0, 1)</f>
        <v>1</v>
      </c>
      <c r="AO392" s="12">
        <v>143</v>
      </c>
      <c r="AP392" s="12"/>
      <c r="AQ392" s="12"/>
      <c r="AR392" s="12">
        <v>10</v>
      </c>
      <c r="AS392" s="12">
        <v>1</v>
      </c>
      <c r="AT392" s="12">
        <v>45</v>
      </c>
      <c r="AU392" s="12"/>
      <c r="AV392" s="12"/>
      <c r="AW392" s="12"/>
      <c r="AX392" s="12" t="str">
        <f>IF(AR392="", "mean", "med")</f>
        <v>med</v>
      </c>
      <c r="AY392" s="12">
        <f>IF(AR392="", AP392, AR392)</f>
        <v>10</v>
      </c>
      <c r="AZ392" s="49" t="s">
        <v>52</v>
      </c>
      <c r="BA392" s="49" t="str">
        <f>IF(AZ392="high","high","lower")</f>
        <v>high</v>
      </c>
      <c r="BB392" s="49">
        <v>0.91200000000000003</v>
      </c>
      <c r="BC392" s="49"/>
      <c r="BD392" s="49"/>
      <c r="BE392" s="49"/>
      <c r="BF392" s="49"/>
      <c r="BG392" s="18" t="s">
        <v>1030</v>
      </c>
      <c r="BH392" s="18" t="s">
        <v>1031</v>
      </c>
    </row>
    <row r="393" spans="1:60" ht="15.75" customHeight="1" x14ac:dyDescent="0.2">
      <c r="A393" s="11">
        <v>392</v>
      </c>
      <c r="B393" s="12">
        <v>3535</v>
      </c>
      <c r="C393" s="13" t="s">
        <v>534</v>
      </c>
      <c r="D393" s="14" t="s">
        <v>105</v>
      </c>
      <c r="E393" s="23">
        <v>2006</v>
      </c>
      <c r="F393" s="23">
        <v>2007</v>
      </c>
      <c r="G393" s="13" t="s">
        <v>205</v>
      </c>
      <c r="H393" s="13"/>
      <c r="I393" s="31" t="s">
        <v>104</v>
      </c>
      <c r="J393" s="13" t="s">
        <v>105</v>
      </c>
      <c r="K393" s="13"/>
      <c r="L393" s="19">
        <v>100</v>
      </c>
      <c r="M393" s="16" t="s">
        <v>41</v>
      </c>
      <c r="N393" s="13" t="s">
        <v>50</v>
      </c>
      <c r="O393" s="14"/>
      <c r="P393" s="12">
        <f>IF(Q393="", 0, 1)</f>
        <v>0</v>
      </c>
      <c r="Q393" s="22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2">
        <f>IF(AC393="", 0, 1)</f>
        <v>0</v>
      </c>
      <c r="AC393" s="14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>
        <f>IF(AO393="", 0, 1)</f>
        <v>1</v>
      </c>
      <c r="AO393" s="12">
        <v>89</v>
      </c>
      <c r="AP393" s="12"/>
      <c r="AQ393" s="12"/>
      <c r="AR393" s="12">
        <v>27</v>
      </c>
      <c r="AS393" s="12">
        <v>3</v>
      </c>
      <c r="AT393" s="12">
        <v>69</v>
      </c>
      <c r="AU393" s="12"/>
      <c r="AV393" s="12"/>
      <c r="AW393" s="12"/>
      <c r="AX393" s="12" t="str">
        <f>IF(AR393="", "mean", "med")</f>
        <v>med</v>
      </c>
      <c r="AY393" s="12">
        <f>IF(AR393="", AP393, AR393)</f>
        <v>27</v>
      </c>
      <c r="AZ393" s="49" t="s">
        <v>52</v>
      </c>
      <c r="BA393" s="49" t="str">
        <f>IF(AZ393="high","high","lower")</f>
        <v>high</v>
      </c>
      <c r="BB393" s="49">
        <v>0.91200000000000003</v>
      </c>
      <c r="BC393" s="49"/>
      <c r="BD393" s="49"/>
      <c r="BE393" s="49"/>
      <c r="BF393" s="49"/>
      <c r="BG393" s="18" t="s">
        <v>1030</v>
      </c>
      <c r="BH393" s="18" t="s">
        <v>1031</v>
      </c>
    </row>
    <row r="394" spans="1:60" ht="15.75" customHeight="1" x14ac:dyDescent="0.2">
      <c r="A394" s="11">
        <v>393</v>
      </c>
      <c r="B394" s="12">
        <v>3549</v>
      </c>
      <c r="C394" s="13" t="s">
        <v>535</v>
      </c>
      <c r="D394" s="14" t="s">
        <v>38</v>
      </c>
      <c r="E394" s="23">
        <v>2012</v>
      </c>
      <c r="F394" s="23">
        <v>2012</v>
      </c>
      <c r="G394" s="13" t="s">
        <v>393</v>
      </c>
      <c r="H394" s="13"/>
      <c r="I394" s="13" t="s">
        <v>40</v>
      </c>
      <c r="J394" s="13" t="s">
        <v>40</v>
      </c>
      <c r="K394" s="14"/>
      <c r="L394" s="19">
        <v>100</v>
      </c>
      <c r="M394" s="20">
        <v>47.5</v>
      </c>
      <c r="N394" s="13" t="s">
        <v>42</v>
      </c>
      <c r="O394" s="14"/>
      <c r="P394" s="12">
        <f>IF(Q394="", 0, 1)</f>
        <v>0</v>
      </c>
      <c r="Q394" s="22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2">
        <f>IF(AC394="", 0, 1)</f>
        <v>0</v>
      </c>
      <c r="AC394" s="14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>
        <f>IF(AO394="", 0, 1)</f>
        <v>1</v>
      </c>
      <c r="AO394" s="22">
        <v>100</v>
      </c>
      <c r="AP394" s="12">
        <f>5.13*30</f>
        <v>153.9</v>
      </c>
      <c r="AQ394" s="12">
        <f>4.8*30</f>
        <v>144</v>
      </c>
      <c r="AR394" s="22"/>
      <c r="AS394" s="12"/>
      <c r="AT394" s="12"/>
      <c r="AU394" s="12"/>
      <c r="AV394" s="12">
        <v>30</v>
      </c>
      <c r="AW394" s="12">
        <f>36*30</f>
        <v>1080</v>
      </c>
      <c r="AX394" s="12" t="str">
        <f>IF(AR394="", "mean", "med")</f>
        <v>mean</v>
      </c>
      <c r="AY394" s="12">
        <f>IF(AR394="", AP394, AR394)</f>
        <v>153.9</v>
      </c>
      <c r="AZ394" s="49" t="s">
        <v>46</v>
      </c>
      <c r="BA394" s="49" t="str">
        <f>IF(AZ394="high","high","lower")</f>
        <v>lower</v>
      </c>
      <c r="BB394" s="49">
        <v>0.51900000000000002</v>
      </c>
      <c r="BC394" s="49"/>
      <c r="BD394" s="49"/>
      <c r="BE394" s="49"/>
      <c r="BF394" s="49"/>
      <c r="BG394" s="18" t="s">
        <v>1032</v>
      </c>
      <c r="BH394" s="18" t="s">
        <v>1033</v>
      </c>
    </row>
    <row r="395" spans="1:60" ht="15.75" customHeight="1" x14ac:dyDescent="0.2">
      <c r="A395" s="11">
        <v>394</v>
      </c>
      <c r="B395" s="12">
        <v>3553</v>
      </c>
      <c r="C395" s="13" t="s">
        <v>536</v>
      </c>
      <c r="D395" s="14" t="s">
        <v>537</v>
      </c>
      <c r="E395" s="23">
        <v>2012</v>
      </c>
      <c r="F395" s="23">
        <v>2015</v>
      </c>
      <c r="G395" s="13" t="s">
        <v>77</v>
      </c>
      <c r="H395" s="13"/>
      <c r="I395" s="13" t="s">
        <v>57</v>
      </c>
      <c r="J395" s="14" t="s">
        <v>58</v>
      </c>
      <c r="K395" s="14"/>
      <c r="L395" s="19">
        <v>47</v>
      </c>
      <c r="M395" s="20">
        <v>69</v>
      </c>
      <c r="N395" s="13" t="s">
        <v>50</v>
      </c>
      <c r="O395" s="13" t="s">
        <v>538</v>
      </c>
      <c r="P395" s="12">
        <f>IF(Q395="", 0, 1)</f>
        <v>1</v>
      </c>
      <c r="Q395" s="12">
        <v>200</v>
      </c>
      <c r="R395" s="17"/>
      <c r="S395" s="17"/>
      <c r="T395" s="17">
        <v>32</v>
      </c>
      <c r="U395" s="17"/>
      <c r="V395" s="17">
        <v>48</v>
      </c>
      <c r="W395" s="17"/>
      <c r="X395" s="17"/>
      <c r="Y395" s="17"/>
      <c r="Z395" s="17" t="str">
        <f>IF(T395="", "mean", "med")</f>
        <v>med</v>
      </c>
      <c r="AA395" s="17">
        <f>IF(T395="", R395, T395)</f>
        <v>32</v>
      </c>
      <c r="AB395" s="12">
        <f>IF(AC395="", 0, 1)</f>
        <v>1</v>
      </c>
      <c r="AC395" s="13">
        <v>170</v>
      </c>
      <c r="AD395" s="12"/>
      <c r="AE395" s="12"/>
      <c r="AF395" s="12">
        <v>65</v>
      </c>
      <c r="AG395" s="12"/>
      <c r="AH395" s="12">
        <v>122</v>
      </c>
      <c r="AI395" s="12"/>
      <c r="AJ395" s="12"/>
      <c r="AK395" s="12"/>
      <c r="AL395" s="12" t="str">
        <f>IF(AF395="", "mean", "med")</f>
        <v>med</v>
      </c>
      <c r="AM395" s="12">
        <f>IF(AF395="", AD395, AF395)</f>
        <v>65</v>
      </c>
      <c r="AN395" s="12">
        <f>IF(AO395="", 0, 1)</f>
        <v>1</v>
      </c>
      <c r="AO395" s="22">
        <v>179</v>
      </c>
      <c r="AP395" s="12"/>
      <c r="AQ395" s="12"/>
      <c r="AR395" s="22">
        <v>18</v>
      </c>
      <c r="AS395" s="12"/>
      <c r="AT395" s="12">
        <v>60</v>
      </c>
      <c r="AU395" s="12"/>
      <c r="AV395" s="12"/>
      <c r="AW395" s="12"/>
      <c r="AX395" s="12" t="str">
        <f>IF(AR395="", "mean", "med")</f>
        <v>med</v>
      </c>
      <c r="AY395" s="12">
        <f>IF(AR395="", AP395, AR395)</f>
        <v>18</v>
      </c>
      <c r="AZ395" s="12" t="s">
        <v>52</v>
      </c>
      <c r="BA395" s="12" t="str">
        <f>IF(AZ395="high","high","lower")</f>
        <v>high</v>
      </c>
      <c r="BB395" s="49">
        <v>0.91800000000000004</v>
      </c>
      <c r="BC395" s="12">
        <v>85.3</v>
      </c>
      <c r="BD395" s="12">
        <v>96.3</v>
      </c>
      <c r="BE395" s="12">
        <v>91.7</v>
      </c>
      <c r="BF395" s="12">
        <v>80</v>
      </c>
      <c r="BG395" s="18" t="s">
        <v>1034</v>
      </c>
      <c r="BH395" s="18" t="s">
        <v>1031</v>
      </c>
    </row>
    <row r="396" spans="1:60" ht="15.75" customHeight="1" x14ac:dyDescent="0.2">
      <c r="A396" s="11">
        <v>395</v>
      </c>
      <c r="B396" s="12">
        <v>3553</v>
      </c>
      <c r="C396" s="13" t="s">
        <v>536</v>
      </c>
      <c r="D396" s="14" t="s">
        <v>539</v>
      </c>
      <c r="E396" s="23">
        <v>2012</v>
      </c>
      <c r="F396" s="23">
        <v>2015</v>
      </c>
      <c r="G396" s="13" t="s">
        <v>134</v>
      </c>
      <c r="H396" s="13"/>
      <c r="I396" s="13" t="s">
        <v>57</v>
      </c>
      <c r="J396" s="13" t="s">
        <v>58</v>
      </c>
      <c r="K396" s="14"/>
      <c r="L396" s="19">
        <v>50</v>
      </c>
      <c r="M396" s="20">
        <v>70</v>
      </c>
      <c r="N396" s="13" t="s">
        <v>50</v>
      </c>
      <c r="O396" s="13" t="s">
        <v>538</v>
      </c>
      <c r="P396" s="12">
        <f>IF(Q396="", 0, 1)</f>
        <v>1</v>
      </c>
      <c r="Q396" s="12">
        <v>182</v>
      </c>
      <c r="R396" s="17"/>
      <c r="S396" s="17"/>
      <c r="T396" s="17">
        <v>19</v>
      </c>
      <c r="U396" s="17"/>
      <c r="V396" s="17">
        <v>56</v>
      </c>
      <c r="W396" s="21"/>
      <c r="X396" s="17"/>
      <c r="Y396" s="17"/>
      <c r="Z396" s="17" t="str">
        <f>IF(T396="", "mean", "med")</f>
        <v>med</v>
      </c>
      <c r="AA396" s="17">
        <f>IF(T396="", R396, T396)</f>
        <v>19</v>
      </c>
      <c r="AB396" s="12">
        <f>IF(AC396="", 0, 1)</f>
        <v>1</v>
      </c>
      <c r="AC396" s="13">
        <v>138</v>
      </c>
      <c r="AD396" s="12"/>
      <c r="AE396" s="12"/>
      <c r="AF396" s="12">
        <v>87</v>
      </c>
      <c r="AG396" s="12"/>
      <c r="AH396" s="12">
        <v>147</v>
      </c>
      <c r="AI396" s="12"/>
      <c r="AJ396" s="12"/>
      <c r="AK396" s="12"/>
      <c r="AL396" s="12" t="str">
        <f>IF(AF396="", "mean", "med")</f>
        <v>med</v>
      </c>
      <c r="AM396" s="12">
        <f>IF(AF396="", AD396, AF396)</f>
        <v>87</v>
      </c>
      <c r="AN396" s="12">
        <f>IF(AO396="", 0, 1)</f>
        <v>1</v>
      </c>
      <c r="AO396" s="22">
        <v>133</v>
      </c>
      <c r="AP396" s="12"/>
      <c r="AQ396" s="12"/>
      <c r="AR396" s="22">
        <v>25</v>
      </c>
      <c r="AS396" s="12"/>
      <c r="AT396" s="12">
        <v>67</v>
      </c>
      <c r="AU396" s="12"/>
      <c r="AV396" s="12"/>
      <c r="AW396" s="12"/>
      <c r="AX396" s="12" t="str">
        <f>IF(AR396="", "mean", "med")</f>
        <v>med</v>
      </c>
      <c r="AY396" s="12">
        <f>IF(AR396="", AP396, AR396)</f>
        <v>25</v>
      </c>
      <c r="AZ396" s="12" t="s">
        <v>52</v>
      </c>
      <c r="BA396" s="12" t="str">
        <f>IF(AZ396="high","high","lower")</f>
        <v>high</v>
      </c>
      <c r="BB396" s="49">
        <v>0.91500000000000004</v>
      </c>
      <c r="BC396" s="12">
        <v>84.8</v>
      </c>
      <c r="BD396" s="12">
        <v>94</v>
      </c>
      <c r="BE396" s="12">
        <v>100</v>
      </c>
      <c r="BF396" s="12">
        <v>82.2</v>
      </c>
      <c r="BG396" s="18" t="s">
        <v>1034</v>
      </c>
      <c r="BH396" s="18" t="s">
        <v>1031</v>
      </c>
    </row>
    <row r="397" spans="1:60" ht="15.75" customHeight="1" x14ac:dyDescent="0.2">
      <c r="A397" s="11">
        <v>396</v>
      </c>
      <c r="B397" s="12">
        <v>3553</v>
      </c>
      <c r="C397" s="13" t="s">
        <v>536</v>
      </c>
      <c r="D397" s="14" t="s">
        <v>540</v>
      </c>
      <c r="E397" s="23">
        <v>2012</v>
      </c>
      <c r="F397" s="23">
        <v>2015</v>
      </c>
      <c r="G397" s="13" t="s">
        <v>77</v>
      </c>
      <c r="H397" s="13"/>
      <c r="I397" s="13" t="s">
        <v>57</v>
      </c>
      <c r="J397" s="13" t="s">
        <v>58</v>
      </c>
      <c r="K397" s="14"/>
      <c r="L397" s="15">
        <v>49</v>
      </c>
      <c r="M397" s="16">
        <v>70</v>
      </c>
      <c r="N397" s="13" t="s">
        <v>50</v>
      </c>
      <c r="O397" s="13" t="s">
        <v>538</v>
      </c>
      <c r="P397" s="12">
        <f>IF(Q397="", 0, 1)</f>
        <v>1</v>
      </c>
      <c r="Q397" s="12">
        <v>187</v>
      </c>
      <c r="R397" s="17"/>
      <c r="S397" s="17"/>
      <c r="T397" s="17">
        <v>42</v>
      </c>
      <c r="U397" s="17"/>
      <c r="V397" s="17">
        <v>62</v>
      </c>
      <c r="W397" s="17"/>
      <c r="X397" s="17"/>
      <c r="Y397" s="17"/>
      <c r="Z397" s="17" t="str">
        <f>IF(T397="", "mean", "med")</f>
        <v>med</v>
      </c>
      <c r="AA397" s="17">
        <f>IF(T397="", R397, T397)</f>
        <v>42</v>
      </c>
      <c r="AB397" s="12">
        <f>IF(AC397="", 0, 1)</f>
        <v>1</v>
      </c>
      <c r="AC397" s="13">
        <v>173</v>
      </c>
      <c r="AD397" s="12"/>
      <c r="AE397" s="12"/>
      <c r="AF397" s="12">
        <v>42</v>
      </c>
      <c r="AG397" s="12"/>
      <c r="AH397" s="12">
        <v>106</v>
      </c>
      <c r="AI397" s="12"/>
      <c r="AJ397" s="12"/>
      <c r="AK397" s="12"/>
      <c r="AL397" s="12" t="str">
        <f>IF(AF397="", "mean", "med")</f>
        <v>med</v>
      </c>
      <c r="AM397" s="12">
        <f>IF(AF397="", AD397, AF397)</f>
        <v>42</v>
      </c>
      <c r="AN397" s="12">
        <f>IF(AO397="", 0, 1)</f>
        <v>1</v>
      </c>
      <c r="AO397" s="12">
        <v>169</v>
      </c>
      <c r="AP397" s="12"/>
      <c r="AQ397" s="12"/>
      <c r="AR397" s="12">
        <v>21</v>
      </c>
      <c r="AS397" s="12"/>
      <c r="AT397" s="12">
        <v>60</v>
      </c>
      <c r="AU397" s="12"/>
      <c r="AV397" s="12"/>
      <c r="AW397" s="12"/>
      <c r="AX397" s="12" t="str">
        <f>IF(AR397="", "mean", "med")</f>
        <v>med</v>
      </c>
      <c r="AY397" s="12">
        <f>IF(AR397="", AP397, AR397)</f>
        <v>21</v>
      </c>
      <c r="AZ397" s="12" t="s">
        <v>52</v>
      </c>
      <c r="BA397" s="12" t="str">
        <f>IF(AZ397="high","high","lower")</f>
        <v>high</v>
      </c>
      <c r="BB397" s="49">
        <v>0.91800000000000004</v>
      </c>
      <c r="BC397" s="12">
        <v>85.3</v>
      </c>
      <c r="BD397" s="12">
        <v>96.3</v>
      </c>
      <c r="BE397" s="12">
        <v>91.7</v>
      </c>
      <c r="BF397" s="12">
        <v>80</v>
      </c>
      <c r="BG397" s="18" t="s">
        <v>1034</v>
      </c>
      <c r="BH397" s="18" t="s">
        <v>1031</v>
      </c>
    </row>
    <row r="398" spans="1:60" ht="15.75" customHeight="1" x14ac:dyDescent="0.2">
      <c r="A398" s="11">
        <v>397</v>
      </c>
      <c r="B398" s="12">
        <v>3553</v>
      </c>
      <c r="C398" s="13" t="s">
        <v>536</v>
      </c>
      <c r="D398" s="13" t="s">
        <v>370</v>
      </c>
      <c r="E398" s="23">
        <v>2012</v>
      </c>
      <c r="F398" s="23">
        <v>2015</v>
      </c>
      <c r="G398" s="13" t="s">
        <v>370</v>
      </c>
      <c r="H398" s="13"/>
      <c r="I398" s="13" t="s">
        <v>57</v>
      </c>
      <c r="J398" s="13" t="s">
        <v>58</v>
      </c>
      <c r="K398" s="13"/>
      <c r="L398" s="15">
        <v>47</v>
      </c>
      <c r="M398" s="20">
        <v>70</v>
      </c>
      <c r="N398" s="13" t="s">
        <v>50</v>
      </c>
      <c r="O398" s="13" t="s">
        <v>538</v>
      </c>
      <c r="P398" s="12">
        <f>IF(Q398="", 0, 1)</f>
        <v>1</v>
      </c>
      <c r="Q398" s="12">
        <v>190</v>
      </c>
      <c r="R398" s="17"/>
      <c r="S398" s="17"/>
      <c r="T398" s="17">
        <v>34</v>
      </c>
      <c r="U398" s="17"/>
      <c r="V398" s="17">
        <v>59</v>
      </c>
      <c r="W398" s="17"/>
      <c r="X398" s="17"/>
      <c r="Y398" s="17"/>
      <c r="Z398" s="17" t="str">
        <f>IF(T398="", "mean", "med")</f>
        <v>med</v>
      </c>
      <c r="AA398" s="17">
        <f>IF(T398="", R398, T398)</f>
        <v>34</v>
      </c>
      <c r="AB398" s="12">
        <f>IF(AC398="", 0, 1)</f>
        <v>1</v>
      </c>
      <c r="AC398" s="13">
        <v>165</v>
      </c>
      <c r="AD398" s="12"/>
      <c r="AE398" s="12"/>
      <c r="AF398" s="12">
        <v>28</v>
      </c>
      <c r="AG398" s="12"/>
      <c r="AH398" s="12">
        <v>83</v>
      </c>
      <c r="AI398" s="12"/>
      <c r="AJ398" s="12"/>
      <c r="AK398" s="12"/>
      <c r="AL398" s="12" t="str">
        <f>IF(AF398="", "mean", "med")</f>
        <v>med</v>
      </c>
      <c r="AM398" s="12">
        <f>IF(AF398="", AD398, AF398)</f>
        <v>28</v>
      </c>
      <c r="AN398" s="12">
        <f>IF(AO398="", 0, 1)</f>
        <v>1</v>
      </c>
      <c r="AO398" s="12">
        <v>172</v>
      </c>
      <c r="AP398" s="12"/>
      <c r="AQ398" s="12"/>
      <c r="AR398" s="12">
        <v>21</v>
      </c>
      <c r="AS398" s="12"/>
      <c r="AT398" s="12">
        <v>61</v>
      </c>
      <c r="AU398" s="12"/>
      <c r="AV398" s="12"/>
      <c r="AW398" s="12"/>
      <c r="AX398" s="12" t="str">
        <f>IF(AR398="", "mean", "med")</f>
        <v>med</v>
      </c>
      <c r="AY398" s="12">
        <f>IF(AR398="", AP398, AR398)</f>
        <v>21</v>
      </c>
      <c r="AZ398" s="12" t="s">
        <v>52</v>
      </c>
      <c r="BA398" s="12" t="str">
        <f>IF(AZ398="high","high","lower")</f>
        <v>high</v>
      </c>
      <c r="BB398" s="49">
        <v>0.93</v>
      </c>
      <c r="BC398" s="12">
        <v>82.5</v>
      </c>
      <c r="BD398" s="12">
        <v>77.3</v>
      </c>
      <c r="BE398" s="12">
        <v>83.3</v>
      </c>
      <c r="BF398" s="12">
        <v>85.6</v>
      </c>
      <c r="BG398" s="18" t="s">
        <v>1034</v>
      </c>
      <c r="BH398" s="18" t="s">
        <v>1031</v>
      </c>
    </row>
    <row r="399" spans="1:60" ht="15.75" customHeight="1" x14ac:dyDescent="0.2">
      <c r="A399" s="11">
        <v>398</v>
      </c>
      <c r="B399" s="12">
        <v>3553</v>
      </c>
      <c r="C399" s="13" t="s">
        <v>536</v>
      </c>
      <c r="D399" s="13" t="s">
        <v>541</v>
      </c>
      <c r="E399" s="23">
        <v>2012</v>
      </c>
      <c r="F399" s="23">
        <v>2015</v>
      </c>
      <c r="G399" s="13" t="s">
        <v>134</v>
      </c>
      <c r="H399" s="13"/>
      <c r="I399" s="13" t="s">
        <v>57</v>
      </c>
      <c r="J399" s="13" t="s">
        <v>58</v>
      </c>
      <c r="K399" s="13"/>
      <c r="L399" s="15">
        <v>55</v>
      </c>
      <c r="M399" s="16">
        <v>70</v>
      </c>
      <c r="N399" s="13" t="s">
        <v>50</v>
      </c>
      <c r="O399" s="13" t="s">
        <v>538</v>
      </c>
      <c r="P399" s="12">
        <f>IF(Q399="", 0, 1)</f>
        <v>1</v>
      </c>
      <c r="Q399" s="12">
        <v>263</v>
      </c>
      <c r="R399" s="17"/>
      <c r="S399" s="17"/>
      <c r="T399" s="17">
        <v>47</v>
      </c>
      <c r="U399" s="17"/>
      <c r="V399" s="17">
        <v>70</v>
      </c>
      <c r="W399" s="17"/>
      <c r="X399" s="17"/>
      <c r="Y399" s="17"/>
      <c r="Z399" s="17" t="str">
        <f>IF(T399="", "mean", "med")</f>
        <v>med</v>
      </c>
      <c r="AA399" s="17">
        <f>IF(T399="", R399, T399)</f>
        <v>47</v>
      </c>
      <c r="AB399" s="12">
        <f>IF(AC399="", 0, 1)</f>
        <v>1</v>
      </c>
      <c r="AC399" s="13">
        <v>212</v>
      </c>
      <c r="AD399" s="12"/>
      <c r="AE399" s="12"/>
      <c r="AF399" s="12">
        <v>57</v>
      </c>
      <c r="AG399" s="12"/>
      <c r="AH399" s="12">
        <v>122</v>
      </c>
      <c r="AI399" s="12"/>
      <c r="AJ399" s="12"/>
      <c r="AK399" s="12"/>
      <c r="AL399" s="12" t="str">
        <f>IF(AF399="", "mean", "med")</f>
        <v>med</v>
      </c>
      <c r="AM399" s="12">
        <f>IF(AF399="", AD399, AF399)</f>
        <v>57</v>
      </c>
      <c r="AN399" s="12">
        <f>IF(AO399="", 0, 1)</f>
        <v>1</v>
      </c>
      <c r="AO399" s="12">
        <v>205</v>
      </c>
      <c r="AP399" s="12"/>
      <c r="AQ399" s="12"/>
      <c r="AR399" s="12">
        <v>22</v>
      </c>
      <c r="AS399" s="12"/>
      <c r="AT399" s="12">
        <v>61</v>
      </c>
      <c r="AU399" s="12"/>
      <c r="AV399" s="12"/>
      <c r="AW399" s="12"/>
      <c r="AX399" s="12" t="str">
        <f>IF(AR399="", "mean", "med")</f>
        <v>med</v>
      </c>
      <c r="AY399" s="12">
        <f>IF(AR399="", AP399, AR399)</f>
        <v>22</v>
      </c>
      <c r="AZ399" s="12" t="s">
        <v>52</v>
      </c>
      <c r="BA399" s="12" t="str">
        <f>IF(AZ399="high","high","lower")</f>
        <v>high</v>
      </c>
      <c r="BB399" s="49">
        <v>0.91500000000000004</v>
      </c>
      <c r="BC399" s="12">
        <v>84.8</v>
      </c>
      <c r="BD399" s="12">
        <v>94</v>
      </c>
      <c r="BE399" s="12">
        <v>100</v>
      </c>
      <c r="BF399" s="12">
        <v>82.2</v>
      </c>
      <c r="BG399" s="18" t="s">
        <v>1034</v>
      </c>
      <c r="BH399" s="18" t="s">
        <v>1031</v>
      </c>
    </row>
    <row r="400" spans="1:60" ht="15.75" customHeight="1" x14ac:dyDescent="0.2">
      <c r="A400" s="11">
        <v>399</v>
      </c>
      <c r="B400" s="12">
        <v>3553</v>
      </c>
      <c r="C400" s="13" t="s">
        <v>536</v>
      </c>
      <c r="D400" s="14" t="s">
        <v>205</v>
      </c>
      <c r="E400" s="23">
        <v>2012</v>
      </c>
      <c r="F400" s="23">
        <v>2015</v>
      </c>
      <c r="G400" s="13" t="s">
        <v>205</v>
      </c>
      <c r="H400" s="13"/>
      <c r="I400" s="13" t="s">
        <v>57</v>
      </c>
      <c r="J400" s="13" t="s">
        <v>58</v>
      </c>
      <c r="K400" s="13"/>
      <c r="L400" s="15">
        <v>47</v>
      </c>
      <c r="M400" s="16">
        <v>70</v>
      </c>
      <c r="N400" s="13" t="s">
        <v>50</v>
      </c>
      <c r="O400" s="13" t="s">
        <v>538</v>
      </c>
      <c r="P400" s="12">
        <f>IF(Q400="", 0, 1)</f>
        <v>1</v>
      </c>
      <c r="Q400" s="12">
        <v>279</v>
      </c>
      <c r="R400" s="17"/>
      <c r="S400" s="17"/>
      <c r="T400" s="17">
        <v>16</v>
      </c>
      <c r="U400" s="17"/>
      <c r="V400" s="17">
        <v>25</v>
      </c>
      <c r="W400" s="17"/>
      <c r="X400" s="17"/>
      <c r="Y400" s="17"/>
      <c r="Z400" s="17" t="str">
        <f>IF(T400="", "mean", "med")</f>
        <v>med</v>
      </c>
      <c r="AA400" s="17">
        <f>IF(T400="", R400, T400)</f>
        <v>16</v>
      </c>
      <c r="AB400" s="12">
        <f>IF(AC400="", 0, 1)</f>
        <v>1</v>
      </c>
      <c r="AC400" s="13">
        <v>229</v>
      </c>
      <c r="AD400" s="12"/>
      <c r="AE400" s="12"/>
      <c r="AF400" s="12">
        <v>35</v>
      </c>
      <c r="AG400" s="12"/>
      <c r="AH400" s="12">
        <v>67</v>
      </c>
      <c r="AI400" s="12"/>
      <c r="AJ400" s="12"/>
      <c r="AK400" s="12"/>
      <c r="AL400" s="12" t="str">
        <f>IF(AF400="", "mean", "med")</f>
        <v>med</v>
      </c>
      <c r="AM400" s="12">
        <f>IF(AF400="", AD400, AF400)</f>
        <v>35</v>
      </c>
      <c r="AN400" s="12">
        <f>IF(AO400="", 0, 1)</f>
        <v>1</v>
      </c>
      <c r="AO400" s="12">
        <v>233</v>
      </c>
      <c r="AP400" s="12"/>
      <c r="AQ400" s="12"/>
      <c r="AR400" s="12">
        <v>14</v>
      </c>
      <c r="AS400" s="12"/>
      <c r="AT400" s="12">
        <v>53</v>
      </c>
      <c r="AU400" s="12"/>
      <c r="AV400" s="12"/>
      <c r="AW400" s="12"/>
      <c r="AX400" s="12" t="str">
        <f>IF(AR400="", "mean", "med")</f>
        <v>med</v>
      </c>
      <c r="AY400" s="12">
        <f>IF(AR400="", AP400, AR400)</f>
        <v>14</v>
      </c>
      <c r="AZ400" s="49" t="s">
        <v>52</v>
      </c>
      <c r="BA400" s="49" t="str">
        <f>IF(AZ400="high","high","lower")</f>
        <v>high</v>
      </c>
      <c r="BB400" s="49">
        <v>0.93300000000000005</v>
      </c>
      <c r="BC400" s="49"/>
      <c r="BD400" s="49"/>
      <c r="BE400" s="49"/>
      <c r="BF400" s="49"/>
      <c r="BG400" s="18" t="s">
        <v>1034</v>
      </c>
      <c r="BH400" s="18" t="s">
        <v>1031</v>
      </c>
    </row>
    <row r="401" spans="1:60" ht="15.75" customHeight="1" x14ac:dyDescent="0.2">
      <c r="A401" s="11">
        <v>400</v>
      </c>
      <c r="B401" s="12">
        <v>3553</v>
      </c>
      <c r="C401" s="13" t="s">
        <v>536</v>
      </c>
      <c r="D401" s="14" t="s">
        <v>542</v>
      </c>
      <c r="E401" s="23">
        <v>2012</v>
      </c>
      <c r="F401" s="23">
        <v>2015</v>
      </c>
      <c r="G401" s="13" t="s">
        <v>77</v>
      </c>
      <c r="H401" s="13"/>
      <c r="I401" s="13" t="s">
        <v>57</v>
      </c>
      <c r="J401" s="13" t="s">
        <v>58</v>
      </c>
      <c r="K401" s="13"/>
      <c r="L401" s="19">
        <v>40</v>
      </c>
      <c r="M401" s="20">
        <v>71</v>
      </c>
      <c r="N401" s="13" t="s">
        <v>50</v>
      </c>
      <c r="O401" s="13" t="s">
        <v>538</v>
      </c>
      <c r="P401" s="12">
        <f>IF(Q401="", 0, 1)</f>
        <v>1</v>
      </c>
      <c r="Q401" s="12">
        <v>192</v>
      </c>
      <c r="R401" s="17"/>
      <c r="S401" s="17"/>
      <c r="T401" s="17">
        <v>43</v>
      </c>
      <c r="U401" s="17"/>
      <c r="V401" s="17">
        <v>64</v>
      </c>
      <c r="W401" s="17"/>
      <c r="X401" s="17"/>
      <c r="Y401" s="17"/>
      <c r="Z401" s="17" t="str">
        <f>IF(T401="", "mean", "med")</f>
        <v>med</v>
      </c>
      <c r="AA401" s="17">
        <f>IF(T401="", R401, T401)</f>
        <v>43</v>
      </c>
      <c r="AB401" s="12">
        <f>IF(AC401="", 0, 1)</f>
        <v>1</v>
      </c>
      <c r="AC401" s="13">
        <v>176</v>
      </c>
      <c r="AD401" s="12"/>
      <c r="AE401" s="12"/>
      <c r="AF401" s="12">
        <v>45</v>
      </c>
      <c r="AG401" s="12"/>
      <c r="AH401" s="12">
        <v>108</v>
      </c>
      <c r="AI401" s="12"/>
      <c r="AJ401" s="12"/>
      <c r="AK401" s="12"/>
      <c r="AL401" s="12" t="str">
        <f>IF(AF401="", "mean", "med")</f>
        <v>med</v>
      </c>
      <c r="AM401" s="12">
        <f>IF(AF401="", AD401, AF401)</f>
        <v>45</v>
      </c>
      <c r="AN401" s="12">
        <f>IF(AO401="", 0, 1)</f>
        <v>1</v>
      </c>
      <c r="AO401" s="12">
        <v>181</v>
      </c>
      <c r="AP401" s="12"/>
      <c r="AQ401" s="12"/>
      <c r="AR401" s="12">
        <v>21</v>
      </c>
      <c r="AS401" s="12"/>
      <c r="AT401" s="12">
        <v>61</v>
      </c>
      <c r="AU401" s="12"/>
      <c r="AV401" s="12"/>
      <c r="AW401" s="12"/>
      <c r="AX401" s="12" t="str">
        <f>IF(AR401="", "mean", "med")</f>
        <v>med</v>
      </c>
      <c r="AY401" s="12">
        <f>IF(AR401="", AP401, AR401)</f>
        <v>21</v>
      </c>
      <c r="AZ401" s="12" t="s">
        <v>52</v>
      </c>
      <c r="BA401" s="12" t="str">
        <f>IF(AZ401="high","high","lower")</f>
        <v>high</v>
      </c>
      <c r="BB401" s="49">
        <v>0.91800000000000004</v>
      </c>
      <c r="BC401" s="12">
        <v>85.3</v>
      </c>
      <c r="BD401" s="12">
        <v>96.3</v>
      </c>
      <c r="BE401" s="12">
        <v>91.7</v>
      </c>
      <c r="BF401" s="12">
        <v>80</v>
      </c>
      <c r="BG401" s="18" t="s">
        <v>1034</v>
      </c>
      <c r="BH401" s="18" t="s">
        <v>1031</v>
      </c>
    </row>
    <row r="402" spans="1:60" ht="15.75" customHeight="1" x14ac:dyDescent="0.2">
      <c r="A402" s="11">
        <v>401</v>
      </c>
      <c r="B402" s="12">
        <v>3553</v>
      </c>
      <c r="C402" s="13" t="s">
        <v>536</v>
      </c>
      <c r="D402" s="13" t="s">
        <v>543</v>
      </c>
      <c r="E402" s="23">
        <v>2012</v>
      </c>
      <c r="F402" s="23">
        <v>2015</v>
      </c>
      <c r="G402" s="13" t="s">
        <v>77</v>
      </c>
      <c r="H402" s="13"/>
      <c r="I402" s="13" t="s">
        <v>57</v>
      </c>
      <c r="J402" s="13" t="s">
        <v>58</v>
      </c>
      <c r="K402" s="13"/>
      <c r="L402" s="15">
        <v>47</v>
      </c>
      <c r="M402" s="16">
        <v>71</v>
      </c>
      <c r="N402" s="13" t="s">
        <v>50</v>
      </c>
      <c r="O402" s="13" t="s">
        <v>538</v>
      </c>
      <c r="P402" s="12">
        <f>IF(Q402="", 0, 1)</f>
        <v>1</v>
      </c>
      <c r="Q402" s="12">
        <v>238</v>
      </c>
      <c r="R402" s="17"/>
      <c r="S402" s="17"/>
      <c r="T402" s="17">
        <v>22</v>
      </c>
      <c r="U402" s="17"/>
      <c r="V402" s="17">
        <v>41</v>
      </c>
      <c r="W402" s="17"/>
      <c r="X402" s="17"/>
      <c r="Y402" s="17"/>
      <c r="Z402" s="17" t="str">
        <f>IF(T402="", "mean", "med")</f>
        <v>med</v>
      </c>
      <c r="AA402" s="17">
        <f>IF(T402="", R402, T402)</f>
        <v>22</v>
      </c>
      <c r="AB402" s="12">
        <f>IF(AC402="", 0, 1)</f>
        <v>1</v>
      </c>
      <c r="AC402" s="13">
        <v>212</v>
      </c>
      <c r="AD402" s="12"/>
      <c r="AE402" s="12"/>
      <c r="AF402" s="12">
        <v>54</v>
      </c>
      <c r="AG402" s="12"/>
      <c r="AH402" s="12">
        <v>100</v>
      </c>
      <c r="AI402" s="12"/>
      <c r="AJ402" s="12"/>
      <c r="AK402" s="12"/>
      <c r="AL402" s="12" t="str">
        <f>IF(AF402="", "mean", "med")</f>
        <v>med</v>
      </c>
      <c r="AM402" s="12">
        <f>IF(AF402="", AD402, AF402)</f>
        <v>54</v>
      </c>
      <c r="AN402" s="12">
        <f>IF(AO402="", 0, 1)</f>
        <v>1</v>
      </c>
      <c r="AO402" s="12">
        <v>213</v>
      </c>
      <c r="AP402" s="12"/>
      <c r="AQ402" s="12"/>
      <c r="AR402" s="12">
        <v>17</v>
      </c>
      <c r="AS402" s="12"/>
      <c r="AT402" s="12">
        <v>65</v>
      </c>
      <c r="AU402" s="12"/>
      <c r="AV402" s="12"/>
      <c r="AW402" s="12"/>
      <c r="AX402" s="12" t="str">
        <f>IF(AR402="", "mean", "med")</f>
        <v>med</v>
      </c>
      <c r="AY402" s="12">
        <f>IF(AR402="", AP402, AR402)</f>
        <v>17</v>
      </c>
      <c r="AZ402" s="12" t="s">
        <v>52</v>
      </c>
      <c r="BA402" s="12" t="str">
        <f>IF(AZ402="high","high","lower")</f>
        <v>high</v>
      </c>
      <c r="BB402" s="49">
        <v>0.91800000000000004</v>
      </c>
      <c r="BC402" s="12">
        <v>85.3</v>
      </c>
      <c r="BD402" s="12">
        <v>96.3</v>
      </c>
      <c r="BE402" s="12">
        <v>91.7</v>
      </c>
      <c r="BF402" s="12">
        <v>80</v>
      </c>
      <c r="BG402" s="18" t="s">
        <v>1034</v>
      </c>
      <c r="BH402" s="18" t="s">
        <v>1031</v>
      </c>
    </row>
    <row r="403" spans="1:60" ht="15.75" customHeight="1" x14ac:dyDescent="0.2">
      <c r="A403" s="11">
        <v>402</v>
      </c>
      <c r="B403" s="22">
        <v>3564</v>
      </c>
      <c r="C403" s="13" t="s">
        <v>544</v>
      </c>
      <c r="D403" s="14" t="s">
        <v>545</v>
      </c>
      <c r="E403" s="23">
        <v>2008</v>
      </c>
      <c r="F403" s="23">
        <v>2012</v>
      </c>
      <c r="G403" s="13" t="s">
        <v>49</v>
      </c>
      <c r="H403" s="13"/>
      <c r="I403" s="13" t="s">
        <v>54</v>
      </c>
      <c r="J403" s="13" t="s">
        <v>89</v>
      </c>
      <c r="K403" s="13"/>
      <c r="L403" s="15">
        <v>57.58</v>
      </c>
      <c r="M403" s="16">
        <v>59.8</v>
      </c>
      <c r="N403" s="13" t="s">
        <v>50</v>
      </c>
      <c r="O403" s="31" t="s">
        <v>546</v>
      </c>
      <c r="P403" s="12">
        <f>IF(Q403="", 0, 1)</f>
        <v>1</v>
      </c>
      <c r="Q403" s="12">
        <v>33</v>
      </c>
      <c r="R403" s="17"/>
      <c r="S403" s="17"/>
      <c r="T403" s="17">
        <v>64</v>
      </c>
      <c r="U403" s="17">
        <v>45</v>
      </c>
      <c r="V403" s="17">
        <v>112</v>
      </c>
      <c r="W403" s="17"/>
      <c r="X403" s="17"/>
      <c r="Y403" s="17"/>
      <c r="Z403" s="17" t="str">
        <f>IF(T403="", "mean", "med")</f>
        <v>med</v>
      </c>
      <c r="AA403" s="17">
        <f>IF(T403="", R403, T403)</f>
        <v>64</v>
      </c>
      <c r="AB403" s="12">
        <f>IF(AC403="", 0, 1)</f>
        <v>0</v>
      </c>
      <c r="AC403" s="13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>
        <f>IF(AO403="", 0, 1)</f>
        <v>0</v>
      </c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 t="s">
        <v>52</v>
      </c>
      <c r="BA403" s="12" t="str">
        <f>IF(AZ403="high","high","lower")</f>
        <v>high</v>
      </c>
      <c r="BB403" s="49">
        <v>0.91600000000000004</v>
      </c>
      <c r="BC403" s="12">
        <v>84</v>
      </c>
      <c r="BD403" s="12">
        <v>88</v>
      </c>
      <c r="BE403" s="12">
        <v>100</v>
      </c>
      <c r="BF403" s="12">
        <v>84.2</v>
      </c>
      <c r="BG403" s="18" t="s">
        <v>1030</v>
      </c>
      <c r="BH403" s="18" t="s">
        <v>1031</v>
      </c>
    </row>
    <row r="404" spans="1:60" ht="15.75" customHeight="1" x14ac:dyDescent="0.2">
      <c r="A404" s="11">
        <v>403</v>
      </c>
      <c r="B404" s="12">
        <v>3564</v>
      </c>
      <c r="C404" s="13" t="s">
        <v>544</v>
      </c>
      <c r="D404" s="13" t="s">
        <v>547</v>
      </c>
      <c r="E404" s="23">
        <v>2008</v>
      </c>
      <c r="F404" s="23">
        <v>2012</v>
      </c>
      <c r="G404" s="13" t="s">
        <v>49</v>
      </c>
      <c r="H404" s="13"/>
      <c r="I404" s="13" t="s">
        <v>54</v>
      </c>
      <c r="J404" s="13" t="s">
        <v>89</v>
      </c>
      <c r="K404" s="13"/>
      <c r="L404" s="15">
        <v>60.29</v>
      </c>
      <c r="M404" s="16">
        <v>59.8</v>
      </c>
      <c r="N404" s="13" t="s">
        <v>50</v>
      </c>
      <c r="O404" s="31" t="s">
        <v>546</v>
      </c>
      <c r="P404" s="12">
        <f>IF(Q404="", 0, 1)</f>
        <v>1</v>
      </c>
      <c r="Q404" s="22">
        <v>66</v>
      </c>
      <c r="R404" s="17"/>
      <c r="S404" s="17"/>
      <c r="T404" s="17">
        <v>38</v>
      </c>
      <c r="U404" s="17">
        <v>8</v>
      </c>
      <c r="V404" s="17">
        <v>84</v>
      </c>
      <c r="W404" s="17"/>
      <c r="X404" s="17"/>
      <c r="Y404" s="17"/>
      <c r="Z404" s="17" t="str">
        <f>IF(T404="", "mean", "med")</f>
        <v>med</v>
      </c>
      <c r="AA404" s="17">
        <f>IF(T404="", R404, T404)</f>
        <v>38</v>
      </c>
      <c r="AB404" s="12">
        <f>IF(AC404="", 0, 1)</f>
        <v>0</v>
      </c>
      <c r="AC404" s="13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>
        <f>IF(AO404="", 0, 1)</f>
        <v>0</v>
      </c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 t="s">
        <v>52</v>
      </c>
      <c r="BA404" s="12" t="str">
        <f>IF(AZ404="high","high","lower")</f>
        <v>high</v>
      </c>
      <c r="BB404" s="49">
        <v>0.91600000000000004</v>
      </c>
      <c r="BC404" s="12">
        <v>84</v>
      </c>
      <c r="BD404" s="12">
        <v>88</v>
      </c>
      <c r="BE404" s="12">
        <v>100</v>
      </c>
      <c r="BF404" s="12">
        <v>84.2</v>
      </c>
      <c r="BG404" s="18" t="s">
        <v>1030</v>
      </c>
      <c r="BH404" s="18" t="s">
        <v>1031</v>
      </c>
    </row>
    <row r="405" spans="1:60" ht="15.75" customHeight="1" x14ac:dyDescent="0.2">
      <c r="A405" s="11">
        <v>404</v>
      </c>
      <c r="B405" s="22">
        <v>3564</v>
      </c>
      <c r="C405" s="13" t="s">
        <v>544</v>
      </c>
      <c r="D405" s="13" t="s">
        <v>548</v>
      </c>
      <c r="E405" s="23">
        <v>2008</v>
      </c>
      <c r="F405" s="23">
        <v>2012</v>
      </c>
      <c r="G405" s="13" t="s">
        <v>49</v>
      </c>
      <c r="H405" s="13"/>
      <c r="I405" s="13" t="s">
        <v>54</v>
      </c>
      <c r="J405" s="13" t="s">
        <v>89</v>
      </c>
      <c r="K405" s="14"/>
      <c r="L405" s="15">
        <v>47</v>
      </c>
      <c r="M405" s="16">
        <v>60.1</v>
      </c>
      <c r="N405" s="13" t="s">
        <v>50</v>
      </c>
      <c r="O405" s="31" t="s">
        <v>546</v>
      </c>
      <c r="P405" s="12">
        <f>IF(Q405="", 0, 1)</f>
        <v>1</v>
      </c>
      <c r="Q405" s="12">
        <v>39</v>
      </c>
      <c r="R405" s="17"/>
      <c r="S405" s="17"/>
      <c r="T405" s="17">
        <v>16</v>
      </c>
      <c r="U405" s="17">
        <v>3</v>
      </c>
      <c r="V405" s="17">
        <v>73</v>
      </c>
      <c r="W405" s="17"/>
      <c r="X405" s="17"/>
      <c r="Y405" s="17"/>
      <c r="Z405" s="17" t="str">
        <f>IF(T405="", "mean", "med")</f>
        <v>med</v>
      </c>
      <c r="AA405" s="17">
        <f>IF(T405="", R405, T405)</f>
        <v>16</v>
      </c>
      <c r="AB405" s="12">
        <f>IF(AC405="", 0, 1)</f>
        <v>0</v>
      </c>
      <c r="AC405" s="13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>
        <f>IF(AO405="", 0, 1)</f>
        <v>0</v>
      </c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 t="s">
        <v>52</v>
      </c>
      <c r="BA405" s="12" t="str">
        <f>IF(AZ405="high","high","lower")</f>
        <v>high</v>
      </c>
      <c r="BB405" s="49">
        <v>0.91600000000000004</v>
      </c>
      <c r="BC405" s="12">
        <v>84</v>
      </c>
      <c r="BD405" s="12">
        <v>88</v>
      </c>
      <c r="BE405" s="12">
        <v>100</v>
      </c>
      <c r="BF405" s="12">
        <v>84.2</v>
      </c>
      <c r="BG405" s="18" t="s">
        <v>1030</v>
      </c>
      <c r="BH405" s="18" t="s">
        <v>1031</v>
      </c>
    </row>
    <row r="406" spans="1:60" ht="15.75" customHeight="1" x14ac:dyDescent="0.2">
      <c r="A406" s="11">
        <v>405</v>
      </c>
      <c r="B406" s="22">
        <v>3564</v>
      </c>
      <c r="C406" s="13" t="s">
        <v>544</v>
      </c>
      <c r="D406" s="13" t="s">
        <v>549</v>
      </c>
      <c r="E406" s="23">
        <v>2008</v>
      </c>
      <c r="F406" s="23">
        <v>2012</v>
      </c>
      <c r="G406" s="13" t="s">
        <v>49</v>
      </c>
      <c r="H406" s="13"/>
      <c r="I406" s="13" t="s">
        <v>54</v>
      </c>
      <c r="J406" s="13" t="s">
        <v>89</v>
      </c>
      <c r="K406" s="14"/>
      <c r="L406" s="15">
        <v>49.28</v>
      </c>
      <c r="M406" s="16">
        <v>61.6</v>
      </c>
      <c r="N406" s="13" t="s">
        <v>50</v>
      </c>
      <c r="O406" s="31" t="s">
        <v>546</v>
      </c>
      <c r="P406" s="12">
        <f>IF(Q406="", 0, 1)</f>
        <v>1</v>
      </c>
      <c r="Q406" s="12">
        <v>69</v>
      </c>
      <c r="R406" s="17"/>
      <c r="S406" s="17"/>
      <c r="T406" s="17">
        <v>32</v>
      </c>
      <c r="U406" s="17">
        <v>3</v>
      </c>
      <c r="V406" s="17">
        <v>59</v>
      </c>
      <c r="W406" s="17"/>
      <c r="X406" s="17"/>
      <c r="Y406" s="17"/>
      <c r="Z406" s="17" t="str">
        <f>IF(T406="", "mean", "med")</f>
        <v>med</v>
      </c>
      <c r="AA406" s="17">
        <f>IF(T406="", R406, T406)</f>
        <v>32</v>
      </c>
      <c r="AB406" s="12">
        <f>IF(AC406="", 0, 1)</f>
        <v>0</v>
      </c>
      <c r="AC406" s="13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>
        <f>IF(AO406="", 0, 1)</f>
        <v>0</v>
      </c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 t="s">
        <v>52</v>
      </c>
      <c r="BA406" s="12" t="str">
        <f>IF(AZ406="high","high","lower")</f>
        <v>high</v>
      </c>
      <c r="BB406" s="49">
        <v>0.91600000000000004</v>
      </c>
      <c r="BC406" s="12">
        <v>84</v>
      </c>
      <c r="BD406" s="12">
        <v>88</v>
      </c>
      <c r="BE406" s="12">
        <v>100</v>
      </c>
      <c r="BF406" s="12">
        <v>84.2</v>
      </c>
      <c r="BG406" s="18" t="s">
        <v>1030</v>
      </c>
      <c r="BH406" s="18" t="s">
        <v>1031</v>
      </c>
    </row>
    <row r="407" spans="1:60" ht="15.75" customHeight="1" x14ac:dyDescent="0.2">
      <c r="A407" s="11">
        <v>406</v>
      </c>
      <c r="B407" s="22">
        <v>3570</v>
      </c>
      <c r="C407" s="13" t="s">
        <v>550</v>
      </c>
      <c r="D407" s="13" t="s">
        <v>38</v>
      </c>
      <c r="E407" s="23">
        <v>2013</v>
      </c>
      <c r="F407" s="23">
        <v>2017</v>
      </c>
      <c r="G407" s="14" t="s">
        <v>214</v>
      </c>
      <c r="H407" s="14"/>
      <c r="I407" s="31" t="s">
        <v>104</v>
      </c>
      <c r="J407" s="14" t="s">
        <v>105</v>
      </c>
      <c r="K407" s="14"/>
      <c r="L407" s="15">
        <v>100</v>
      </c>
      <c r="M407" s="16" t="s">
        <v>41</v>
      </c>
      <c r="N407" s="13" t="s">
        <v>42</v>
      </c>
      <c r="O407" s="14" t="s">
        <v>41</v>
      </c>
      <c r="P407" s="12">
        <f>IF(Q407="", 0, 1)</f>
        <v>1</v>
      </c>
      <c r="Q407" s="12">
        <v>151</v>
      </c>
      <c r="R407" s="17">
        <v>82</v>
      </c>
      <c r="S407" s="17">
        <v>61</v>
      </c>
      <c r="T407" s="17">
        <v>67</v>
      </c>
      <c r="U407" s="17"/>
      <c r="V407" s="17"/>
      <c r="W407" s="17"/>
      <c r="X407" s="17">
        <v>0</v>
      </c>
      <c r="Y407" s="17">
        <v>401</v>
      </c>
      <c r="Z407" s="17" t="str">
        <f>IF(T407="", "mean", "med")</f>
        <v>med</v>
      </c>
      <c r="AA407" s="17">
        <f>IF(T407="", R407, T407)</f>
        <v>67</v>
      </c>
      <c r="AB407" s="12">
        <f>IF(AC407="", 0, 1)</f>
        <v>0</v>
      </c>
      <c r="AC407" s="13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>
        <f>IF(AO407="", 0, 1)</f>
        <v>1</v>
      </c>
      <c r="AO407" s="12">
        <v>172</v>
      </c>
      <c r="AP407" s="12">
        <v>6.8</v>
      </c>
      <c r="AQ407" s="12">
        <v>4.3</v>
      </c>
      <c r="AR407" s="12">
        <v>6</v>
      </c>
      <c r="AS407" s="12"/>
      <c r="AT407" s="12"/>
      <c r="AU407" s="12"/>
      <c r="AV407" s="12">
        <v>1</v>
      </c>
      <c r="AW407" s="12">
        <v>28</v>
      </c>
      <c r="AX407" s="12" t="str">
        <f>IF(AR407="", "mean", "med")</f>
        <v>med</v>
      </c>
      <c r="AY407" s="12">
        <f>IF(AR407="", AP407, AR407)</f>
        <v>6</v>
      </c>
      <c r="AZ407" s="49" t="s">
        <v>46</v>
      </c>
      <c r="BA407" s="49" t="str">
        <f>IF(AZ407="high","high","lower")</f>
        <v>lower</v>
      </c>
      <c r="BB407" s="49">
        <v>0.65900000000000003</v>
      </c>
      <c r="BC407" s="49"/>
      <c r="BD407" s="49"/>
      <c r="BE407" s="49"/>
      <c r="BF407" s="49"/>
      <c r="BG407" s="18" t="s">
        <v>1030</v>
      </c>
      <c r="BH407" s="18" t="s">
        <v>1031</v>
      </c>
    </row>
    <row r="408" spans="1:60" ht="15.75" customHeight="1" x14ac:dyDescent="0.2">
      <c r="A408" s="11">
        <v>407</v>
      </c>
      <c r="B408" s="22">
        <v>3577</v>
      </c>
      <c r="C408" s="13" t="s">
        <v>551</v>
      </c>
      <c r="D408" s="13" t="s">
        <v>38</v>
      </c>
      <c r="E408" s="23">
        <v>2013</v>
      </c>
      <c r="F408" s="23">
        <v>2013</v>
      </c>
      <c r="G408" s="13" t="s">
        <v>252</v>
      </c>
      <c r="H408" s="13"/>
      <c r="I408" s="14" t="s">
        <v>552</v>
      </c>
      <c r="J408" s="13" t="s">
        <v>40</v>
      </c>
      <c r="K408" s="14"/>
      <c r="L408" s="19">
        <v>100</v>
      </c>
      <c r="M408" s="16">
        <v>49.82</v>
      </c>
      <c r="N408" s="13" t="s">
        <v>50</v>
      </c>
      <c r="O408" s="14"/>
      <c r="P408" s="12">
        <f>IF(Q408="", 0, 1)</f>
        <v>0</v>
      </c>
      <c r="Q408" s="22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2">
        <f>IF(AC408="", 0, 1)</f>
        <v>0</v>
      </c>
      <c r="AC408" s="13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>
        <f>IF(AO408="", 0, 1)</f>
        <v>1</v>
      </c>
      <c r="AO408" s="12">
        <v>232</v>
      </c>
      <c r="AP408" s="12">
        <v>117.53</v>
      </c>
      <c r="AQ408" s="12">
        <v>238.82</v>
      </c>
      <c r="AR408" s="12">
        <v>21</v>
      </c>
      <c r="AS408" s="12"/>
      <c r="AT408" s="12"/>
      <c r="AU408" s="12"/>
      <c r="AV408" s="12"/>
      <c r="AW408" s="12"/>
      <c r="AX408" s="12" t="str">
        <f>IF(AR408="", "mean", "med")</f>
        <v>med</v>
      </c>
      <c r="AY408" s="12">
        <f>IF(AR408="", AP408, AR408)</f>
        <v>21</v>
      </c>
      <c r="AZ408" s="49" t="s">
        <v>43</v>
      </c>
      <c r="BA408" s="49" t="str">
        <f>IF(AZ408="high","high","lower")</f>
        <v>lower</v>
      </c>
      <c r="BB408" s="49">
        <v>0.77100000000000002</v>
      </c>
      <c r="BC408" s="49"/>
      <c r="BD408" s="49"/>
      <c r="BE408" s="49"/>
      <c r="BF408" s="49"/>
      <c r="BG408" s="18" t="s">
        <v>1030</v>
      </c>
      <c r="BH408" s="18" t="s">
        <v>1031</v>
      </c>
    </row>
    <row r="409" spans="1:60" ht="15.75" customHeight="1" x14ac:dyDescent="0.2">
      <c r="A409" s="11">
        <v>408</v>
      </c>
      <c r="B409" s="12">
        <v>3588</v>
      </c>
      <c r="C409" s="13" t="s">
        <v>553</v>
      </c>
      <c r="D409" s="13" t="s">
        <v>554</v>
      </c>
      <c r="E409" s="23">
        <v>2008</v>
      </c>
      <c r="F409" s="23">
        <v>2010</v>
      </c>
      <c r="G409" s="13" t="s">
        <v>49</v>
      </c>
      <c r="H409" s="13"/>
      <c r="I409" s="13" t="s">
        <v>54</v>
      </c>
      <c r="J409" s="13" t="s">
        <v>229</v>
      </c>
      <c r="K409" s="13"/>
      <c r="L409" s="19">
        <v>88</v>
      </c>
      <c r="M409" s="16">
        <v>55.7</v>
      </c>
      <c r="N409" s="13" t="s">
        <v>42</v>
      </c>
      <c r="O409" s="42" t="s">
        <v>555</v>
      </c>
      <c r="P409" s="12">
        <f>IF(Q409="", 0, 1)</f>
        <v>1</v>
      </c>
      <c r="Q409" s="12">
        <v>51</v>
      </c>
      <c r="R409" s="17"/>
      <c r="S409" s="17"/>
      <c r="T409" s="17">
        <f>5.5*30</f>
        <v>165</v>
      </c>
      <c r="U409" s="17"/>
      <c r="V409" s="17"/>
      <c r="W409" s="17"/>
      <c r="X409" s="17"/>
      <c r="Y409" s="17"/>
      <c r="Z409" s="17" t="str">
        <f>IF(T409="", "mean", "med")</f>
        <v>med</v>
      </c>
      <c r="AA409" s="17">
        <f>IF(T409="", R409, T409)</f>
        <v>165</v>
      </c>
      <c r="AB409" s="12">
        <f>IF(AC409="", 0, 1)</f>
        <v>0</v>
      </c>
      <c r="AC409" s="13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>
        <f>IF(AO409="", 0, 1)</f>
        <v>0</v>
      </c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 t="s">
        <v>52</v>
      </c>
      <c r="BA409" s="12" t="str">
        <f>IF(AZ409="high","high","lower")</f>
        <v>high</v>
      </c>
      <c r="BB409" s="49">
        <v>0.91300000000000003</v>
      </c>
      <c r="BC409" s="12">
        <v>84</v>
      </c>
      <c r="BD409" s="12">
        <v>88</v>
      </c>
      <c r="BE409" s="12">
        <v>100</v>
      </c>
      <c r="BF409" s="12">
        <v>84.2</v>
      </c>
      <c r="BG409" s="18" t="s">
        <v>1030</v>
      </c>
      <c r="BH409" s="18" t="s">
        <v>1031</v>
      </c>
    </row>
    <row r="410" spans="1:60" ht="15.75" customHeight="1" x14ac:dyDescent="0.2">
      <c r="A410" s="11">
        <v>409</v>
      </c>
      <c r="B410" s="22">
        <v>3588</v>
      </c>
      <c r="C410" s="13" t="s">
        <v>553</v>
      </c>
      <c r="D410" s="13" t="s">
        <v>556</v>
      </c>
      <c r="E410" s="23">
        <v>2010</v>
      </c>
      <c r="F410" s="23">
        <v>2012</v>
      </c>
      <c r="G410" s="13" t="s">
        <v>49</v>
      </c>
      <c r="H410" s="13"/>
      <c r="I410" s="13" t="s">
        <v>54</v>
      </c>
      <c r="J410" s="13" t="s">
        <v>229</v>
      </c>
      <c r="K410" s="13"/>
      <c r="L410" s="15">
        <v>80</v>
      </c>
      <c r="M410" s="16">
        <v>58.1</v>
      </c>
      <c r="N410" s="13" t="s">
        <v>42</v>
      </c>
      <c r="O410" s="42" t="s">
        <v>555</v>
      </c>
      <c r="P410" s="12">
        <f>IF(Q410="", 0, 1)</f>
        <v>1</v>
      </c>
      <c r="Q410" s="12">
        <v>45</v>
      </c>
      <c r="R410" s="17"/>
      <c r="S410" s="17"/>
      <c r="T410" s="17">
        <f>2.2*30</f>
        <v>66</v>
      </c>
      <c r="U410" s="17"/>
      <c r="V410" s="17"/>
      <c r="W410" s="17"/>
      <c r="X410" s="17"/>
      <c r="Y410" s="17"/>
      <c r="Z410" s="17" t="str">
        <f>IF(T410="", "mean", "med")</f>
        <v>med</v>
      </c>
      <c r="AA410" s="17">
        <f>IF(T410="", R410, T410)</f>
        <v>66</v>
      </c>
      <c r="AB410" s="12">
        <f>IF(AC410="", 0, 1)</f>
        <v>0</v>
      </c>
      <c r="AC410" s="13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>
        <f>IF(AO410="", 0, 1)</f>
        <v>0</v>
      </c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 t="s">
        <v>52</v>
      </c>
      <c r="BA410" s="12" t="str">
        <f>IF(AZ410="high","high","lower")</f>
        <v>high</v>
      </c>
      <c r="BB410" s="49">
        <v>0.91800000000000004</v>
      </c>
      <c r="BC410" s="12">
        <v>84</v>
      </c>
      <c r="BD410" s="12">
        <v>88</v>
      </c>
      <c r="BE410" s="12">
        <v>100</v>
      </c>
      <c r="BF410" s="12">
        <v>84.2</v>
      </c>
      <c r="BG410" s="18" t="s">
        <v>1030</v>
      </c>
      <c r="BH410" s="18" t="s">
        <v>1031</v>
      </c>
    </row>
    <row r="411" spans="1:60" ht="15.75" customHeight="1" x14ac:dyDescent="0.2">
      <c r="A411" s="11">
        <v>410</v>
      </c>
      <c r="B411" s="12">
        <v>3602</v>
      </c>
      <c r="C411" s="13" t="s">
        <v>557</v>
      </c>
      <c r="D411" s="13" t="s">
        <v>38</v>
      </c>
      <c r="E411" s="23">
        <v>2015</v>
      </c>
      <c r="F411" s="23">
        <v>2016</v>
      </c>
      <c r="G411" s="13" t="s">
        <v>93</v>
      </c>
      <c r="H411" s="13"/>
      <c r="I411" s="13" t="s">
        <v>40</v>
      </c>
      <c r="J411" s="13" t="s">
        <v>40</v>
      </c>
      <c r="K411" s="14"/>
      <c r="L411" s="15">
        <v>100</v>
      </c>
      <c r="M411" s="16">
        <v>54</v>
      </c>
      <c r="N411" s="13" t="s">
        <v>42</v>
      </c>
      <c r="O411" s="13" t="s">
        <v>41</v>
      </c>
      <c r="P411" s="12">
        <f>IF(Q411="", 0, 1)</f>
        <v>1</v>
      </c>
      <c r="Q411" s="12">
        <v>201</v>
      </c>
      <c r="R411" s="17"/>
      <c r="S411" s="17"/>
      <c r="T411" s="17">
        <v>37</v>
      </c>
      <c r="U411" s="17">
        <v>18</v>
      </c>
      <c r="V411" s="17">
        <v>50</v>
      </c>
      <c r="W411" s="17"/>
      <c r="X411" s="17"/>
      <c r="Y411" s="17"/>
      <c r="Z411" s="17" t="str">
        <f>IF(T411="", "mean", "med")</f>
        <v>med</v>
      </c>
      <c r="AA411" s="17">
        <f>IF(T411="", R411, T411)</f>
        <v>37</v>
      </c>
      <c r="AB411" s="12">
        <f>IF(AC411="", 0, 1)</f>
        <v>1</v>
      </c>
      <c r="AC411" s="13">
        <v>201</v>
      </c>
      <c r="AD411" s="12"/>
      <c r="AE411" s="12"/>
      <c r="AF411" s="12">
        <v>28</v>
      </c>
      <c r="AG411" s="12">
        <v>13</v>
      </c>
      <c r="AH411" s="12">
        <v>58</v>
      </c>
      <c r="AI411" s="12"/>
      <c r="AJ411" s="12"/>
      <c r="AK411" s="12"/>
      <c r="AL411" s="12" t="str">
        <f>IF(AF411="", "mean", "med")</f>
        <v>med</v>
      </c>
      <c r="AM411" s="12">
        <f>IF(AF411="", AD411, AF411)</f>
        <v>28</v>
      </c>
      <c r="AN411" s="12">
        <f>IF(AO411="", 0, 1)</f>
        <v>1</v>
      </c>
      <c r="AO411" s="12">
        <v>201</v>
      </c>
      <c r="AP411" s="12"/>
      <c r="AQ411" s="12"/>
      <c r="AR411" s="12">
        <v>23</v>
      </c>
      <c r="AS411" s="12">
        <v>6</v>
      </c>
      <c r="AT411" s="12">
        <v>64</v>
      </c>
      <c r="AU411" s="12"/>
      <c r="AV411" s="12"/>
      <c r="AW411" s="12"/>
      <c r="AX411" s="12" t="str">
        <f>IF(AR411="", "mean", "med")</f>
        <v>med</v>
      </c>
      <c r="AY411" s="12">
        <f>IF(AR411="", AP411, AR411)</f>
        <v>23</v>
      </c>
      <c r="AZ411" s="12" t="s">
        <v>43</v>
      </c>
      <c r="BA411" s="12" t="str">
        <f>IF(AZ411="high","high","lower")</f>
        <v>lower</v>
      </c>
      <c r="BB411" s="49">
        <v>0.70199999999999996</v>
      </c>
      <c r="BC411" s="12">
        <v>61.2</v>
      </c>
      <c r="BD411" s="12">
        <v>72.2</v>
      </c>
      <c r="BE411" s="12">
        <v>66.7</v>
      </c>
      <c r="BF411" s="12">
        <v>56.7</v>
      </c>
      <c r="BG411" s="18" t="s">
        <v>1030</v>
      </c>
      <c r="BH411" s="18" t="s">
        <v>1031</v>
      </c>
    </row>
    <row r="412" spans="1:60" ht="15.75" customHeight="1" x14ac:dyDescent="0.2">
      <c r="A412" s="11">
        <v>411</v>
      </c>
      <c r="B412" s="12">
        <v>3620</v>
      </c>
      <c r="C412" s="13" t="s">
        <v>489</v>
      </c>
      <c r="D412" s="13" t="s">
        <v>558</v>
      </c>
      <c r="E412" s="23">
        <v>2004</v>
      </c>
      <c r="F412" s="23">
        <v>2013</v>
      </c>
      <c r="G412" s="13" t="s">
        <v>49</v>
      </c>
      <c r="H412" s="13"/>
      <c r="I412" s="13" t="s">
        <v>79</v>
      </c>
      <c r="J412" s="13" t="s">
        <v>559</v>
      </c>
      <c r="K412" s="13"/>
      <c r="L412" s="15" t="s">
        <v>41</v>
      </c>
      <c r="M412" s="16" t="s">
        <v>41</v>
      </c>
      <c r="N412" s="13" t="s">
        <v>99</v>
      </c>
      <c r="O412" s="14" t="s">
        <v>558</v>
      </c>
      <c r="P412" s="12">
        <f>IF(Q412="", 0, 1)</f>
        <v>1</v>
      </c>
      <c r="Q412" s="12">
        <v>922</v>
      </c>
      <c r="R412" s="17"/>
      <c r="S412" s="17"/>
      <c r="T412" s="17">
        <v>27</v>
      </c>
      <c r="U412" s="17"/>
      <c r="V412" s="17"/>
      <c r="W412" s="17"/>
      <c r="X412" s="17"/>
      <c r="Y412" s="17"/>
      <c r="Z412" s="17" t="str">
        <f>IF(T412="", "mean", "med")</f>
        <v>med</v>
      </c>
      <c r="AA412" s="17">
        <f>IF(T412="", R412, T412)</f>
        <v>27</v>
      </c>
      <c r="AB412" s="12">
        <f>IF(AC412="", 0, 1)</f>
        <v>0</v>
      </c>
      <c r="AC412" s="13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>
        <f>IF(AO412="", 0, 1)</f>
        <v>0</v>
      </c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 t="s">
        <v>52</v>
      </c>
      <c r="BA412" s="12" t="str">
        <f>IF(AZ412="high","high","lower")</f>
        <v>high</v>
      </c>
      <c r="BB412" s="49">
        <v>0.91</v>
      </c>
      <c r="BC412" s="12">
        <v>84</v>
      </c>
      <c r="BD412" s="12">
        <v>88</v>
      </c>
      <c r="BE412" s="12">
        <v>100</v>
      </c>
      <c r="BF412" s="12">
        <v>84.2</v>
      </c>
      <c r="BG412" s="18" t="s">
        <v>1030</v>
      </c>
      <c r="BH412" s="18" t="s">
        <v>1031</v>
      </c>
    </row>
    <row r="413" spans="1:60" ht="15.75" customHeight="1" x14ac:dyDescent="0.2">
      <c r="A413" s="11">
        <v>412</v>
      </c>
      <c r="B413" s="12">
        <v>3620</v>
      </c>
      <c r="C413" s="13" t="s">
        <v>489</v>
      </c>
      <c r="D413" s="13" t="s">
        <v>560</v>
      </c>
      <c r="E413" s="23">
        <v>2004</v>
      </c>
      <c r="F413" s="23">
        <v>2013</v>
      </c>
      <c r="G413" s="13" t="s">
        <v>49</v>
      </c>
      <c r="H413" s="13"/>
      <c r="I413" s="14" t="s">
        <v>79</v>
      </c>
      <c r="J413" s="13" t="s">
        <v>559</v>
      </c>
      <c r="K413" s="13"/>
      <c r="L413" s="19">
        <v>21</v>
      </c>
      <c r="M413" s="20" t="s">
        <v>41</v>
      </c>
      <c r="N413" s="13" t="s">
        <v>99</v>
      </c>
      <c r="O413" s="14" t="s">
        <v>492</v>
      </c>
      <c r="P413" s="12">
        <f>IF(Q413="", 0, 1)</f>
        <v>1</v>
      </c>
      <c r="Q413" s="12">
        <v>3850</v>
      </c>
      <c r="R413" s="17"/>
      <c r="S413" s="17"/>
      <c r="T413" s="17">
        <v>37</v>
      </c>
      <c r="U413" s="17"/>
      <c r="V413" s="17"/>
      <c r="W413" s="17"/>
      <c r="X413" s="21"/>
      <c r="Y413" s="21"/>
      <c r="Z413" s="17" t="str">
        <f>IF(T413="", "mean", "med")</f>
        <v>med</v>
      </c>
      <c r="AA413" s="17">
        <f>IF(T413="", R413, T413)</f>
        <v>37</v>
      </c>
      <c r="AB413" s="12">
        <f>IF(AC413="", 0, 1)</f>
        <v>0</v>
      </c>
      <c r="AC413" s="13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>
        <f>IF(AO413="", 0, 1)</f>
        <v>0</v>
      </c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 t="s">
        <v>52</v>
      </c>
      <c r="BA413" s="12" t="str">
        <f>IF(AZ413="high","high","lower")</f>
        <v>high</v>
      </c>
      <c r="BB413" s="49">
        <v>0.91</v>
      </c>
      <c r="BC413" s="12">
        <v>84</v>
      </c>
      <c r="BD413" s="12">
        <v>88</v>
      </c>
      <c r="BE413" s="12">
        <v>100</v>
      </c>
      <c r="BF413" s="12">
        <v>84.2</v>
      </c>
      <c r="BG413" s="18" t="s">
        <v>1030</v>
      </c>
      <c r="BH413" s="18" t="s">
        <v>1031</v>
      </c>
    </row>
    <row r="414" spans="1:60" ht="15.75" customHeight="1" x14ac:dyDescent="0.2">
      <c r="A414" s="11">
        <v>413</v>
      </c>
      <c r="B414" s="22">
        <v>3622</v>
      </c>
      <c r="C414" s="13" t="s">
        <v>561</v>
      </c>
      <c r="D414" s="13" t="s">
        <v>89</v>
      </c>
      <c r="E414" s="23">
        <v>2000</v>
      </c>
      <c r="F414" s="23">
        <v>2008</v>
      </c>
      <c r="G414" s="13" t="s">
        <v>49</v>
      </c>
      <c r="H414" s="13"/>
      <c r="I414" s="13" t="s">
        <v>54</v>
      </c>
      <c r="J414" s="13" t="s">
        <v>89</v>
      </c>
      <c r="K414" s="14"/>
      <c r="L414" s="19" t="s">
        <v>41</v>
      </c>
      <c r="M414" s="16" t="s">
        <v>41</v>
      </c>
      <c r="N414" s="13" t="s">
        <v>42</v>
      </c>
      <c r="O414" s="14" t="s">
        <v>562</v>
      </c>
      <c r="P414" s="12">
        <f>IF(Q414="", 0, 1)</f>
        <v>1</v>
      </c>
      <c r="Q414" s="12">
        <v>432</v>
      </c>
      <c r="R414" s="17">
        <v>20</v>
      </c>
      <c r="S414" s="17">
        <v>26</v>
      </c>
      <c r="T414" s="17"/>
      <c r="U414" s="17"/>
      <c r="V414" s="17"/>
      <c r="W414" s="21"/>
      <c r="X414" s="17"/>
      <c r="Y414" s="17"/>
      <c r="Z414" s="17" t="str">
        <f>IF(T414="", "mean", "med")</f>
        <v>mean</v>
      </c>
      <c r="AA414" s="17">
        <f>IF(T414="", R414, T414)</f>
        <v>20</v>
      </c>
      <c r="AB414" s="12">
        <f>IF(AC414="", 0, 1)</f>
        <v>0</v>
      </c>
      <c r="AC414" s="13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>
        <f>IF(AO414="", 0, 1)</f>
        <v>0</v>
      </c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 t="s">
        <v>52</v>
      </c>
      <c r="BA414" s="12" t="str">
        <f>IF(AZ414="high","high","lower")</f>
        <v>high</v>
      </c>
      <c r="BB414" s="49">
        <v>0.89700000000000002</v>
      </c>
      <c r="BC414" s="12">
        <v>84</v>
      </c>
      <c r="BD414" s="12">
        <v>88</v>
      </c>
      <c r="BE414" s="12">
        <v>100</v>
      </c>
      <c r="BF414" s="12">
        <v>84.2</v>
      </c>
      <c r="BG414" s="18" t="s">
        <v>1030</v>
      </c>
      <c r="BH414" s="18" t="s">
        <v>1031</v>
      </c>
    </row>
    <row r="415" spans="1:60" ht="15.75" customHeight="1" x14ac:dyDescent="0.2">
      <c r="A415" s="11">
        <v>414</v>
      </c>
      <c r="B415" s="12">
        <v>3622</v>
      </c>
      <c r="C415" s="13" t="s">
        <v>561</v>
      </c>
      <c r="D415" s="13" t="s">
        <v>563</v>
      </c>
      <c r="E415" s="23">
        <v>2000</v>
      </c>
      <c r="F415" s="23">
        <v>2008</v>
      </c>
      <c r="G415" s="13" t="s">
        <v>49</v>
      </c>
      <c r="H415" s="13"/>
      <c r="I415" s="13" t="s">
        <v>54</v>
      </c>
      <c r="J415" s="13" t="s">
        <v>55</v>
      </c>
      <c r="K415" s="13"/>
      <c r="L415" s="19" t="s">
        <v>41</v>
      </c>
      <c r="M415" s="16" t="s">
        <v>41</v>
      </c>
      <c r="N415" s="13" t="s">
        <v>42</v>
      </c>
      <c r="O415" s="14" t="s">
        <v>562</v>
      </c>
      <c r="P415" s="12">
        <f>IF(Q415="", 0, 1)</f>
        <v>1</v>
      </c>
      <c r="Q415" s="12">
        <v>52</v>
      </c>
      <c r="R415" s="17">
        <v>32</v>
      </c>
      <c r="S415" s="17">
        <v>27</v>
      </c>
      <c r="T415" s="17"/>
      <c r="U415" s="17"/>
      <c r="V415" s="17"/>
      <c r="W415" s="21"/>
      <c r="X415" s="17"/>
      <c r="Y415" s="17"/>
      <c r="Z415" s="17" t="str">
        <f>IF(T415="", "mean", "med")</f>
        <v>mean</v>
      </c>
      <c r="AA415" s="17">
        <f>IF(T415="", R415, T415)</f>
        <v>32</v>
      </c>
      <c r="AB415" s="12">
        <f>IF(AC415="", 0, 1)</f>
        <v>0</v>
      </c>
      <c r="AC415" s="13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>
        <f>IF(AO415="", 0, 1)</f>
        <v>0</v>
      </c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 t="s">
        <v>52</v>
      </c>
      <c r="BA415" s="12" t="str">
        <f>IF(AZ415="high","high","lower")</f>
        <v>high</v>
      </c>
      <c r="BB415" s="49">
        <v>0.89700000000000002</v>
      </c>
      <c r="BC415" s="12">
        <v>84</v>
      </c>
      <c r="BD415" s="12">
        <v>88</v>
      </c>
      <c r="BE415" s="12">
        <v>100</v>
      </c>
      <c r="BF415" s="12">
        <v>84.2</v>
      </c>
      <c r="BG415" s="18" t="s">
        <v>1030</v>
      </c>
      <c r="BH415" s="18" t="s">
        <v>1031</v>
      </c>
    </row>
    <row r="416" spans="1:60" ht="15.75" customHeight="1" x14ac:dyDescent="0.2">
      <c r="A416" s="11">
        <v>415</v>
      </c>
      <c r="B416" s="12">
        <v>3622</v>
      </c>
      <c r="C416" s="13" t="s">
        <v>561</v>
      </c>
      <c r="D416" s="14" t="s">
        <v>227</v>
      </c>
      <c r="E416" s="23">
        <v>2000</v>
      </c>
      <c r="F416" s="23">
        <v>2008</v>
      </c>
      <c r="G416" s="13" t="s">
        <v>49</v>
      </c>
      <c r="H416" s="13"/>
      <c r="I416" s="13" t="s">
        <v>54</v>
      </c>
      <c r="J416" s="13" t="s">
        <v>227</v>
      </c>
      <c r="K416" s="14"/>
      <c r="L416" s="19" t="s">
        <v>41</v>
      </c>
      <c r="M416" s="16" t="s">
        <v>41</v>
      </c>
      <c r="N416" s="13" t="s">
        <v>42</v>
      </c>
      <c r="O416" s="14" t="s">
        <v>562</v>
      </c>
      <c r="P416" s="12">
        <f>IF(Q416="", 0, 1)</f>
        <v>1</v>
      </c>
      <c r="Q416" s="12">
        <v>108</v>
      </c>
      <c r="R416" s="17">
        <v>40</v>
      </c>
      <c r="S416" s="17">
        <v>35</v>
      </c>
      <c r="T416" s="17"/>
      <c r="U416" s="17"/>
      <c r="V416" s="17"/>
      <c r="W416" s="17"/>
      <c r="X416" s="17"/>
      <c r="Y416" s="17"/>
      <c r="Z416" s="17" t="str">
        <f>IF(T416="", "mean", "med")</f>
        <v>mean</v>
      </c>
      <c r="AA416" s="17">
        <f>IF(T416="", R416, T416)</f>
        <v>40</v>
      </c>
      <c r="AB416" s="12">
        <f>IF(AC416="", 0, 1)</f>
        <v>0</v>
      </c>
      <c r="AC416" s="13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>
        <f>IF(AO416="", 0, 1)</f>
        <v>0</v>
      </c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 t="s">
        <v>52</v>
      </c>
      <c r="BA416" s="12" t="str">
        <f>IF(AZ416="high","high","lower")</f>
        <v>high</v>
      </c>
      <c r="BB416" s="49">
        <v>0.89700000000000002</v>
      </c>
      <c r="BC416" s="12">
        <v>84</v>
      </c>
      <c r="BD416" s="12">
        <v>88</v>
      </c>
      <c r="BE416" s="12">
        <v>100</v>
      </c>
      <c r="BF416" s="12">
        <v>84.2</v>
      </c>
      <c r="BG416" s="18" t="s">
        <v>1030</v>
      </c>
      <c r="BH416" s="18" t="s">
        <v>1031</v>
      </c>
    </row>
    <row r="417" spans="1:60" ht="15.75" customHeight="1" x14ac:dyDescent="0.2">
      <c r="A417" s="11">
        <v>416</v>
      </c>
      <c r="B417" s="12">
        <v>3624</v>
      </c>
      <c r="C417" s="13" t="s">
        <v>564</v>
      </c>
      <c r="D417" s="13" t="s">
        <v>38</v>
      </c>
      <c r="E417" s="23">
        <v>2015</v>
      </c>
      <c r="F417" s="23">
        <v>2015</v>
      </c>
      <c r="G417" s="13" t="s">
        <v>565</v>
      </c>
      <c r="H417" s="13"/>
      <c r="I417" s="13" t="s">
        <v>40</v>
      </c>
      <c r="J417" s="13" t="s">
        <v>40</v>
      </c>
      <c r="K417" s="14"/>
      <c r="L417" s="19">
        <v>100</v>
      </c>
      <c r="M417" s="16">
        <v>54</v>
      </c>
      <c r="N417" s="13" t="s">
        <v>42</v>
      </c>
      <c r="O417" s="14"/>
      <c r="P417" s="12">
        <f>IF(Q417="", 0, 1)</f>
        <v>0</v>
      </c>
      <c r="Q417" s="12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2">
        <f>IF(AC417="", 0, 1)</f>
        <v>0</v>
      </c>
      <c r="AC417" s="13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>
        <f>IF(AO417="", 0, 1)</f>
        <v>1</v>
      </c>
      <c r="AO417" s="12">
        <v>109</v>
      </c>
      <c r="AP417" s="12">
        <v>198</v>
      </c>
      <c r="AQ417" s="12">
        <v>449</v>
      </c>
      <c r="AR417" s="12"/>
      <c r="AS417" s="12"/>
      <c r="AT417" s="12"/>
      <c r="AU417" s="12"/>
      <c r="AV417" s="12"/>
      <c r="AW417" s="12"/>
      <c r="AX417" s="12" t="str">
        <f>IF(AR417="", "mean", "med")</f>
        <v>mean</v>
      </c>
      <c r="AY417" s="12">
        <f>IF(AR417="", AP417, AR417)</f>
        <v>198</v>
      </c>
      <c r="AZ417" s="49" t="s">
        <v>43</v>
      </c>
      <c r="BA417" s="49" t="str">
        <f>IF(AZ417="high","high","lower")</f>
        <v>lower</v>
      </c>
      <c r="BB417" s="49">
        <v>0.75900000000000001</v>
      </c>
      <c r="BC417" s="49"/>
      <c r="BD417" s="49"/>
      <c r="BE417" s="49"/>
      <c r="BF417" s="49"/>
      <c r="BG417" s="18" t="s">
        <v>1032</v>
      </c>
      <c r="BH417" s="18" t="s">
        <v>1033</v>
      </c>
    </row>
    <row r="418" spans="1:60" ht="15.75" customHeight="1" x14ac:dyDescent="0.2">
      <c r="A418" s="11">
        <v>417</v>
      </c>
      <c r="B418" s="22">
        <v>3666</v>
      </c>
      <c r="C418" s="13" t="s">
        <v>566</v>
      </c>
      <c r="D418" s="13" t="s">
        <v>567</v>
      </c>
      <c r="E418" s="23">
        <v>1998</v>
      </c>
      <c r="F418" s="23">
        <v>2010</v>
      </c>
      <c r="G418" s="13" t="s">
        <v>49</v>
      </c>
      <c r="H418" s="13"/>
      <c r="I418" s="13" t="s">
        <v>57</v>
      </c>
      <c r="J418" s="13" t="s">
        <v>58</v>
      </c>
      <c r="K418" s="13"/>
      <c r="L418" s="15" t="s">
        <v>41</v>
      </c>
      <c r="M418" s="16">
        <v>67.63</v>
      </c>
      <c r="N418" s="13" t="s">
        <v>42</v>
      </c>
      <c r="O418" s="13" t="s">
        <v>90</v>
      </c>
      <c r="P418" s="12">
        <f>IF(Q418="", 0, 1)</f>
        <v>1</v>
      </c>
      <c r="Q418" s="12">
        <v>39995</v>
      </c>
      <c r="R418" s="17"/>
      <c r="S418" s="17"/>
      <c r="T418" s="17">
        <v>29</v>
      </c>
      <c r="U418" s="17">
        <v>20</v>
      </c>
      <c r="V418" s="17">
        <v>41</v>
      </c>
      <c r="W418" s="17"/>
      <c r="X418" s="17"/>
      <c r="Y418" s="17"/>
      <c r="Z418" s="17" t="str">
        <f>IF(T418="", "mean", "med")</f>
        <v>med</v>
      </c>
      <c r="AA418" s="17">
        <f>IF(T418="", R418, T418)</f>
        <v>29</v>
      </c>
      <c r="AB418" s="12">
        <f>IF(AC418="", 0, 1)</f>
        <v>0</v>
      </c>
      <c r="AC418" s="13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>
        <f>IF(AO418="", 0, 1)</f>
        <v>0</v>
      </c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 t="s">
        <v>52</v>
      </c>
      <c r="BA418" s="12" t="str">
        <f>IF(AZ418="high","high","lower")</f>
        <v>high</v>
      </c>
      <c r="BB418" s="49">
        <v>0.89900000000000002</v>
      </c>
      <c r="BC418" s="12">
        <v>84</v>
      </c>
      <c r="BD418" s="12">
        <v>88</v>
      </c>
      <c r="BE418" s="12">
        <v>100</v>
      </c>
      <c r="BF418" s="12">
        <v>84.2</v>
      </c>
      <c r="BG418" s="18" t="s">
        <v>1030</v>
      </c>
      <c r="BH418" s="18" t="s">
        <v>1031</v>
      </c>
    </row>
    <row r="419" spans="1:60" ht="15.75" customHeight="1" x14ac:dyDescent="0.2">
      <c r="A419" s="11">
        <v>418</v>
      </c>
      <c r="B419" s="22">
        <v>3666</v>
      </c>
      <c r="C419" s="13" t="s">
        <v>566</v>
      </c>
      <c r="D419" s="13" t="s">
        <v>568</v>
      </c>
      <c r="E419" s="23">
        <v>1998</v>
      </c>
      <c r="F419" s="23">
        <v>2010</v>
      </c>
      <c r="G419" s="13" t="s">
        <v>49</v>
      </c>
      <c r="H419" s="13"/>
      <c r="I419" s="13" t="s">
        <v>57</v>
      </c>
      <c r="J419" s="13" t="s">
        <v>58</v>
      </c>
      <c r="K419" s="14"/>
      <c r="L419" s="15" t="s">
        <v>41</v>
      </c>
      <c r="M419" s="16">
        <v>68.73</v>
      </c>
      <c r="N419" s="13" t="s">
        <v>42</v>
      </c>
      <c r="O419" s="14" t="s">
        <v>90</v>
      </c>
      <c r="P419" s="12">
        <f>IF(Q419="", 0, 1)</f>
        <v>1</v>
      </c>
      <c r="Q419" s="12">
        <v>15658</v>
      </c>
      <c r="R419" s="17"/>
      <c r="S419" s="17"/>
      <c r="T419" s="17">
        <v>77</v>
      </c>
      <c r="U419" s="17">
        <v>64</v>
      </c>
      <c r="V419" s="17">
        <v>102</v>
      </c>
      <c r="W419" s="17"/>
      <c r="X419" s="17"/>
      <c r="Y419" s="17"/>
      <c r="Z419" s="17" t="str">
        <f>IF(T419="", "mean", "med")</f>
        <v>med</v>
      </c>
      <c r="AA419" s="17">
        <f>IF(T419="", R419, T419)</f>
        <v>77</v>
      </c>
      <c r="AB419" s="12">
        <f>IF(AC419="", 0, 1)</f>
        <v>0</v>
      </c>
      <c r="AC419" s="13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>
        <f>IF(AO419="", 0, 1)</f>
        <v>0</v>
      </c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 t="s">
        <v>52</v>
      </c>
      <c r="BA419" s="12" t="str">
        <f>IF(AZ419="high","high","lower")</f>
        <v>high</v>
      </c>
      <c r="BB419" s="49">
        <v>0.89900000000000002</v>
      </c>
      <c r="BC419" s="12">
        <v>84</v>
      </c>
      <c r="BD419" s="12">
        <v>88</v>
      </c>
      <c r="BE419" s="12">
        <v>100</v>
      </c>
      <c r="BF419" s="12">
        <v>84.2</v>
      </c>
      <c r="BG419" s="18" t="s">
        <v>1030</v>
      </c>
      <c r="BH419" s="18" t="s">
        <v>1031</v>
      </c>
    </row>
    <row r="420" spans="1:60" ht="15.75" customHeight="1" x14ac:dyDescent="0.2">
      <c r="A420" s="11">
        <v>419</v>
      </c>
      <c r="B420" s="12">
        <v>3682</v>
      </c>
      <c r="C420" s="13" t="s">
        <v>569</v>
      </c>
      <c r="D420" s="14" t="s">
        <v>38</v>
      </c>
      <c r="E420" s="23">
        <v>2004</v>
      </c>
      <c r="F420" s="23">
        <v>2006</v>
      </c>
      <c r="G420" s="13" t="s">
        <v>252</v>
      </c>
      <c r="H420" s="13"/>
      <c r="I420" s="13" t="s">
        <v>79</v>
      </c>
      <c r="J420" s="31" t="s">
        <v>236</v>
      </c>
      <c r="K420" s="14"/>
      <c r="L420" s="15">
        <v>47</v>
      </c>
      <c r="M420" s="16">
        <v>61.8</v>
      </c>
      <c r="N420" s="13" t="s">
        <v>99</v>
      </c>
      <c r="O420" s="13"/>
      <c r="P420" s="12">
        <f>IF(Q420="", 0, 1)</f>
        <v>0</v>
      </c>
      <c r="Q420" s="12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2">
        <f>IF(AC420="", 0, 1)</f>
        <v>1</v>
      </c>
      <c r="AC420" s="13">
        <v>100</v>
      </c>
      <c r="AD420" s="12">
        <f>2.1*30</f>
        <v>63</v>
      </c>
      <c r="AE420" s="12">
        <f>2.1*30</f>
        <v>63</v>
      </c>
      <c r="AF420" s="12">
        <v>30</v>
      </c>
      <c r="AG420" s="12"/>
      <c r="AH420" s="12"/>
      <c r="AI420" s="12"/>
      <c r="AJ420" s="12"/>
      <c r="AK420" s="12"/>
      <c r="AL420" s="12" t="str">
        <f>IF(AF420="", "mean", "med")</f>
        <v>med</v>
      </c>
      <c r="AM420" s="12">
        <f>IF(AF420="", AD420, AF420)</f>
        <v>30</v>
      </c>
      <c r="AN420" s="12">
        <f>IF(AO420="", 0, 1)</f>
        <v>1</v>
      </c>
      <c r="AO420" s="12">
        <v>100</v>
      </c>
      <c r="AP420" s="12">
        <f>5.3*30</f>
        <v>159</v>
      </c>
      <c r="AQ420" s="12">
        <f>6.1*30</f>
        <v>183</v>
      </c>
      <c r="AR420" s="12">
        <v>60</v>
      </c>
      <c r="AS420" s="12"/>
      <c r="AT420" s="12"/>
      <c r="AU420" s="12"/>
      <c r="AV420" s="12"/>
      <c r="AW420" s="12"/>
      <c r="AX420" s="12" t="str">
        <f>IF(AR420="", "mean", "med")</f>
        <v>med</v>
      </c>
      <c r="AY420" s="12">
        <f>IF(AR420="", AP420, AR420)</f>
        <v>60</v>
      </c>
      <c r="AZ420" s="49" t="s">
        <v>46</v>
      </c>
      <c r="BA420" s="49" t="str">
        <f>IF(AZ420="high","high","lower")</f>
        <v>lower</v>
      </c>
      <c r="BB420" s="49">
        <v>0.69299999999999995</v>
      </c>
      <c r="BC420" s="49"/>
      <c r="BD420" s="49"/>
      <c r="BE420" s="49"/>
      <c r="BF420" s="49"/>
      <c r="BG420" s="18" t="s">
        <v>1030</v>
      </c>
      <c r="BH420" s="18" t="s">
        <v>1031</v>
      </c>
    </row>
    <row r="421" spans="1:60" ht="15.75" customHeight="1" x14ac:dyDescent="0.2">
      <c r="A421" s="11">
        <v>420</v>
      </c>
      <c r="B421" s="12">
        <v>3691</v>
      </c>
      <c r="C421" s="13" t="s">
        <v>570</v>
      </c>
      <c r="D421" s="13" t="s">
        <v>571</v>
      </c>
      <c r="E421" s="23">
        <v>2010</v>
      </c>
      <c r="F421" s="23">
        <v>2011</v>
      </c>
      <c r="G421" s="13" t="s">
        <v>140</v>
      </c>
      <c r="H421" s="13"/>
      <c r="I421" s="14" t="s">
        <v>57</v>
      </c>
      <c r="J421" s="13" t="s">
        <v>58</v>
      </c>
      <c r="K421" s="14"/>
      <c r="L421" s="15">
        <v>30</v>
      </c>
      <c r="M421" s="16">
        <v>57</v>
      </c>
      <c r="N421" s="13" t="s">
        <v>42</v>
      </c>
      <c r="O421" s="14"/>
      <c r="P421" s="12">
        <f>IF(Q421="", 0, 1)</f>
        <v>0</v>
      </c>
      <c r="Q421" s="12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2">
        <f>IF(AC421="", 0, 1)</f>
        <v>0</v>
      </c>
      <c r="AC421" s="13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>
        <f>IF(AO421="", 0, 1)</f>
        <v>1</v>
      </c>
      <c r="AO421" s="12">
        <v>150</v>
      </c>
      <c r="AP421" s="12"/>
      <c r="AQ421" s="12"/>
      <c r="AR421" s="12">
        <f>9*7</f>
        <v>63</v>
      </c>
      <c r="AS421" s="12"/>
      <c r="AT421" s="12"/>
      <c r="AU421" s="12"/>
      <c r="AV421" s="12">
        <f>2*7</f>
        <v>14</v>
      </c>
      <c r="AW421" s="12">
        <f>37*7</f>
        <v>259</v>
      </c>
      <c r="AX421" s="12" t="str">
        <f>IF(AR421="", "mean", "med")</f>
        <v>med</v>
      </c>
      <c r="AY421" s="12">
        <f>IF(AR421="", AP421, AR421)</f>
        <v>63</v>
      </c>
      <c r="AZ421" s="49" t="s">
        <v>52</v>
      </c>
      <c r="BA421" s="49" t="str">
        <f>IF(AZ421="high","high","lower")</f>
        <v>high</v>
      </c>
      <c r="BB421" s="49">
        <v>0.84299999999999997</v>
      </c>
      <c r="BC421" s="49"/>
      <c r="BD421" s="49"/>
      <c r="BE421" s="49"/>
      <c r="BF421" s="49"/>
      <c r="BG421" s="18" t="s">
        <v>1030</v>
      </c>
      <c r="BH421" s="18" t="s">
        <v>1031</v>
      </c>
    </row>
    <row r="422" spans="1:60" ht="15.75" customHeight="1" x14ac:dyDescent="0.2">
      <c r="A422" s="11">
        <v>421</v>
      </c>
      <c r="B422" s="12">
        <v>3691</v>
      </c>
      <c r="C422" s="13" t="s">
        <v>570</v>
      </c>
      <c r="D422" s="13" t="s">
        <v>572</v>
      </c>
      <c r="E422" s="23">
        <v>2010</v>
      </c>
      <c r="F422" s="23">
        <v>2011</v>
      </c>
      <c r="G422" s="13" t="s">
        <v>140</v>
      </c>
      <c r="H422" s="13"/>
      <c r="I422" s="13" t="s">
        <v>57</v>
      </c>
      <c r="J422" s="13" t="s">
        <v>58</v>
      </c>
      <c r="K422" s="13"/>
      <c r="L422" s="19">
        <v>34.700000000000003</v>
      </c>
      <c r="M422" s="20">
        <v>58.5</v>
      </c>
      <c r="N422" s="13" t="s">
        <v>42</v>
      </c>
      <c r="O422" s="13"/>
      <c r="P422" s="12">
        <f>IF(Q422="", 0, 1)</f>
        <v>0</v>
      </c>
      <c r="Q422" s="12"/>
      <c r="R422" s="17"/>
      <c r="S422" s="17"/>
      <c r="T422" s="17"/>
      <c r="U422" s="17"/>
      <c r="V422" s="17"/>
      <c r="W422" s="17"/>
      <c r="X422" s="21"/>
      <c r="Y422" s="21"/>
      <c r="Z422" s="17"/>
      <c r="AA422" s="17"/>
      <c r="AB422" s="12">
        <f>IF(AC422="", 0, 1)</f>
        <v>0</v>
      </c>
      <c r="AC422" s="13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>
        <f>IF(AO422="", 0, 1)</f>
        <v>1</v>
      </c>
      <c r="AO422" s="12">
        <f>98+52</f>
        <v>150</v>
      </c>
      <c r="AP422" s="12"/>
      <c r="AQ422" s="12"/>
      <c r="AR422" s="12">
        <f>8*7</f>
        <v>56</v>
      </c>
      <c r="AS422" s="12"/>
      <c r="AT422" s="12"/>
      <c r="AU422" s="12"/>
      <c r="AV422" s="12">
        <f>2*7</f>
        <v>14</v>
      </c>
      <c r="AW422" s="12">
        <f>23*7</f>
        <v>161</v>
      </c>
      <c r="AX422" s="12" t="str">
        <f>IF(AR422="", "mean", "med")</f>
        <v>med</v>
      </c>
      <c r="AY422" s="12">
        <f>IF(AR422="", AP422, AR422)</f>
        <v>56</v>
      </c>
      <c r="AZ422" s="49" t="s">
        <v>52</v>
      </c>
      <c r="BA422" s="49" t="str">
        <f>IF(AZ422="high","high","lower")</f>
        <v>high</v>
      </c>
      <c r="BB422" s="49">
        <v>0.84299999999999997</v>
      </c>
      <c r="BC422" s="49"/>
      <c r="BD422" s="49"/>
      <c r="BE422" s="49"/>
      <c r="BF422" s="49"/>
      <c r="BG422" s="18" t="s">
        <v>1030</v>
      </c>
      <c r="BH422" s="18" t="s">
        <v>1031</v>
      </c>
    </row>
    <row r="423" spans="1:60" ht="15.75" customHeight="1" x14ac:dyDescent="0.2">
      <c r="A423" s="11">
        <v>422</v>
      </c>
      <c r="B423" s="12">
        <v>3712</v>
      </c>
      <c r="C423" s="13" t="s">
        <v>573</v>
      </c>
      <c r="D423" s="13" t="s">
        <v>574</v>
      </c>
      <c r="E423" s="23">
        <v>2009</v>
      </c>
      <c r="F423" s="23">
        <v>2009</v>
      </c>
      <c r="G423" s="13" t="s">
        <v>131</v>
      </c>
      <c r="H423" s="13"/>
      <c r="I423" s="13" t="s">
        <v>79</v>
      </c>
      <c r="J423" s="13" t="s">
        <v>79</v>
      </c>
      <c r="K423" s="14"/>
      <c r="L423" s="19">
        <v>28.4</v>
      </c>
      <c r="M423" s="20">
        <v>62.7</v>
      </c>
      <c r="N423" s="13" t="s">
        <v>42</v>
      </c>
      <c r="O423" s="14" t="s">
        <v>575</v>
      </c>
      <c r="P423" s="12">
        <f>IF(Q423="", 0, 1)</f>
        <v>1</v>
      </c>
      <c r="Q423" s="22">
        <v>218</v>
      </c>
      <c r="R423" s="17">
        <v>24.7</v>
      </c>
      <c r="S423" s="17">
        <v>11.8</v>
      </c>
      <c r="T423" s="17">
        <v>25</v>
      </c>
      <c r="U423" s="17"/>
      <c r="V423" s="17"/>
      <c r="W423" s="17"/>
      <c r="X423" s="17"/>
      <c r="Y423" s="17"/>
      <c r="Z423" s="17" t="str">
        <f>IF(T423="", "mean", "med")</f>
        <v>med</v>
      </c>
      <c r="AA423" s="17">
        <f>IF(T423="", R423, T423)</f>
        <v>25</v>
      </c>
      <c r="AB423" s="12">
        <f>IF(AC423="", 0, 1)</f>
        <v>0</v>
      </c>
      <c r="AC423" s="13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>
        <f>IF(AO423="", 0, 1)</f>
        <v>0</v>
      </c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 t="s">
        <v>52</v>
      </c>
      <c r="BA423" s="12" t="str">
        <f>IF(AZ423="high","high","lower")</f>
        <v>high</v>
      </c>
      <c r="BB423" s="49">
        <v>0.91200000000000003</v>
      </c>
      <c r="BC423" s="12">
        <v>89.9</v>
      </c>
      <c r="BD423" s="12">
        <v>94</v>
      </c>
      <c r="BE423" s="12">
        <v>100</v>
      </c>
      <c r="BF423" s="12">
        <v>92.1</v>
      </c>
      <c r="BG423" s="18" t="s">
        <v>1030</v>
      </c>
      <c r="BH423" s="18" t="s">
        <v>1031</v>
      </c>
    </row>
    <row r="424" spans="1:60" ht="15.75" customHeight="1" x14ac:dyDescent="0.2">
      <c r="A424" s="11">
        <v>423</v>
      </c>
      <c r="B424" s="12">
        <v>3712</v>
      </c>
      <c r="C424" s="13" t="s">
        <v>573</v>
      </c>
      <c r="D424" s="13" t="s">
        <v>576</v>
      </c>
      <c r="E424" s="23">
        <v>2014</v>
      </c>
      <c r="F424" s="23">
        <v>2014</v>
      </c>
      <c r="G424" s="13" t="s">
        <v>131</v>
      </c>
      <c r="H424" s="13"/>
      <c r="I424" s="13" t="s">
        <v>79</v>
      </c>
      <c r="J424" s="13" t="s">
        <v>79</v>
      </c>
      <c r="K424" s="13"/>
      <c r="L424" s="19">
        <v>32.799999999999997</v>
      </c>
      <c r="M424" s="20">
        <v>64.8</v>
      </c>
      <c r="N424" s="13" t="s">
        <v>42</v>
      </c>
      <c r="O424" s="14" t="s">
        <v>575</v>
      </c>
      <c r="P424" s="12">
        <f>IF(Q424="", 0, 1)</f>
        <v>1</v>
      </c>
      <c r="Q424" s="22">
        <v>268</v>
      </c>
      <c r="R424" s="21">
        <v>18.5</v>
      </c>
      <c r="S424" s="21">
        <v>8.1</v>
      </c>
      <c r="T424" s="17">
        <v>18</v>
      </c>
      <c r="U424" s="17"/>
      <c r="V424" s="17"/>
      <c r="W424" s="17"/>
      <c r="X424" s="17"/>
      <c r="Y424" s="17"/>
      <c r="Z424" s="17" t="str">
        <f>IF(T424="", "mean", "med")</f>
        <v>med</v>
      </c>
      <c r="AA424" s="17">
        <f>IF(T424="", R424, T424)</f>
        <v>18</v>
      </c>
      <c r="AB424" s="12">
        <f>IF(AC424="", 0, 1)</f>
        <v>0</v>
      </c>
      <c r="AC424" s="13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>
        <f>IF(AO424="", 0, 1)</f>
        <v>0</v>
      </c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 t="s">
        <v>52</v>
      </c>
      <c r="BA424" s="12" t="str">
        <f>IF(AZ424="high","high","lower")</f>
        <v>high</v>
      </c>
      <c r="BB424" s="49">
        <v>0.93200000000000005</v>
      </c>
      <c r="BC424" s="12">
        <v>89.9</v>
      </c>
      <c r="BD424" s="12">
        <v>94</v>
      </c>
      <c r="BE424" s="12">
        <v>100</v>
      </c>
      <c r="BF424" s="12">
        <v>92.1</v>
      </c>
      <c r="BG424" s="18" t="s">
        <v>1030</v>
      </c>
      <c r="BH424" s="18" t="s">
        <v>1031</v>
      </c>
    </row>
    <row r="425" spans="1:60" ht="15.75" customHeight="1" x14ac:dyDescent="0.2">
      <c r="A425" s="11">
        <v>424</v>
      </c>
      <c r="B425" s="12">
        <v>3726</v>
      </c>
      <c r="C425" s="13" t="s">
        <v>577</v>
      </c>
      <c r="D425" s="42" t="s">
        <v>38</v>
      </c>
      <c r="E425" s="23">
        <v>2006</v>
      </c>
      <c r="F425" s="23">
        <v>2008</v>
      </c>
      <c r="G425" s="13" t="s">
        <v>49</v>
      </c>
      <c r="H425" s="13"/>
      <c r="I425" s="13" t="s">
        <v>54</v>
      </c>
      <c r="J425" s="13" t="s">
        <v>55</v>
      </c>
      <c r="K425" s="14"/>
      <c r="L425" s="19">
        <v>53.8</v>
      </c>
      <c r="M425" s="16" t="s">
        <v>41</v>
      </c>
      <c r="N425" s="14" t="s">
        <v>42</v>
      </c>
      <c r="O425" s="14" t="s">
        <v>578</v>
      </c>
      <c r="P425" s="12">
        <f>IF(Q425="", 0, 1)</f>
        <v>1</v>
      </c>
      <c r="Q425" s="12">
        <v>4907</v>
      </c>
      <c r="R425" s="17"/>
      <c r="S425" s="17"/>
      <c r="T425" s="17">
        <v>8</v>
      </c>
      <c r="U425" s="17"/>
      <c r="V425" s="17"/>
      <c r="W425" s="17"/>
      <c r="X425" s="17"/>
      <c r="Y425" s="17"/>
      <c r="Z425" s="17" t="str">
        <f>IF(T425="", "mean", "med")</f>
        <v>med</v>
      </c>
      <c r="AA425" s="17">
        <f>IF(T425="", R425, T425)</f>
        <v>8</v>
      </c>
      <c r="AB425" s="12">
        <f>IF(AC425="", 0, 1)</f>
        <v>0</v>
      </c>
      <c r="AC425" s="13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>
        <f>IF(AO425="", 0, 1)</f>
        <v>0</v>
      </c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 t="s">
        <v>52</v>
      </c>
      <c r="BA425" s="12" t="str">
        <f>IF(AZ425="high","high","lower")</f>
        <v>high</v>
      </c>
      <c r="BB425" s="49">
        <v>0.90700000000000003</v>
      </c>
      <c r="BC425" s="12">
        <v>84</v>
      </c>
      <c r="BD425" s="12">
        <v>88</v>
      </c>
      <c r="BE425" s="12">
        <v>100</v>
      </c>
      <c r="BF425" s="12">
        <v>84.2</v>
      </c>
      <c r="BG425" s="18" t="s">
        <v>1034</v>
      </c>
      <c r="BH425" s="18" t="s">
        <v>1031</v>
      </c>
    </row>
    <row r="426" spans="1:60" ht="15.75" customHeight="1" x14ac:dyDescent="0.2">
      <c r="A426" s="11">
        <v>425</v>
      </c>
      <c r="B426" s="12">
        <v>3728</v>
      </c>
      <c r="C426" s="13" t="s">
        <v>579</v>
      </c>
      <c r="D426" s="14" t="s">
        <v>38</v>
      </c>
      <c r="E426" s="23">
        <v>1994</v>
      </c>
      <c r="F426" s="23">
        <v>2005</v>
      </c>
      <c r="G426" s="13" t="s">
        <v>49</v>
      </c>
      <c r="H426" s="13"/>
      <c r="I426" s="13" t="s">
        <v>94</v>
      </c>
      <c r="J426" s="13" t="s">
        <v>299</v>
      </c>
      <c r="K426" s="13" t="s">
        <v>839</v>
      </c>
      <c r="L426" s="19" t="s">
        <v>41</v>
      </c>
      <c r="M426" s="20">
        <v>60</v>
      </c>
      <c r="N426" s="13" t="s">
        <v>42</v>
      </c>
      <c r="O426" s="44" t="s">
        <v>580</v>
      </c>
      <c r="P426" s="12">
        <f>IF(Q426="", 0, 1)</f>
        <v>1</v>
      </c>
      <c r="Q426" s="12">
        <v>1317</v>
      </c>
      <c r="R426" s="17">
        <v>7.2</v>
      </c>
      <c r="S426" s="17">
        <v>9.4</v>
      </c>
      <c r="T426" s="17">
        <v>4</v>
      </c>
      <c r="U426" s="17">
        <v>2</v>
      </c>
      <c r="V426" s="17">
        <v>8</v>
      </c>
      <c r="W426" s="17"/>
      <c r="X426" s="17">
        <v>1</v>
      </c>
      <c r="Y426" s="17">
        <v>78</v>
      </c>
      <c r="Z426" s="17" t="str">
        <f>IF(T426="", "mean", "med")</f>
        <v>med</v>
      </c>
      <c r="AA426" s="17">
        <f>IF(T426="", R426, T426)</f>
        <v>4</v>
      </c>
      <c r="AB426" s="12">
        <f>IF(AC426="", 0, 1)</f>
        <v>0</v>
      </c>
      <c r="AC426" s="13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>
        <f>IF(AO426="", 0, 1)</f>
        <v>0</v>
      </c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 t="s">
        <v>52</v>
      </c>
      <c r="BA426" s="12" t="str">
        <f>IF(AZ426="high","high","lower")</f>
        <v>high</v>
      </c>
      <c r="BB426" s="49">
        <v>0.88900000000000001</v>
      </c>
      <c r="BC426" s="12">
        <v>84</v>
      </c>
      <c r="BD426" s="12">
        <v>88</v>
      </c>
      <c r="BE426" s="12">
        <v>100</v>
      </c>
      <c r="BF426" s="12">
        <v>84.2</v>
      </c>
      <c r="BG426" s="18" t="s">
        <v>1030</v>
      </c>
      <c r="BH426" s="18" t="s">
        <v>1031</v>
      </c>
    </row>
    <row r="427" spans="1:60" ht="15.75" customHeight="1" x14ac:dyDescent="0.2">
      <c r="A427" s="11">
        <v>426</v>
      </c>
      <c r="B427" s="12">
        <v>3730</v>
      </c>
      <c r="C427" s="13" t="s">
        <v>581</v>
      </c>
      <c r="D427" s="13" t="s">
        <v>38</v>
      </c>
      <c r="E427" s="23">
        <v>2012</v>
      </c>
      <c r="F427" s="23">
        <v>2020</v>
      </c>
      <c r="G427" s="13" t="s">
        <v>74</v>
      </c>
      <c r="H427" s="13"/>
      <c r="I427" s="13" t="s">
        <v>59</v>
      </c>
      <c r="J427" s="13" t="s">
        <v>82</v>
      </c>
      <c r="K427" s="13"/>
      <c r="L427" s="19">
        <v>16</v>
      </c>
      <c r="M427" s="16">
        <v>71</v>
      </c>
      <c r="N427" s="13" t="s">
        <v>42</v>
      </c>
      <c r="O427" s="14"/>
      <c r="P427" s="12">
        <f>IF(Q427="", 0, 1)</f>
        <v>0</v>
      </c>
      <c r="Q427" s="22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2">
        <f>IF(AC427="", 0, 1)</f>
        <v>0</v>
      </c>
      <c r="AC427" s="13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>
        <f>IF(AO427="", 0, 1)</f>
        <v>1</v>
      </c>
      <c r="AO427" s="12">
        <v>131</v>
      </c>
      <c r="AP427" s="12"/>
      <c r="AQ427" s="12"/>
      <c r="AR427" s="12">
        <v>7</v>
      </c>
      <c r="AS427" s="12"/>
      <c r="AT427" s="12"/>
      <c r="AU427" s="12">
        <v>27</v>
      </c>
      <c r="AV427" s="12"/>
      <c r="AW427" s="12"/>
      <c r="AX427" s="12" t="str">
        <f>IF(AR427="", "mean", "med")</f>
        <v>med</v>
      </c>
      <c r="AY427" s="12">
        <f>IF(AR427="", AP427, AR427)</f>
        <v>7</v>
      </c>
      <c r="AZ427" s="49" t="s">
        <v>52</v>
      </c>
      <c r="BA427" s="49" t="str">
        <f>IF(AZ427="high","high","lower")</f>
        <v>high</v>
      </c>
      <c r="BB427" s="49">
        <v>0.93100000000000005</v>
      </c>
      <c r="BC427" s="49"/>
      <c r="BD427" s="49"/>
      <c r="BE427" s="49"/>
      <c r="BF427" s="49"/>
      <c r="BG427" s="18" t="s">
        <v>1030</v>
      </c>
      <c r="BH427" s="18" t="s">
        <v>1031</v>
      </c>
    </row>
    <row r="428" spans="1:60" ht="15.75" customHeight="1" x14ac:dyDescent="0.2">
      <c r="A428" s="11">
        <v>427</v>
      </c>
      <c r="B428" s="12">
        <v>3733</v>
      </c>
      <c r="C428" s="13" t="s">
        <v>582</v>
      </c>
      <c r="D428" s="14" t="s">
        <v>38</v>
      </c>
      <c r="E428" s="23">
        <v>2005</v>
      </c>
      <c r="F428" s="23">
        <v>2010</v>
      </c>
      <c r="G428" s="13" t="s">
        <v>583</v>
      </c>
      <c r="H428" s="13"/>
      <c r="I428" s="13" t="s">
        <v>40</v>
      </c>
      <c r="J428" s="13" t="s">
        <v>40</v>
      </c>
      <c r="K428" s="14"/>
      <c r="L428" s="19">
        <v>100</v>
      </c>
      <c r="M428" s="20">
        <v>59.9</v>
      </c>
      <c r="N428" s="13" t="s">
        <v>42</v>
      </c>
      <c r="O428" s="42" t="s">
        <v>41</v>
      </c>
      <c r="P428" s="12">
        <f>IF(Q428="", 0, 1)</f>
        <v>1</v>
      </c>
      <c r="Q428" s="52">
        <v>1264</v>
      </c>
      <c r="R428" s="17">
        <v>31.6</v>
      </c>
      <c r="S428" s="17"/>
      <c r="T428" s="17"/>
      <c r="U428" s="17"/>
      <c r="V428" s="17"/>
      <c r="W428" s="17"/>
      <c r="X428" s="17"/>
      <c r="Y428" s="17"/>
      <c r="Z428" s="17" t="str">
        <f>IF(T428="", "mean", "med")</f>
        <v>mean</v>
      </c>
      <c r="AA428" s="17">
        <f>IF(T428="", R428, T428)</f>
        <v>31.6</v>
      </c>
      <c r="AB428" s="12">
        <f>IF(AC428="", 0, 1)</f>
        <v>0</v>
      </c>
      <c r="AC428" s="13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>
        <f>IF(AO428="", 0, 1)</f>
        <v>0</v>
      </c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49" t="s">
        <v>52</v>
      </c>
      <c r="BA428" s="49" t="str">
        <f>IF(AZ428="high","high","lower")</f>
        <v>high</v>
      </c>
      <c r="BB428" s="49">
        <v>0.90100000000000002</v>
      </c>
      <c r="BC428" s="49"/>
      <c r="BD428" s="49"/>
      <c r="BE428" s="49"/>
      <c r="BF428" s="49"/>
      <c r="BG428" s="18" t="s">
        <v>1030</v>
      </c>
      <c r="BH428" s="18" t="s">
        <v>1031</v>
      </c>
    </row>
    <row r="429" spans="1:60" ht="15.75" customHeight="1" x14ac:dyDescent="0.2">
      <c r="A429" s="11">
        <v>428</v>
      </c>
      <c r="B429" s="12">
        <v>3742</v>
      </c>
      <c r="C429" s="13" t="s">
        <v>584</v>
      </c>
      <c r="D429" s="13" t="s">
        <v>38</v>
      </c>
      <c r="E429" s="23">
        <v>2009</v>
      </c>
      <c r="F429" s="23">
        <v>2015</v>
      </c>
      <c r="G429" s="13" t="s">
        <v>161</v>
      </c>
      <c r="H429" s="13"/>
      <c r="I429" s="13" t="s">
        <v>59</v>
      </c>
      <c r="J429" s="13" t="s">
        <v>60</v>
      </c>
      <c r="K429" s="13"/>
      <c r="L429" s="15">
        <v>0</v>
      </c>
      <c r="M429" s="16">
        <v>64</v>
      </c>
      <c r="N429" s="13" t="s">
        <v>42</v>
      </c>
      <c r="O429" s="13" t="s">
        <v>41</v>
      </c>
      <c r="P429" s="12">
        <f>IF(Q429="", 0, 1)</f>
        <v>1</v>
      </c>
      <c r="Q429" s="12">
        <v>1587</v>
      </c>
      <c r="R429" s="21"/>
      <c r="S429" s="21"/>
      <c r="T429" s="17">
        <v>77</v>
      </c>
      <c r="U429" s="17">
        <v>49</v>
      </c>
      <c r="V429" s="17">
        <v>110</v>
      </c>
      <c r="W429" s="17"/>
      <c r="X429" s="17"/>
      <c r="Y429" s="17"/>
      <c r="Z429" s="17" t="str">
        <f>IF(T429="", "mean", "med")</f>
        <v>med</v>
      </c>
      <c r="AA429" s="17">
        <f>IF(T429="", R429, T429)</f>
        <v>77</v>
      </c>
      <c r="AB429" s="12">
        <f>IF(AC429="", 0, 1)</f>
        <v>0</v>
      </c>
      <c r="AC429" s="13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>
        <f>IF(AO429="", 0, 1)</f>
        <v>0</v>
      </c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 t="s">
        <v>52</v>
      </c>
      <c r="BA429" s="12" t="str">
        <f>IF(AZ429="high","high","lower")</f>
        <v>high</v>
      </c>
      <c r="BB429" s="49">
        <v>0.93300000000000005</v>
      </c>
      <c r="BC429" s="12">
        <v>88.7</v>
      </c>
      <c r="BD429" s="12">
        <v>91.8</v>
      </c>
      <c r="BE429" s="12">
        <v>100</v>
      </c>
      <c r="BF429" s="12">
        <v>91.8</v>
      </c>
      <c r="BG429" s="18" t="s">
        <v>1030</v>
      </c>
      <c r="BH429" s="18" t="s">
        <v>1031</v>
      </c>
    </row>
    <row r="430" spans="1:60" ht="15.75" customHeight="1" x14ac:dyDescent="0.2">
      <c r="A430" s="11">
        <v>429</v>
      </c>
      <c r="B430" s="12">
        <v>3754</v>
      </c>
      <c r="C430" s="13" t="s">
        <v>585</v>
      </c>
      <c r="D430" s="13" t="s">
        <v>234</v>
      </c>
      <c r="E430" s="23">
        <v>1986</v>
      </c>
      <c r="F430" s="23">
        <v>1996</v>
      </c>
      <c r="G430" s="13" t="s">
        <v>74</v>
      </c>
      <c r="H430" s="13"/>
      <c r="I430" s="13" t="s">
        <v>79</v>
      </c>
      <c r="J430" s="13" t="s">
        <v>234</v>
      </c>
      <c r="K430" s="13"/>
      <c r="L430" s="15">
        <v>14</v>
      </c>
      <c r="M430" s="16">
        <v>64</v>
      </c>
      <c r="N430" s="13" t="s">
        <v>99</v>
      </c>
      <c r="O430" s="13"/>
      <c r="P430" s="12">
        <f>IF(Q430="", 0, 1)</f>
        <v>0</v>
      </c>
      <c r="Q430" s="12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2">
        <f>IF(AC430="", 0, 1)</f>
        <v>1</v>
      </c>
      <c r="AC430" s="13">
        <v>93</v>
      </c>
      <c r="AD430" s="12"/>
      <c r="AE430" s="12"/>
      <c r="AF430" s="12">
        <f>2.1*30</f>
        <v>63</v>
      </c>
      <c r="AG430" s="12"/>
      <c r="AH430" s="12"/>
      <c r="AI430" s="12"/>
      <c r="AJ430" s="12">
        <f>0.2*30</f>
        <v>6</v>
      </c>
      <c r="AK430" s="12">
        <f>75*30</f>
        <v>2250</v>
      </c>
      <c r="AL430" s="12" t="str">
        <f>IF(AF430="", "mean", "med")</f>
        <v>med</v>
      </c>
      <c r="AM430" s="12">
        <f>IF(AF430="", AD430, AF430)</f>
        <v>63</v>
      </c>
      <c r="AN430" s="12">
        <f>IF(AO430="", 0, 1)</f>
        <v>1</v>
      </c>
      <c r="AO430" s="12">
        <v>93</v>
      </c>
      <c r="AP430" s="12"/>
      <c r="AQ430" s="12"/>
      <c r="AR430" s="12">
        <v>60</v>
      </c>
      <c r="AS430" s="12"/>
      <c r="AT430" s="12"/>
      <c r="AU430" s="12"/>
      <c r="AV430" s="12">
        <v>0</v>
      </c>
      <c r="AW430" s="12">
        <f>61*30</f>
        <v>1830</v>
      </c>
      <c r="AX430" s="12" t="str">
        <f>IF(AR430="", "mean", "med")</f>
        <v>med</v>
      </c>
      <c r="AY430" s="12">
        <f>IF(AR430="", AP430, AR430)</f>
        <v>60</v>
      </c>
      <c r="AZ430" s="49" t="s">
        <v>43</v>
      </c>
      <c r="BA430" s="49" t="str">
        <f>IF(AZ430="high","high","lower")</f>
        <v>lower</v>
      </c>
      <c r="BB430" s="49">
        <v>0.80800000000000005</v>
      </c>
      <c r="BC430" s="49"/>
      <c r="BD430" s="49"/>
      <c r="BE430" s="49"/>
      <c r="BF430" s="49"/>
      <c r="BG430" s="18" t="s">
        <v>1030</v>
      </c>
      <c r="BH430" s="18" t="s">
        <v>1031</v>
      </c>
    </row>
    <row r="431" spans="1:60" ht="15.75" customHeight="1" x14ac:dyDescent="0.2">
      <c r="A431" s="11">
        <v>430</v>
      </c>
      <c r="B431" s="12">
        <v>3754</v>
      </c>
      <c r="C431" s="13" t="s">
        <v>585</v>
      </c>
      <c r="D431" s="14" t="s">
        <v>586</v>
      </c>
      <c r="E431" s="23">
        <v>1986</v>
      </c>
      <c r="F431" s="23">
        <v>1996</v>
      </c>
      <c r="G431" s="13" t="s">
        <v>74</v>
      </c>
      <c r="H431" s="13"/>
      <c r="I431" s="13" t="s">
        <v>79</v>
      </c>
      <c r="J431" s="31" t="s">
        <v>236</v>
      </c>
      <c r="K431" s="14" t="s">
        <v>587</v>
      </c>
      <c r="L431" s="19">
        <v>53</v>
      </c>
      <c r="M431" s="20">
        <v>61</v>
      </c>
      <c r="N431" s="13" t="s">
        <v>99</v>
      </c>
      <c r="O431" s="13"/>
      <c r="P431" s="12">
        <f>IF(Q431="", 0, 1)</f>
        <v>0</v>
      </c>
      <c r="Q431" s="12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2">
        <f>IF(AC431="", 0, 1)</f>
        <v>1</v>
      </c>
      <c r="AC431" s="13">
        <v>62</v>
      </c>
      <c r="AD431" s="12"/>
      <c r="AE431" s="12"/>
      <c r="AF431" s="12">
        <f>0.7*30</f>
        <v>21</v>
      </c>
      <c r="AG431" s="12"/>
      <c r="AH431" s="12"/>
      <c r="AI431" s="12"/>
      <c r="AJ431" s="12">
        <v>3</v>
      </c>
      <c r="AK431" s="12">
        <f>18*30</f>
        <v>540</v>
      </c>
      <c r="AL431" s="12" t="str">
        <f>IF(AF431="", "mean", "med")</f>
        <v>med</v>
      </c>
      <c r="AM431" s="12">
        <f>IF(AF431="", AD431, AF431)</f>
        <v>21</v>
      </c>
      <c r="AN431" s="12">
        <f>IF(AO431="", 0, 1)</f>
        <v>1</v>
      </c>
      <c r="AO431" s="22">
        <v>62</v>
      </c>
      <c r="AP431" s="12"/>
      <c r="AQ431" s="12"/>
      <c r="AR431" s="22">
        <f>1.4*30</f>
        <v>42</v>
      </c>
      <c r="AS431" s="12"/>
      <c r="AT431" s="12"/>
      <c r="AU431" s="12"/>
      <c r="AV431" s="12">
        <v>0</v>
      </c>
      <c r="AW431" s="12">
        <f>46*30</f>
        <v>1380</v>
      </c>
      <c r="AX431" s="12" t="str">
        <f>IF(AR431="", "mean", "med")</f>
        <v>med</v>
      </c>
      <c r="AY431" s="12">
        <f>IF(AR431="", AP431, AR431)</f>
        <v>42</v>
      </c>
      <c r="AZ431" s="49" t="s">
        <v>43</v>
      </c>
      <c r="BA431" s="49" t="str">
        <f>IF(AZ431="high","high","lower")</f>
        <v>lower</v>
      </c>
      <c r="BB431" s="49">
        <v>0.80800000000000005</v>
      </c>
      <c r="BC431" s="49"/>
      <c r="BD431" s="49"/>
      <c r="BE431" s="49"/>
      <c r="BF431" s="49"/>
      <c r="BG431" s="18" t="s">
        <v>1030</v>
      </c>
      <c r="BH431" s="18" t="s">
        <v>1031</v>
      </c>
    </row>
    <row r="432" spans="1:60" ht="15.75" customHeight="1" x14ac:dyDescent="0.2">
      <c r="A432" s="11">
        <v>431</v>
      </c>
      <c r="B432" s="12">
        <v>3754</v>
      </c>
      <c r="C432" s="13" t="s">
        <v>585</v>
      </c>
      <c r="D432" s="13" t="s">
        <v>588</v>
      </c>
      <c r="E432" s="23">
        <v>1986</v>
      </c>
      <c r="F432" s="23">
        <v>1996</v>
      </c>
      <c r="G432" s="13" t="s">
        <v>74</v>
      </c>
      <c r="H432" s="13"/>
      <c r="I432" s="13" t="s">
        <v>79</v>
      </c>
      <c r="J432" s="13" t="s">
        <v>588</v>
      </c>
      <c r="K432" s="13"/>
      <c r="L432" s="15">
        <v>29</v>
      </c>
      <c r="M432" s="16">
        <v>64</v>
      </c>
      <c r="N432" s="13" t="s">
        <v>99</v>
      </c>
      <c r="O432" s="13"/>
      <c r="P432" s="12">
        <f>IF(Q432="", 0, 1)</f>
        <v>0</v>
      </c>
      <c r="Q432" s="12"/>
      <c r="R432" s="21"/>
      <c r="S432" s="17"/>
      <c r="T432" s="17"/>
      <c r="U432" s="17"/>
      <c r="V432" s="17"/>
      <c r="W432" s="17"/>
      <c r="X432" s="17"/>
      <c r="Y432" s="17"/>
      <c r="Z432" s="17"/>
      <c r="AA432" s="17"/>
      <c r="AB432" s="12">
        <f>IF(AC432="", 0, 1)</f>
        <v>1</v>
      </c>
      <c r="AC432" s="13">
        <v>66</v>
      </c>
      <c r="AD432" s="12"/>
      <c r="AE432" s="12"/>
      <c r="AF432" s="12">
        <f>1.1*30</f>
        <v>33</v>
      </c>
      <c r="AG432" s="12"/>
      <c r="AH432" s="12"/>
      <c r="AI432" s="12"/>
      <c r="AJ432" s="12">
        <v>3</v>
      </c>
      <c r="AK432" s="12">
        <v>270</v>
      </c>
      <c r="AL432" s="12" t="str">
        <f>IF(AF432="", "mean", "med")</f>
        <v>med</v>
      </c>
      <c r="AM432" s="12">
        <f>IF(AF432="", AD432, AF432)</f>
        <v>33</v>
      </c>
      <c r="AN432" s="12">
        <f>IF(AO432="", 0, 1)</f>
        <v>1</v>
      </c>
      <c r="AO432" s="12">
        <v>66</v>
      </c>
      <c r="AP432" s="12"/>
      <c r="AQ432" s="12"/>
      <c r="AR432" s="12">
        <v>30</v>
      </c>
      <c r="AS432" s="12"/>
      <c r="AT432" s="12"/>
      <c r="AU432" s="12"/>
      <c r="AV432" s="12">
        <v>0</v>
      </c>
      <c r="AW432" s="12">
        <f>12*30</f>
        <v>360</v>
      </c>
      <c r="AX432" s="12" t="str">
        <f>IF(AR432="", "mean", "med")</f>
        <v>med</v>
      </c>
      <c r="AY432" s="12">
        <f>IF(AR432="", AP432, AR432)</f>
        <v>30</v>
      </c>
      <c r="AZ432" s="49" t="s">
        <v>43</v>
      </c>
      <c r="BA432" s="49" t="str">
        <f>IF(AZ432="high","high","lower")</f>
        <v>lower</v>
      </c>
      <c r="BB432" s="49">
        <v>0.80800000000000005</v>
      </c>
      <c r="BC432" s="49"/>
      <c r="BD432" s="49"/>
      <c r="BE432" s="49"/>
      <c r="BF432" s="49"/>
      <c r="BG432" s="18" t="s">
        <v>1030</v>
      </c>
      <c r="BH432" s="18" t="s">
        <v>1031</v>
      </c>
    </row>
    <row r="433" spans="1:60" ht="15.75" customHeight="1" x14ac:dyDescent="0.2">
      <c r="A433" s="11">
        <v>432</v>
      </c>
      <c r="B433" s="12">
        <v>3776</v>
      </c>
      <c r="C433" s="13" t="s">
        <v>589</v>
      </c>
      <c r="D433" s="13" t="s">
        <v>590</v>
      </c>
      <c r="E433" s="23">
        <v>2008</v>
      </c>
      <c r="F433" s="23">
        <v>2011</v>
      </c>
      <c r="G433" s="13" t="s">
        <v>504</v>
      </c>
      <c r="H433" s="13"/>
      <c r="I433" s="13" t="s">
        <v>54</v>
      </c>
      <c r="J433" s="13" t="s">
        <v>55</v>
      </c>
      <c r="K433" s="14"/>
      <c r="L433" s="15">
        <v>100</v>
      </c>
      <c r="M433" s="16" t="s">
        <v>41</v>
      </c>
      <c r="N433" s="13" t="s">
        <v>42</v>
      </c>
      <c r="O433" s="13"/>
      <c r="P433" s="12">
        <f>IF(Q433="", 0, 1)</f>
        <v>0</v>
      </c>
      <c r="Q433" s="22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2">
        <f>IF(AC433="", 0, 1)</f>
        <v>1</v>
      </c>
      <c r="AC433" s="13">
        <v>47</v>
      </c>
      <c r="AD433" s="12"/>
      <c r="AE433" s="12"/>
      <c r="AF433" s="12">
        <v>98</v>
      </c>
      <c r="AG433" s="12">
        <v>56</v>
      </c>
      <c r="AH433" s="12">
        <v>251</v>
      </c>
      <c r="AI433" s="12"/>
      <c r="AJ433" s="12">
        <v>0</v>
      </c>
      <c r="AK433" s="12">
        <v>752</v>
      </c>
      <c r="AL433" s="12" t="str">
        <f>IF(AF433="", "mean", "med")</f>
        <v>med</v>
      </c>
      <c r="AM433" s="12">
        <f>IF(AF433="", AD433, AF433)</f>
        <v>98</v>
      </c>
      <c r="AN433" s="12">
        <f>IF(AO433="", 0, 1)</f>
        <v>0</v>
      </c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49" t="s">
        <v>52</v>
      </c>
      <c r="BA433" s="49" t="str">
        <f>IF(AZ433="high","high","lower")</f>
        <v>high</v>
      </c>
      <c r="BB433" s="47"/>
      <c r="BC433" s="49"/>
      <c r="BD433" s="49"/>
      <c r="BE433" s="49"/>
      <c r="BF433" s="49"/>
      <c r="BG433" s="18" t="s">
        <v>1034</v>
      </c>
      <c r="BH433" s="18" t="s">
        <v>1031</v>
      </c>
    </row>
    <row r="434" spans="1:60" ht="15.75" customHeight="1" x14ac:dyDescent="0.2">
      <c r="A434" s="11">
        <v>433</v>
      </c>
      <c r="B434" s="12">
        <v>3776</v>
      </c>
      <c r="C434" s="13" t="s">
        <v>589</v>
      </c>
      <c r="D434" s="13" t="s">
        <v>591</v>
      </c>
      <c r="E434" s="23">
        <v>2008</v>
      </c>
      <c r="F434" s="23">
        <v>2011</v>
      </c>
      <c r="G434" s="13" t="s">
        <v>504</v>
      </c>
      <c r="H434" s="13"/>
      <c r="I434" s="13" t="s">
        <v>54</v>
      </c>
      <c r="J434" s="13" t="s">
        <v>55</v>
      </c>
      <c r="K434" s="14"/>
      <c r="L434" s="15">
        <v>0</v>
      </c>
      <c r="M434" s="16" t="s">
        <v>41</v>
      </c>
      <c r="N434" s="13" t="s">
        <v>42</v>
      </c>
      <c r="O434" s="13"/>
      <c r="P434" s="12">
        <f>IF(Q434="", 0, 1)</f>
        <v>0</v>
      </c>
      <c r="Q434" s="22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2">
        <f>IF(AC434="", 0, 1)</f>
        <v>1</v>
      </c>
      <c r="AC434" s="13">
        <v>60</v>
      </c>
      <c r="AD434" s="12"/>
      <c r="AE434" s="12"/>
      <c r="AF434" s="12">
        <v>80</v>
      </c>
      <c r="AG434" s="12">
        <v>32</v>
      </c>
      <c r="AH434" s="12">
        <v>179</v>
      </c>
      <c r="AI434" s="12"/>
      <c r="AJ434" s="12">
        <v>2</v>
      </c>
      <c r="AK434" s="12">
        <v>753</v>
      </c>
      <c r="AL434" s="12" t="str">
        <f>IF(AF434="", "mean", "med")</f>
        <v>med</v>
      </c>
      <c r="AM434" s="12">
        <f>IF(AF434="", AD434, AF434)</f>
        <v>80</v>
      </c>
      <c r="AN434" s="12">
        <f>IF(AO434="", 0, 1)</f>
        <v>0</v>
      </c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49" t="s">
        <v>52</v>
      </c>
      <c r="BA434" s="49" t="str">
        <f>IF(AZ434="high","high","lower")</f>
        <v>high</v>
      </c>
      <c r="BB434" s="47"/>
      <c r="BC434" s="49"/>
      <c r="BD434" s="49"/>
      <c r="BE434" s="49"/>
      <c r="BF434" s="49"/>
      <c r="BG434" s="18" t="s">
        <v>1034</v>
      </c>
      <c r="BH434" s="18" t="s">
        <v>1031</v>
      </c>
    </row>
    <row r="435" spans="1:60" ht="15.75" customHeight="1" x14ac:dyDescent="0.2">
      <c r="A435" s="11">
        <v>434</v>
      </c>
      <c r="B435" s="22">
        <v>3777</v>
      </c>
      <c r="C435" s="13" t="s">
        <v>592</v>
      </c>
      <c r="D435" s="13" t="s">
        <v>38</v>
      </c>
      <c r="E435" s="23">
        <v>2003</v>
      </c>
      <c r="F435" s="23">
        <v>2010</v>
      </c>
      <c r="G435" s="13" t="s">
        <v>49</v>
      </c>
      <c r="H435" s="13"/>
      <c r="I435" s="13" t="s">
        <v>59</v>
      </c>
      <c r="J435" s="13" t="s">
        <v>82</v>
      </c>
      <c r="K435" s="13"/>
      <c r="L435" s="53">
        <v>26</v>
      </c>
      <c r="M435" s="45">
        <v>67.599999999999994</v>
      </c>
      <c r="N435" s="13" t="s">
        <v>99</v>
      </c>
      <c r="O435" s="14" t="s">
        <v>332</v>
      </c>
      <c r="P435" s="12">
        <f>IF(Q435="", 0, 1)</f>
        <v>1</v>
      </c>
      <c r="Q435" s="12">
        <v>22251</v>
      </c>
      <c r="R435" s="17">
        <v>66.8</v>
      </c>
      <c r="S435" s="17"/>
      <c r="T435" s="17">
        <v>50.5</v>
      </c>
      <c r="U435" s="17"/>
      <c r="V435" s="17"/>
      <c r="W435" s="17"/>
      <c r="X435" s="17"/>
      <c r="Y435" s="17"/>
      <c r="Z435" s="17" t="str">
        <f>IF(T435="", "mean", "med")</f>
        <v>med</v>
      </c>
      <c r="AA435" s="17">
        <f>IF(T435="", R435, T435)</f>
        <v>50.5</v>
      </c>
      <c r="AB435" s="12">
        <f>IF(AC435="", 0, 1)</f>
        <v>0</v>
      </c>
      <c r="AC435" s="13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>
        <f>IF(AO435="", 0, 1)</f>
        <v>0</v>
      </c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 t="s">
        <v>52</v>
      </c>
      <c r="BA435" s="12" t="str">
        <f>IF(AZ435="high","high","lower")</f>
        <v>high</v>
      </c>
      <c r="BB435" s="49">
        <v>0.90500000000000003</v>
      </c>
      <c r="BC435" s="12">
        <v>84</v>
      </c>
      <c r="BD435" s="12">
        <v>88</v>
      </c>
      <c r="BE435" s="12">
        <v>100</v>
      </c>
      <c r="BF435" s="12">
        <v>84.2</v>
      </c>
      <c r="BG435" s="18" t="s">
        <v>1030</v>
      </c>
      <c r="BH435" s="18" t="s">
        <v>1031</v>
      </c>
    </row>
    <row r="436" spans="1:60" ht="15.75" customHeight="1" x14ac:dyDescent="0.2">
      <c r="A436" s="11">
        <v>435</v>
      </c>
      <c r="B436" s="12">
        <v>3792</v>
      </c>
      <c r="C436" s="13" t="s">
        <v>593</v>
      </c>
      <c r="D436" s="13" t="s">
        <v>40</v>
      </c>
      <c r="E436" s="23">
        <v>2004</v>
      </c>
      <c r="F436" s="23">
        <v>2005</v>
      </c>
      <c r="G436" s="13" t="s">
        <v>205</v>
      </c>
      <c r="H436" s="13"/>
      <c r="I436" s="13" t="s">
        <v>40</v>
      </c>
      <c r="J436" s="13" t="s">
        <v>40</v>
      </c>
      <c r="K436" s="13"/>
      <c r="L436" s="19">
        <f>294/295*100</f>
        <v>99.661016949152554</v>
      </c>
      <c r="M436" s="20">
        <v>60</v>
      </c>
      <c r="N436" s="13" t="s">
        <v>99</v>
      </c>
      <c r="O436" s="14"/>
      <c r="P436" s="12">
        <f>IF(Q436="", 0, 1)</f>
        <v>0</v>
      </c>
      <c r="Q436" s="22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2">
        <f>IF(AC436="", 0, 1)</f>
        <v>1</v>
      </c>
      <c r="AC436" s="13">
        <v>295</v>
      </c>
      <c r="AD436" s="12"/>
      <c r="AE436" s="12"/>
      <c r="AF436" s="12">
        <v>25</v>
      </c>
      <c r="AG436" s="12">
        <v>15</v>
      </c>
      <c r="AH436" s="12">
        <v>44</v>
      </c>
      <c r="AI436" s="12"/>
      <c r="AJ436" s="12"/>
      <c r="AK436" s="12"/>
      <c r="AL436" s="12" t="str">
        <f>IF(AF436="", "mean", "med")</f>
        <v>med</v>
      </c>
      <c r="AM436" s="12">
        <f>IF(AF436="", AD436, AF436)</f>
        <v>25</v>
      </c>
      <c r="AN436" s="12">
        <f>IF(AO436="", 0, 1)</f>
        <v>0</v>
      </c>
      <c r="AO436" s="12"/>
      <c r="AP436" s="12"/>
      <c r="AQ436" s="12"/>
      <c r="AR436" s="12"/>
      <c r="AS436" s="12"/>
      <c r="AT436" s="12"/>
      <c r="AU436" s="12"/>
      <c r="AV436" s="12"/>
      <c r="AW436" s="22"/>
      <c r="AX436" s="12"/>
      <c r="AY436" s="12"/>
      <c r="AZ436" s="49" t="s">
        <v>52</v>
      </c>
      <c r="BA436" s="49" t="str">
        <f>IF(AZ436="high","high","lower")</f>
        <v>high</v>
      </c>
      <c r="BB436" s="49">
        <v>0.90800000000000003</v>
      </c>
      <c r="BC436" s="49"/>
      <c r="BD436" s="49"/>
      <c r="BE436" s="49"/>
      <c r="BF436" s="49"/>
      <c r="BG436" s="18" t="s">
        <v>1030</v>
      </c>
      <c r="BH436" s="18" t="s">
        <v>1031</v>
      </c>
    </row>
    <row r="437" spans="1:60" ht="15.75" customHeight="1" x14ac:dyDescent="0.2">
      <c r="A437" s="11">
        <v>436</v>
      </c>
      <c r="B437" s="12">
        <v>3792</v>
      </c>
      <c r="C437" s="13" t="s">
        <v>593</v>
      </c>
      <c r="D437" s="13" t="s">
        <v>55</v>
      </c>
      <c r="E437" s="23">
        <v>2004</v>
      </c>
      <c r="F437" s="23">
        <v>2005</v>
      </c>
      <c r="G437" s="13" t="s">
        <v>205</v>
      </c>
      <c r="H437" s="13"/>
      <c r="I437" s="13" t="s">
        <v>54</v>
      </c>
      <c r="J437" s="13" t="s">
        <v>55</v>
      </c>
      <c r="K437" s="14"/>
      <c r="L437" s="15">
        <f>132/268*100</f>
        <v>49.253731343283583</v>
      </c>
      <c r="M437" s="20">
        <v>71</v>
      </c>
      <c r="N437" s="13" t="s">
        <v>99</v>
      </c>
      <c r="O437" s="13"/>
      <c r="P437" s="12">
        <f>IF(Q437="", 0, 1)</f>
        <v>0</v>
      </c>
      <c r="Q437" s="12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2">
        <f>IF(AC437="", 0, 1)</f>
        <v>1</v>
      </c>
      <c r="AC437" s="13">
        <v>268</v>
      </c>
      <c r="AD437" s="12"/>
      <c r="AE437" s="12"/>
      <c r="AF437" s="12">
        <v>44</v>
      </c>
      <c r="AG437" s="12">
        <v>23</v>
      </c>
      <c r="AH437" s="12">
        <v>77</v>
      </c>
      <c r="AI437" s="12"/>
      <c r="AJ437" s="12"/>
      <c r="AK437" s="12"/>
      <c r="AL437" s="12" t="str">
        <f>IF(AF437="", "mean", "med")</f>
        <v>med</v>
      </c>
      <c r="AM437" s="12">
        <f>IF(AF437="", AD437, AF437)</f>
        <v>44</v>
      </c>
      <c r="AN437" s="12">
        <f>IF(AO437="", 0, 1)</f>
        <v>0</v>
      </c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49" t="s">
        <v>52</v>
      </c>
      <c r="BA437" s="49" t="str">
        <f>IF(AZ437="high","high","lower")</f>
        <v>high</v>
      </c>
      <c r="BB437" s="49">
        <v>0.90800000000000003</v>
      </c>
      <c r="BC437" s="49"/>
      <c r="BD437" s="49"/>
      <c r="BE437" s="49"/>
      <c r="BF437" s="49"/>
      <c r="BG437" s="18" t="s">
        <v>1030</v>
      </c>
      <c r="BH437" s="18" t="s">
        <v>1031</v>
      </c>
    </row>
    <row r="438" spans="1:60" ht="15.75" customHeight="1" x14ac:dyDescent="0.2">
      <c r="A438" s="11">
        <v>437</v>
      </c>
      <c r="B438" s="22">
        <v>3792</v>
      </c>
      <c r="C438" s="13" t="s">
        <v>593</v>
      </c>
      <c r="D438" s="13" t="s">
        <v>58</v>
      </c>
      <c r="E438" s="23">
        <v>2004</v>
      </c>
      <c r="F438" s="23">
        <v>2005</v>
      </c>
      <c r="G438" s="13" t="s">
        <v>205</v>
      </c>
      <c r="H438" s="13"/>
      <c r="I438" s="13" t="s">
        <v>57</v>
      </c>
      <c r="J438" s="13" t="s">
        <v>58</v>
      </c>
      <c r="K438" s="14"/>
      <c r="L438" s="15">
        <f>130/262*100</f>
        <v>49.618320610687022</v>
      </c>
      <c r="M438" s="16">
        <v>68</v>
      </c>
      <c r="N438" s="13" t="s">
        <v>99</v>
      </c>
      <c r="O438" s="13"/>
      <c r="P438" s="12">
        <f>IF(Q438="", 0, 1)</f>
        <v>0</v>
      </c>
      <c r="Q438" s="12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2">
        <f>IF(AC438="", 0, 1)</f>
        <v>1</v>
      </c>
      <c r="AC438" s="14">
        <v>262</v>
      </c>
      <c r="AD438" s="12"/>
      <c r="AE438" s="12"/>
      <c r="AF438" s="12">
        <v>52</v>
      </c>
      <c r="AG438" s="12">
        <v>30</v>
      </c>
      <c r="AH438" s="12">
        <v>86</v>
      </c>
      <c r="AI438" s="12"/>
      <c r="AJ438" s="12"/>
      <c r="AK438" s="12"/>
      <c r="AL438" s="12" t="str">
        <f>IF(AF438="", "mean", "med")</f>
        <v>med</v>
      </c>
      <c r="AM438" s="12">
        <f>IF(AF438="", AD438, AF438)</f>
        <v>52</v>
      </c>
      <c r="AN438" s="12">
        <f>IF(AO438="", 0, 1)</f>
        <v>0</v>
      </c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49" t="s">
        <v>52</v>
      </c>
      <c r="BA438" s="49" t="str">
        <f>IF(AZ438="high","high","lower")</f>
        <v>high</v>
      </c>
      <c r="BB438" s="49">
        <v>0.90800000000000003</v>
      </c>
      <c r="BC438" s="49"/>
      <c r="BD438" s="49"/>
      <c r="BE438" s="49"/>
      <c r="BF438" s="49"/>
      <c r="BG438" s="18" t="s">
        <v>1030</v>
      </c>
      <c r="BH438" s="18" t="s">
        <v>1031</v>
      </c>
    </row>
    <row r="439" spans="1:60" ht="15.75" customHeight="1" x14ac:dyDescent="0.2">
      <c r="A439" s="11">
        <v>438</v>
      </c>
      <c r="B439" s="12">
        <v>3792</v>
      </c>
      <c r="C439" s="13" t="s">
        <v>593</v>
      </c>
      <c r="D439" s="13" t="s">
        <v>119</v>
      </c>
      <c r="E439" s="23">
        <v>2004</v>
      </c>
      <c r="F439" s="23">
        <v>2005</v>
      </c>
      <c r="G439" s="13" t="s">
        <v>205</v>
      </c>
      <c r="H439" s="13"/>
      <c r="I439" s="13" t="s">
        <v>70</v>
      </c>
      <c r="J439" s="13" t="s">
        <v>119</v>
      </c>
      <c r="K439" s="13"/>
      <c r="L439" s="15">
        <f>68/116*100</f>
        <v>58.620689655172406</v>
      </c>
      <c r="M439" s="16">
        <v>58</v>
      </c>
      <c r="N439" s="13" t="s">
        <v>99</v>
      </c>
      <c r="O439" s="13"/>
      <c r="P439" s="12">
        <f>IF(Q439="", 0, 1)</f>
        <v>0</v>
      </c>
      <c r="Q439" s="22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2">
        <f>IF(AC439="", 0, 1)</f>
        <v>1</v>
      </c>
      <c r="AC439" s="13">
        <v>116</v>
      </c>
      <c r="AD439" s="12"/>
      <c r="AE439" s="12"/>
      <c r="AF439" s="12">
        <v>30</v>
      </c>
      <c r="AG439" s="12">
        <v>17</v>
      </c>
      <c r="AH439" s="12">
        <v>60</v>
      </c>
      <c r="AI439" s="12"/>
      <c r="AJ439" s="12"/>
      <c r="AK439" s="12"/>
      <c r="AL439" s="12" t="str">
        <f>IF(AF439="", "mean", "med")</f>
        <v>med</v>
      </c>
      <c r="AM439" s="12">
        <f>IF(AF439="", AD439, AF439)</f>
        <v>30</v>
      </c>
      <c r="AN439" s="12">
        <f>IF(AO439="", 0, 1)</f>
        <v>0</v>
      </c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49" t="s">
        <v>52</v>
      </c>
      <c r="BA439" s="49" t="str">
        <f>IF(AZ439="high","high","lower")</f>
        <v>high</v>
      </c>
      <c r="BB439" s="49">
        <v>0.90800000000000003</v>
      </c>
      <c r="BC439" s="49"/>
      <c r="BD439" s="49"/>
      <c r="BE439" s="49"/>
      <c r="BF439" s="49"/>
      <c r="BG439" s="18" t="s">
        <v>1030</v>
      </c>
      <c r="BH439" s="18" t="s">
        <v>1031</v>
      </c>
    </row>
    <row r="440" spans="1:60" ht="15.75" customHeight="1" x14ac:dyDescent="0.2">
      <c r="A440" s="11">
        <v>439</v>
      </c>
      <c r="B440" s="12">
        <v>3792</v>
      </c>
      <c r="C440" s="13" t="s">
        <v>593</v>
      </c>
      <c r="D440" s="13" t="s">
        <v>60</v>
      </c>
      <c r="E440" s="23">
        <v>2004</v>
      </c>
      <c r="F440" s="23">
        <v>2005</v>
      </c>
      <c r="G440" s="13" t="s">
        <v>205</v>
      </c>
      <c r="H440" s="13"/>
      <c r="I440" s="13" t="s">
        <v>59</v>
      </c>
      <c r="J440" s="13" t="s">
        <v>60</v>
      </c>
      <c r="K440" s="13"/>
      <c r="L440" s="15">
        <v>0</v>
      </c>
      <c r="M440" s="16">
        <v>72</v>
      </c>
      <c r="N440" s="13" t="s">
        <v>99</v>
      </c>
      <c r="O440" s="13"/>
      <c r="P440" s="12">
        <f>IF(Q440="", 0, 1)</f>
        <v>0</v>
      </c>
      <c r="Q440" s="12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2">
        <f>IF(AC440="", 0, 1)</f>
        <v>1</v>
      </c>
      <c r="AC440" s="13">
        <v>187</v>
      </c>
      <c r="AD440" s="12"/>
      <c r="AE440" s="12"/>
      <c r="AF440" s="12">
        <v>101</v>
      </c>
      <c r="AG440" s="12">
        <v>66</v>
      </c>
      <c r="AH440" s="12">
        <v>177</v>
      </c>
      <c r="AI440" s="12"/>
      <c r="AJ440" s="12"/>
      <c r="AK440" s="12"/>
      <c r="AL440" s="12" t="str">
        <f>IF(AF440="", "mean", "med")</f>
        <v>med</v>
      </c>
      <c r="AM440" s="12">
        <f>IF(AF440="", AD440, AF440)</f>
        <v>101</v>
      </c>
      <c r="AN440" s="12">
        <f>IF(AO440="", 0, 1)</f>
        <v>0</v>
      </c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49" t="s">
        <v>52</v>
      </c>
      <c r="BA440" s="49" t="str">
        <f>IF(AZ440="high","high","lower")</f>
        <v>high</v>
      </c>
      <c r="BB440" s="49">
        <v>0.90800000000000003</v>
      </c>
      <c r="BC440" s="49"/>
      <c r="BD440" s="49"/>
      <c r="BE440" s="49"/>
      <c r="BF440" s="49"/>
      <c r="BG440" s="18" t="s">
        <v>1030</v>
      </c>
      <c r="BH440" s="18" t="s">
        <v>1031</v>
      </c>
    </row>
    <row r="441" spans="1:60" ht="15.75" customHeight="1" x14ac:dyDescent="0.2">
      <c r="A441" s="11">
        <v>440</v>
      </c>
      <c r="B441" s="22">
        <v>3800</v>
      </c>
      <c r="C441" s="13" t="s">
        <v>594</v>
      </c>
      <c r="D441" s="13" t="s">
        <v>38</v>
      </c>
      <c r="E441" s="23">
        <v>2009</v>
      </c>
      <c r="F441" s="23">
        <v>2014</v>
      </c>
      <c r="G441" s="13" t="s">
        <v>134</v>
      </c>
      <c r="H441" s="13"/>
      <c r="I441" s="13" t="s">
        <v>54</v>
      </c>
      <c r="J441" s="13" t="s">
        <v>55</v>
      </c>
      <c r="K441" s="14"/>
      <c r="L441" s="15">
        <f>100-54.9</f>
        <v>45.1</v>
      </c>
      <c r="M441" s="16">
        <v>69.8</v>
      </c>
      <c r="N441" s="13" t="s">
        <v>42</v>
      </c>
      <c r="O441" s="13" t="s">
        <v>90</v>
      </c>
      <c r="P441" s="12">
        <f>IF(Q441="", 0, 1)</f>
        <v>1</v>
      </c>
      <c r="Q441" s="12">
        <v>408</v>
      </c>
      <c r="R441" s="17">
        <v>56</v>
      </c>
      <c r="S441" s="17">
        <v>28</v>
      </c>
      <c r="T441" s="17">
        <v>53</v>
      </c>
      <c r="U441" s="17">
        <v>37</v>
      </c>
      <c r="V441" s="17">
        <v>70</v>
      </c>
      <c r="W441" s="17"/>
      <c r="X441" s="17"/>
      <c r="Y441" s="17"/>
      <c r="Z441" s="17" t="str">
        <f>IF(T441="", "mean", "med")</f>
        <v>med</v>
      </c>
      <c r="AA441" s="17">
        <f>IF(T441="", R441, T441)</f>
        <v>53</v>
      </c>
      <c r="AB441" s="12">
        <f>IF(AC441="", 0, 1)</f>
        <v>0</v>
      </c>
      <c r="AC441" s="13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>
        <f>IF(AO441="", 0, 1)</f>
        <v>0</v>
      </c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 t="s">
        <v>52</v>
      </c>
      <c r="BA441" s="12" t="str">
        <f>IF(AZ441="high","high","lower")</f>
        <v>high</v>
      </c>
      <c r="BB441" s="49">
        <v>0.90700000000000003</v>
      </c>
      <c r="BC441" s="12">
        <v>84.8</v>
      </c>
      <c r="BD441" s="12">
        <v>94</v>
      </c>
      <c r="BE441" s="12">
        <v>100</v>
      </c>
      <c r="BF441" s="12">
        <v>82.2</v>
      </c>
      <c r="BG441" s="18" t="s">
        <v>1030</v>
      </c>
      <c r="BH441" s="18" t="s">
        <v>1031</v>
      </c>
    </row>
    <row r="442" spans="1:60" ht="15.75" customHeight="1" x14ac:dyDescent="0.2">
      <c r="A442" s="11">
        <v>441</v>
      </c>
      <c r="B442" s="12">
        <v>3814</v>
      </c>
      <c r="C442" s="13" t="s">
        <v>595</v>
      </c>
      <c r="D442" s="13" t="s">
        <v>38</v>
      </c>
      <c r="E442" s="23">
        <v>2006</v>
      </c>
      <c r="F442" s="23">
        <v>2014</v>
      </c>
      <c r="G442" s="13" t="s">
        <v>49</v>
      </c>
      <c r="H442" s="13"/>
      <c r="I442" s="13" t="s">
        <v>79</v>
      </c>
      <c r="J442" s="13" t="s">
        <v>79</v>
      </c>
      <c r="K442" s="13"/>
      <c r="L442" s="15">
        <v>18.399999999999999</v>
      </c>
      <c r="M442" s="16">
        <v>57</v>
      </c>
      <c r="N442" s="13" t="s">
        <v>42</v>
      </c>
      <c r="O442" s="13" t="s">
        <v>90</v>
      </c>
      <c r="P442" s="12">
        <f>IF(Q442="", 0, 1)</f>
        <v>1</v>
      </c>
      <c r="Q442" s="12">
        <v>277</v>
      </c>
      <c r="R442" s="17"/>
      <c r="S442" s="17"/>
      <c r="T442" s="17">
        <v>33</v>
      </c>
      <c r="U442" s="17">
        <v>18</v>
      </c>
      <c r="V442" s="17">
        <v>50</v>
      </c>
      <c r="W442" s="17"/>
      <c r="X442" s="17"/>
      <c r="Y442" s="17"/>
      <c r="Z442" s="17" t="str">
        <f>IF(T442="", "mean", "med")</f>
        <v>med</v>
      </c>
      <c r="AA442" s="17">
        <f>IF(T442="", R442, T442)</f>
        <v>33</v>
      </c>
      <c r="AB442" s="12">
        <f>IF(AC442="", 0, 1)</f>
        <v>0</v>
      </c>
      <c r="AC442" s="13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>
        <f>IF(AO442="", 0, 1)</f>
        <v>0</v>
      </c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 t="s">
        <v>52</v>
      </c>
      <c r="BA442" s="12" t="str">
        <f>IF(AZ442="high","high","lower")</f>
        <v>high</v>
      </c>
      <c r="BB442" s="49">
        <v>0.91400000000000003</v>
      </c>
      <c r="BC442" s="12">
        <v>84</v>
      </c>
      <c r="BD442" s="12">
        <v>88</v>
      </c>
      <c r="BE442" s="12">
        <v>100</v>
      </c>
      <c r="BF442" s="12">
        <v>84.2</v>
      </c>
      <c r="BG442" s="18" t="s">
        <v>1030</v>
      </c>
      <c r="BH442" s="18" t="s">
        <v>1031</v>
      </c>
    </row>
    <row r="443" spans="1:60" ht="15.75" customHeight="1" x14ac:dyDescent="0.2">
      <c r="A443" s="11">
        <v>442</v>
      </c>
      <c r="B443" s="12">
        <v>3827</v>
      </c>
      <c r="C443" s="13" t="s">
        <v>596</v>
      </c>
      <c r="D443" s="13" t="s">
        <v>38</v>
      </c>
      <c r="E443" s="23">
        <v>2009</v>
      </c>
      <c r="F443" s="23">
        <v>2011</v>
      </c>
      <c r="G443" s="13" t="s">
        <v>39</v>
      </c>
      <c r="H443" s="13"/>
      <c r="I443" s="13" t="s">
        <v>40</v>
      </c>
      <c r="J443" s="13" t="s">
        <v>40</v>
      </c>
      <c r="K443" s="13"/>
      <c r="L443" s="15">
        <v>100</v>
      </c>
      <c r="M443" s="16">
        <v>50.9</v>
      </c>
      <c r="N443" s="13" t="s">
        <v>42</v>
      </c>
      <c r="O443" s="42" t="s">
        <v>597</v>
      </c>
      <c r="P443" s="12">
        <f>IF(Q443="", 0, 1)</f>
        <v>1</v>
      </c>
      <c r="Q443" s="12">
        <v>597</v>
      </c>
      <c r="R443" s="17"/>
      <c r="S443" s="17"/>
      <c r="T443" s="17">
        <v>30</v>
      </c>
      <c r="U443" s="17">
        <v>0</v>
      </c>
      <c r="V443" s="17">
        <v>30</v>
      </c>
      <c r="W443" s="17"/>
      <c r="X443" s="17"/>
      <c r="Y443" s="17"/>
      <c r="Z443" s="17" t="str">
        <f>IF(T443="", "mean", "med")</f>
        <v>med</v>
      </c>
      <c r="AA443" s="17">
        <f>IF(T443="", R443, T443)</f>
        <v>30</v>
      </c>
      <c r="AB443" s="12">
        <f>IF(AC443="", 0, 1)</f>
        <v>1</v>
      </c>
      <c r="AC443" s="13">
        <v>597</v>
      </c>
      <c r="AD443" s="12"/>
      <c r="AE443" s="12"/>
      <c r="AF443" s="12">
        <f>4*30</f>
        <v>120</v>
      </c>
      <c r="AG443" s="12">
        <v>60</v>
      </c>
      <c r="AH443" s="12">
        <v>240</v>
      </c>
      <c r="AI443" s="12"/>
      <c r="AJ443" s="12"/>
      <c r="AK443" s="12"/>
      <c r="AL443" s="12" t="str">
        <f>IF(AF443="", "mean", "med")</f>
        <v>med</v>
      </c>
      <c r="AM443" s="12">
        <f>IF(AF443="", AD443, AF443)</f>
        <v>120</v>
      </c>
      <c r="AN443" s="12">
        <f>IF(AO443="", 0, 1)</f>
        <v>1</v>
      </c>
      <c r="AO443" s="12">
        <v>597</v>
      </c>
      <c r="AP443" s="12"/>
      <c r="AQ443" s="12"/>
      <c r="AR443" s="12">
        <f>0.3*30</f>
        <v>9</v>
      </c>
      <c r="AS443" s="12">
        <f>0*30</f>
        <v>0</v>
      </c>
      <c r="AT443" s="12">
        <f>2*30</f>
        <v>60</v>
      </c>
      <c r="AU443" s="12"/>
      <c r="AV443" s="12"/>
      <c r="AW443" s="12"/>
      <c r="AX443" s="12" t="str">
        <f>IF(AR443="", "mean", "med")</f>
        <v>med</v>
      </c>
      <c r="AY443" s="12">
        <f>IF(AR443="", AP443, AR443)</f>
        <v>9</v>
      </c>
      <c r="AZ443" s="12" t="s">
        <v>43</v>
      </c>
      <c r="BA443" s="12" t="str">
        <f>IF(AZ443="high","high","lower")</f>
        <v>lower</v>
      </c>
      <c r="BB443" s="49">
        <v>0.75</v>
      </c>
      <c r="BC443" s="12">
        <v>63.1</v>
      </c>
      <c r="BD443" s="12">
        <v>73.2</v>
      </c>
      <c r="BE443" s="12">
        <v>62.5</v>
      </c>
      <c r="BF443" s="12">
        <v>61.9</v>
      </c>
      <c r="BG443" s="18" t="s">
        <v>1030</v>
      </c>
      <c r="BH443" s="18" t="s">
        <v>1031</v>
      </c>
    </row>
    <row r="444" spans="1:60" ht="15.75" customHeight="1" x14ac:dyDescent="0.2">
      <c r="A444" s="11">
        <v>443</v>
      </c>
      <c r="B444" s="51">
        <v>3841</v>
      </c>
      <c r="C444" s="13" t="s">
        <v>598</v>
      </c>
      <c r="D444" s="13" t="s">
        <v>38</v>
      </c>
      <c r="E444" s="23">
        <v>1980</v>
      </c>
      <c r="F444" s="23">
        <v>2010</v>
      </c>
      <c r="G444" s="13" t="s">
        <v>74</v>
      </c>
      <c r="H444" s="13"/>
      <c r="I444" s="13" t="s">
        <v>599</v>
      </c>
      <c r="J444" s="13" t="s">
        <v>600</v>
      </c>
      <c r="K444" s="13" t="s">
        <v>601</v>
      </c>
      <c r="L444" s="15">
        <f>55/79*100</f>
        <v>69.620253164556971</v>
      </c>
      <c r="M444" s="16">
        <v>52</v>
      </c>
      <c r="N444" s="13" t="s">
        <v>42</v>
      </c>
      <c r="O444" s="13"/>
      <c r="P444" s="12">
        <f>IF(Q444="", 0, 1)</f>
        <v>0</v>
      </c>
      <c r="Q444" s="12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2">
        <f>IF(AC444="", 0, 1)</f>
        <v>1</v>
      </c>
      <c r="AC444" s="13">
        <v>79</v>
      </c>
      <c r="AD444" s="12">
        <f>13*30</f>
        <v>390</v>
      </c>
      <c r="AE444" s="12"/>
      <c r="AF444" s="12"/>
      <c r="AG444" s="12"/>
      <c r="AH444" s="12"/>
      <c r="AI444" s="12"/>
      <c r="AJ444" s="12"/>
      <c r="AK444" s="12"/>
      <c r="AL444" s="12" t="str">
        <f>IF(AF444="", "mean", "med")</f>
        <v>mean</v>
      </c>
      <c r="AM444" s="12">
        <f>IF(AF444="", AD444, AF444)</f>
        <v>390</v>
      </c>
      <c r="AN444" s="12">
        <f>IF(AO444="", 0, 1)</f>
        <v>0</v>
      </c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49" t="s">
        <v>52</v>
      </c>
      <c r="BA444" s="49" t="str">
        <f>IF(AZ444="high","high","lower")</f>
        <v>high</v>
      </c>
      <c r="BB444" s="49">
        <v>0.86</v>
      </c>
      <c r="BC444" s="49"/>
      <c r="BD444" s="49"/>
      <c r="BE444" s="49"/>
      <c r="BF444" s="49"/>
      <c r="BG444" s="18" t="s">
        <v>1030</v>
      </c>
      <c r="BH444" s="18" t="s">
        <v>1031</v>
      </c>
    </row>
    <row r="445" spans="1:60" ht="15.75" customHeight="1" x14ac:dyDescent="0.2">
      <c r="A445" s="11">
        <v>444</v>
      </c>
      <c r="B445" s="12">
        <v>3848</v>
      </c>
      <c r="C445" s="13" t="s">
        <v>602</v>
      </c>
      <c r="D445" s="13" t="s">
        <v>603</v>
      </c>
      <c r="E445" s="23">
        <v>2014</v>
      </c>
      <c r="F445" s="23">
        <v>2016</v>
      </c>
      <c r="G445" s="13" t="s">
        <v>49</v>
      </c>
      <c r="H445" s="13"/>
      <c r="I445" s="13" t="s">
        <v>79</v>
      </c>
      <c r="J445" s="13" t="s">
        <v>79</v>
      </c>
      <c r="K445" s="13" t="s">
        <v>604</v>
      </c>
      <c r="L445" s="19">
        <v>14.3</v>
      </c>
      <c r="M445" s="20" t="s">
        <v>41</v>
      </c>
      <c r="N445" s="13" t="s">
        <v>42</v>
      </c>
      <c r="O445" s="14" t="s">
        <v>605</v>
      </c>
      <c r="P445" s="12">
        <f>IF(Q445="", 0, 1)</f>
        <v>1</v>
      </c>
      <c r="Q445" s="12">
        <v>56</v>
      </c>
      <c r="R445" s="17">
        <v>58</v>
      </c>
      <c r="S445" s="17"/>
      <c r="T445" s="17"/>
      <c r="U445" s="17"/>
      <c r="V445" s="17"/>
      <c r="W445" s="17"/>
      <c r="X445" s="17"/>
      <c r="Y445" s="17"/>
      <c r="Z445" s="17" t="str">
        <f>IF(T445="", "mean", "med")</f>
        <v>mean</v>
      </c>
      <c r="AA445" s="17">
        <f>IF(T445="", R445, T445)</f>
        <v>58</v>
      </c>
      <c r="AB445" s="12">
        <f>IF(AC445="", 0, 1)</f>
        <v>0</v>
      </c>
      <c r="AC445" s="13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>
        <f>IF(AO445="", 0, 1)</f>
        <v>0</v>
      </c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 t="s">
        <v>52</v>
      </c>
      <c r="BA445" s="12" t="str">
        <f>IF(AZ445="high","high","lower")</f>
        <v>high</v>
      </c>
      <c r="BB445" s="49">
        <v>0.92100000000000004</v>
      </c>
      <c r="BC445" s="12">
        <v>84</v>
      </c>
      <c r="BD445" s="12">
        <v>88</v>
      </c>
      <c r="BE445" s="12">
        <v>100</v>
      </c>
      <c r="BF445" s="12">
        <v>84.2</v>
      </c>
      <c r="BG445" s="18" t="s">
        <v>1030</v>
      </c>
      <c r="BH445" s="18" t="s">
        <v>1031</v>
      </c>
    </row>
    <row r="446" spans="1:60" ht="15.75" customHeight="1" x14ac:dyDescent="0.2">
      <c r="A446" s="11">
        <v>445</v>
      </c>
      <c r="B446" s="22">
        <v>3848</v>
      </c>
      <c r="C446" s="13" t="s">
        <v>602</v>
      </c>
      <c r="D446" s="13" t="s">
        <v>606</v>
      </c>
      <c r="E446" s="23">
        <v>2014</v>
      </c>
      <c r="F446" s="23">
        <v>2016</v>
      </c>
      <c r="G446" s="13" t="s">
        <v>49</v>
      </c>
      <c r="H446" s="13"/>
      <c r="I446" s="13" t="s">
        <v>79</v>
      </c>
      <c r="J446" s="13" t="s">
        <v>79</v>
      </c>
      <c r="K446" s="13" t="s">
        <v>604</v>
      </c>
      <c r="L446" s="19">
        <v>18.600000000000001</v>
      </c>
      <c r="M446" s="16" t="s">
        <v>41</v>
      </c>
      <c r="N446" s="13" t="s">
        <v>42</v>
      </c>
      <c r="O446" s="14" t="s">
        <v>605</v>
      </c>
      <c r="P446" s="12">
        <f>IF(Q446="", 0, 1)</f>
        <v>1</v>
      </c>
      <c r="Q446" s="12">
        <v>183</v>
      </c>
      <c r="R446" s="17">
        <v>44</v>
      </c>
      <c r="S446" s="17"/>
      <c r="T446" s="17"/>
      <c r="U446" s="17"/>
      <c r="V446" s="17"/>
      <c r="W446" s="17"/>
      <c r="X446" s="17"/>
      <c r="Y446" s="17"/>
      <c r="Z446" s="17" t="str">
        <f>IF(T446="", "mean", "med")</f>
        <v>mean</v>
      </c>
      <c r="AA446" s="17">
        <f>IF(T446="", R446, T446)</f>
        <v>44</v>
      </c>
      <c r="AB446" s="12">
        <f>IF(AC446="", 0, 1)</f>
        <v>0</v>
      </c>
      <c r="AC446" s="13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>
        <f>IF(AO446="", 0, 1)</f>
        <v>0</v>
      </c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 t="s">
        <v>52</v>
      </c>
      <c r="BA446" s="12" t="str">
        <f>IF(AZ446="high","high","lower")</f>
        <v>high</v>
      </c>
      <c r="BB446" s="49">
        <v>0.92100000000000004</v>
      </c>
      <c r="BC446" s="12">
        <v>84</v>
      </c>
      <c r="BD446" s="12">
        <v>88</v>
      </c>
      <c r="BE446" s="12">
        <v>100</v>
      </c>
      <c r="BF446" s="12">
        <v>84.2</v>
      </c>
      <c r="BG446" s="18" t="s">
        <v>1030</v>
      </c>
      <c r="BH446" s="18" t="s">
        <v>1031</v>
      </c>
    </row>
    <row r="447" spans="1:60" ht="15.75" customHeight="1" x14ac:dyDescent="0.2">
      <c r="A447" s="11">
        <v>446</v>
      </c>
      <c r="B447" s="12">
        <v>3868</v>
      </c>
      <c r="C447" s="13" t="s">
        <v>607</v>
      </c>
      <c r="D447" s="13" t="s">
        <v>38</v>
      </c>
      <c r="E447" s="23">
        <v>2006</v>
      </c>
      <c r="F447" s="23">
        <v>2006</v>
      </c>
      <c r="G447" s="13" t="s">
        <v>608</v>
      </c>
      <c r="H447" s="13"/>
      <c r="I447" s="13" t="s">
        <v>40</v>
      </c>
      <c r="J447" s="13" t="s">
        <v>40</v>
      </c>
      <c r="K447" s="13"/>
      <c r="L447" s="19">
        <v>100</v>
      </c>
      <c r="M447" s="16">
        <v>53.1</v>
      </c>
      <c r="N447" s="13" t="s">
        <v>42</v>
      </c>
      <c r="O447" s="14"/>
      <c r="P447" s="12">
        <f>IF(Q447="", 0, 1)</f>
        <v>0</v>
      </c>
      <c r="Q447" s="12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2">
        <f>IF(AC447="", 0, 1)</f>
        <v>1</v>
      </c>
      <c r="AC447" s="13">
        <v>852</v>
      </c>
      <c r="AD447" s="12"/>
      <c r="AE447" s="12"/>
      <c r="AF447" s="12">
        <v>91</v>
      </c>
      <c r="AG447" s="12"/>
      <c r="AH447" s="12"/>
      <c r="AI447" s="12"/>
      <c r="AJ447" s="12">
        <v>0.2</v>
      </c>
      <c r="AK447" s="12">
        <v>2138</v>
      </c>
      <c r="AL447" s="12" t="str">
        <f>IF(AF447="", "mean", "med")</f>
        <v>med</v>
      </c>
      <c r="AM447" s="12">
        <f>IF(AF447="", AD447, AF447)</f>
        <v>91</v>
      </c>
      <c r="AN447" s="12">
        <f>IF(AO447="", 0, 1)</f>
        <v>0</v>
      </c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 t="s">
        <v>46</v>
      </c>
      <c r="BA447" s="12" t="str">
        <f>IF(AZ447="high","high","lower")</f>
        <v>lower</v>
      </c>
      <c r="BB447" s="49">
        <v>0.69799999999999995</v>
      </c>
      <c r="BC447" s="12">
        <v>83.6</v>
      </c>
      <c r="BD447" s="12">
        <v>79.8</v>
      </c>
      <c r="BE447" s="12">
        <v>92.1</v>
      </c>
      <c r="BF447" s="12">
        <v>91.7</v>
      </c>
      <c r="BG447" s="18" t="s">
        <v>1030</v>
      </c>
      <c r="BH447" s="18" t="s">
        <v>1031</v>
      </c>
    </row>
    <row r="448" spans="1:60" ht="15.75" customHeight="1" x14ac:dyDescent="0.2">
      <c r="A448" s="11">
        <v>447</v>
      </c>
      <c r="B448" s="12">
        <v>3883</v>
      </c>
      <c r="C448" s="13" t="s">
        <v>610</v>
      </c>
      <c r="D448" s="13" t="s">
        <v>611</v>
      </c>
      <c r="E448" s="23">
        <v>2003</v>
      </c>
      <c r="F448" s="23">
        <v>2009</v>
      </c>
      <c r="G448" s="13" t="s">
        <v>249</v>
      </c>
      <c r="H448" s="13"/>
      <c r="I448" s="13" t="s">
        <v>79</v>
      </c>
      <c r="J448" s="13" t="s">
        <v>559</v>
      </c>
      <c r="K448" s="13"/>
      <c r="L448" s="53" t="s">
        <v>41</v>
      </c>
      <c r="M448" s="20" t="s">
        <v>41</v>
      </c>
      <c r="N448" s="13" t="s">
        <v>99</v>
      </c>
      <c r="O448" s="44" t="s">
        <v>612</v>
      </c>
      <c r="P448" s="12">
        <f>IF(Q448="", 0, 1)</f>
        <v>1</v>
      </c>
      <c r="Q448" s="12">
        <v>212</v>
      </c>
      <c r="R448" s="17"/>
      <c r="S448" s="17"/>
      <c r="T448" s="17">
        <v>32</v>
      </c>
      <c r="U448" s="17"/>
      <c r="V448" s="17"/>
      <c r="W448" s="17"/>
      <c r="X448" s="21"/>
      <c r="Y448" s="21"/>
      <c r="Z448" s="17" t="str">
        <f>IF(T448="", "mean", "med")</f>
        <v>med</v>
      </c>
      <c r="AA448" s="17">
        <f>IF(T448="", R448, T448)</f>
        <v>32</v>
      </c>
      <c r="AB448" s="12">
        <f>IF(AC448="", 0, 1)</f>
        <v>0</v>
      </c>
      <c r="AC448" s="13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>
        <f>IF(AO448="", 0, 1)</f>
        <v>0</v>
      </c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 t="s">
        <v>52</v>
      </c>
      <c r="BA448" s="12" t="str">
        <f>IF(AZ448="high","high","lower")</f>
        <v>high</v>
      </c>
      <c r="BB448" s="49">
        <v>0.86799999999999999</v>
      </c>
      <c r="BC448" s="12">
        <v>79.900000000000006</v>
      </c>
      <c r="BD448" s="12">
        <v>85.9</v>
      </c>
      <c r="BE448" s="12">
        <v>70.8</v>
      </c>
      <c r="BF448" s="12">
        <v>84.7</v>
      </c>
      <c r="BG448" s="18" t="s">
        <v>1030</v>
      </c>
      <c r="BH448" s="18" t="s">
        <v>1031</v>
      </c>
    </row>
    <row r="449" spans="1:60" ht="15.75" customHeight="1" x14ac:dyDescent="0.2">
      <c r="A449" s="11">
        <v>448</v>
      </c>
      <c r="B449" s="12">
        <v>3883</v>
      </c>
      <c r="C449" s="13" t="s">
        <v>610</v>
      </c>
      <c r="D449" s="13" t="s">
        <v>233</v>
      </c>
      <c r="E449" s="23">
        <v>2003</v>
      </c>
      <c r="F449" s="23">
        <v>2009</v>
      </c>
      <c r="G449" s="13" t="s">
        <v>249</v>
      </c>
      <c r="H449" s="13"/>
      <c r="I449" s="13" t="s">
        <v>79</v>
      </c>
      <c r="J449" s="13" t="s">
        <v>234</v>
      </c>
      <c r="K449" s="13"/>
      <c r="L449" s="53" t="s">
        <v>41</v>
      </c>
      <c r="M449" s="16" t="s">
        <v>41</v>
      </c>
      <c r="N449" s="13" t="s">
        <v>99</v>
      </c>
      <c r="O449" s="44" t="s">
        <v>612</v>
      </c>
      <c r="P449" s="12">
        <f>IF(Q449="", 0, 1)</f>
        <v>1</v>
      </c>
      <c r="Q449" s="12">
        <v>596</v>
      </c>
      <c r="R449" s="17"/>
      <c r="S449" s="17"/>
      <c r="T449" s="17">
        <v>22</v>
      </c>
      <c r="U449" s="17"/>
      <c r="V449" s="17"/>
      <c r="W449" s="17"/>
      <c r="X449" s="17"/>
      <c r="Y449" s="17"/>
      <c r="Z449" s="17" t="str">
        <f>IF(T449="", "mean", "med")</f>
        <v>med</v>
      </c>
      <c r="AA449" s="17">
        <f>IF(T449="", R449, T449)</f>
        <v>22</v>
      </c>
      <c r="AB449" s="12">
        <f>IF(AC449="", 0, 1)</f>
        <v>0</v>
      </c>
      <c r="AC449" s="13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>
        <f>IF(AO449="", 0, 1)</f>
        <v>0</v>
      </c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 t="s">
        <v>52</v>
      </c>
      <c r="BA449" s="12" t="str">
        <f>IF(AZ449="high","high","lower")</f>
        <v>high</v>
      </c>
      <c r="BB449" s="49">
        <v>0.86799999999999999</v>
      </c>
      <c r="BC449" s="12">
        <v>79.900000000000006</v>
      </c>
      <c r="BD449" s="12">
        <v>85.9</v>
      </c>
      <c r="BE449" s="12">
        <v>70.8</v>
      </c>
      <c r="BF449" s="12">
        <v>84.7</v>
      </c>
      <c r="BG449" s="18" t="s">
        <v>1030</v>
      </c>
      <c r="BH449" s="18" t="s">
        <v>1031</v>
      </c>
    </row>
    <row r="450" spans="1:60" ht="15.75" customHeight="1" x14ac:dyDescent="0.2">
      <c r="A450" s="11">
        <v>449</v>
      </c>
      <c r="B450" s="12">
        <v>3883</v>
      </c>
      <c r="C450" s="13" t="s">
        <v>610</v>
      </c>
      <c r="D450" s="14" t="s">
        <v>613</v>
      </c>
      <c r="E450" s="23">
        <v>2003</v>
      </c>
      <c r="F450" s="23">
        <v>2009</v>
      </c>
      <c r="G450" s="13" t="s">
        <v>249</v>
      </c>
      <c r="H450" s="13"/>
      <c r="I450" s="13" t="s">
        <v>79</v>
      </c>
      <c r="J450" s="31" t="s">
        <v>236</v>
      </c>
      <c r="K450" s="14"/>
      <c r="L450" s="53" t="s">
        <v>41</v>
      </c>
      <c r="M450" s="20" t="s">
        <v>41</v>
      </c>
      <c r="N450" s="13" t="s">
        <v>99</v>
      </c>
      <c r="O450" s="44" t="s">
        <v>612</v>
      </c>
      <c r="P450" s="12">
        <f>IF(Q450="", 0, 1)</f>
        <v>1</v>
      </c>
      <c r="Q450" s="12">
        <v>462</v>
      </c>
      <c r="R450" s="17"/>
      <c r="S450" s="17"/>
      <c r="T450" s="17">
        <v>28</v>
      </c>
      <c r="U450" s="17"/>
      <c r="V450" s="17"/>
      <c r="W450" s="17"/>
      <c r="X450" s="17"/>
      <c r="Y450" s="17"/>
      <c r="Z450" s="17" t="str">
        <f>IF(T450="", "mean", "med")</f>
        <v>med</v>
      </c>
      <c r="AA450" s="17">
        <f>IF(T450="", R450, T450)</f>
        <v>28</v>
      </c>
      <c r="AB450" s="12">
        <f>IF(AC450="", 0, 1)</f>
        <v>0</v>
      </c>
      <c r="AC450" s="13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>
        <f>IF(AO450="", 0, 1)</f>
        <v>0</v>
      </c>
      <c r="AO450" s="22"/>
      <c r="AP450" s="12"/>
      <c r="AQ450" s="12"/>
      <c r="AR450" s="22"/>
      <c r="AS450" s="12"/>
      <c r="AT450" s="12"/>
      <c r="AU450" s="12"/>
      <c r="AV450" s="12"/>
      <c r="AW450" s="12"/>
      <c r="AX450" s="12"/>
      <c r="AY450" s="12"/>
      <c r="AZ450" s="12" t="s">
        <v>52</v>
      </c>
      <c r="BA450" s="12" t="str">
        <f>IF(AZ450="high","high","lower")</f>
        <v>high</v>
      </c>
      <c r="BB450" s="49">
        <v>0.86799999999999999</v>
      </c>
      <c r="BC450" s="12">
        <v>79.900000000000006</v>
      </c>
      <c r="BD450" s="12">
        <v>85.9</v>
      </c>
      <c r="BE450" s="12">
        <v>70.8</v>
      </c>
      <c r="BF450" s="12">
        <v>84.7</v>
      </c>
      <c r="BG450" s="18" t="s">
        <v>1030</v>
      </c>
      <c r="BH450" s="18" t="s">
        <v>1031</v>
      </c>
    </row>
    <row r="451" spans="1:60" ht="15.75" customHeight="1" x14ac:dyDescent="0.2">
      <c r="A451" s="11">
        <v>450</v>
      </c>
      <c r="B451" s="22">
        <v>3883</v>
      </c>
      <c r="C451" s="13" t="s">
        <v>610</v>
      </c>
      <c r="D451" s="14" t="s">
        <v>237</v>
      </c>
      <c r="E451" s="23">
        <v>2003</v>
      </c>
      <c r="F451" s="23">
        <v>2009</v>
      </c>
      <c r="G451" s="13" t="s">
        <v>249</v>
      </c>
      <c r="H451" s="13"/>
      <c r="I451" s="13" t="s">
        <v>79</v>
      </c>
      <c r="J451" s="13" t="s">
        <v>238</v>
      </c>
      <c r="K451" s="14"/>
      <c r="L451" s="53" t="s">
        <v>41</v>
      </c>
      <c r="M451" s="20" t="s">
        <v>41</v>
      </c>
      <c r="N451" s="13" t="s">
        <v>99</v>
      </c>
      <c r="O451" s="44" t="s">
        <v>612</v>
      </c>
      <c r="P451" s="12">
        <f>IF(Q451="", 0, 1)</f>
        <v>1</v>
      </c>
      <c r="Q451" s="12">
        <v>346</v>
      </c>
      <c r="R451" s="17"/>
      <c r="S451" s="17"/>
      <c r="T451" s="17">
        <v>33</v>
      </c>
      <c r="U451" s="17"/>
      <c r="V451" s="17"/>
      <c r="W451" s="17"/>
      <c r="X451" s="17"/>
      <c r="Y451" s="17"/>
      <c r="Z451" s="17" t="str">
        <f>IF(T451="", "mean", "med")</f>
        <v>med</v>
      </c>
      <c r="AA451" s="17">
        <f>IF(T451="", R451, T451)</f>
        <v>33</v>
      </c>
      <c r="AB451" s="12">
        <f>IF(AC451="", 0, 1)</f>
        <v>0</v>
      </c>
      <c r="AC451" s="13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>
        <f>IF(AO451="", 0, 1)</f>
        <v>0</v>
      </c>
      <c r="AO451" s="22"/>
      <c r="AP451" s="12"/>
      <c r="AQ451" s="12"/>
      <c r="AR451" s="22"/>
      <c r="AS451" s="12"/>
      <c r="AT451" s="12"/>
      <c r="AU451" s="12"/>
      <c r="AV451" s="12"/>
      <c r="AW451" s="12"/>
      <c r="AX451" s="12"/>
      <c r="AY451" s="12"/>
      <c r="AZ451" s="12" t="s">
        <v>52</v>
      </c>
      <c r="BA451" s="12" t="str">
        <f>IF(AZ451="high","high","lower")</f>
        <v>high</v>
      </c>
      <c r="BB451" s="49">
        <v>0.86799999999999999</v>
      </c>
      <c r="BC451" s="12">
        <v>79.900000000000006</v>
      </c>
      <c r="BD451" s="12">
        <v>85.9</v>
      </c>
      <c r="BE451" s="12">
        <v>70.8</v>
      </c>
      <c r="BF451" s="12">
        <v>84.7</v>
      </c>
      <c r="BG451" s="18" t="s">
        <v>1030</v>
      </c>
      <c r="BH451" s="18" t="s">
        <v>1031</v>
      </c>
    </row>
    <row r="452" spans="1:60" ht="15.75" customHeight="1" x14ac:dyDescent="0.2">
      <c r="A452" s="11">
        <v>451</v>
      </c>
      <c r="B452" s="12">
        <v>3890</v>
      </c>
      <c r="C452" s="13" t="s">
        <v>614</v>
      </c>
      <c r="D452" s="13" t="s">
        <v>38</v>
      </c>
      <c r="E452" s="23">
        <v>2009</v>
      </c>
      <c r="F452" s="23">
        <v>2009</v>
      </c>
      <c r="G452" s="13" t="s">
        <v>615</v>
      </c>
      <c r="H452" s="13"/>
      <c r="I452" s="13" t="s">
        <v>40</v>
      </c>
      <c r="J452" s="13" t="s">
        <v>40</v>
      </c>
      <c r="K452" s="13"/>
      <c r="L452" s="19">
        <v>100</v>
      </c>
      <c r="M452" s="16">
        <v>50</v>
      </c>
      <c r="N452" s="13" t="s">
        <v>42</v>
      </c>
      <c r="O452" s="14"/>
      <c r="P452" s="12">
        <f>IF(Q452="", 0, 1)</f>
        <v>0</v>
      </c>
      <c r="Q452" s="22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2">
        <f>IF(AC452="", 0, 1)</f>
        <v>1</v>
      </c>
      <c r="AC452" s="13">
        <v>180</v>
      </c>
      <c r="AD452" s="12"/>
      <c r="AE452" s="12"/>
      <c r="AF452" s="12">
        <v>21</v>
      </c>
      <c r="AG452" s="12"/>
      <c r="AH452" s="12"/>
      <c r="AI452" s="12"/>
      <c r="AJ452" s="12"/>
      <c r="AK452" s="12"/>
      <c r="AL452" s="12" t="str">
        <f>IF(AF452="", "mean", "med")</f>
        <v>med</v>
      </c>
      <c r="AM452" s="12">
        <f>IF(AF452="", AD452, AF452)</f>
        <v>21</v>
      </c>
      <c r="AN452" s="12">
        <f>IF(AO452="", 0, 1)</f>
        <v>1</v>
      </c>
      <c r="AO452" s="12">
        <v>180</v>
      </c>
      <c r="AP452" s="12"/>
      <c r="AQ452" s="12"/>
      <c r="AR452" s="12">
        <v>12</v>
      </c>
      <c r="AS452" s="12"/>
      <c r="AT452" s="12"/>
      <c r="AU452" s="12"/>
      <c r="AV452" s="12"/>
      <c r="AW452" s="12"/>
      <c r="AX452" s="12" t="str">
        <f>IF(AR452="", "mean", "med")</f>
        <v>med</v>
      </c>
      <c r="AY452" s="12">
        <f>IF(AR452="", AP452, AR452)</f>
        <v>12</v>
      </c>
      <c r="AZ452" s="49" t="s">
        <v>43</v>
      </c>
      <c r="BA452" s="49" t="str">
        <f>IF(AZ452="high","high","lower")</f>
        <v>lower</v>
      </c>
      <c r="BB452" s="49">
        <v>0.72199999999999998</v>
      </c>
      <c r="BC452" s="49"/>
      <c r="BD452" s="49"/>
      <c r="BE452" s="49"/>
      <c r="BF452" s="49"/>
      <c r="BG452" s="18" t="s">
        <v>1030</v>
      </c>
      <c r="BH452" s="18" t="s">
        <v>1031</v>
      </c>
    </row>
    <row r="453" spans="1:60" ht="15.75" customHeight="1" x14ac:dyDescent="0.2">
      <c r="A453" s="11">
        <v>452</v>
      </c>
      <c r="B453" s="12">
        <v>3894</v>
      </c>
      <c r="C453" s="13" t="s">
        <v>616</v>
      </c>
      <c r="D453" s="13" t="s">
        <v>38</v>
      </c>
      <c r="E453" s="23">
        <v>2012</v>
      </c>
      <c r="F453" s="23">
        <v>2016</v>
      </c>
      <c r="G453" s="13" t="s">
        <v>340</v>
      </c>
      <c r="H453" s="13"/>
      <c r="I453" s="13" t="s">
        <v>54</v>
      </c>
      <c r="J453" s="13" t="s">
        <v>55</v>
      </c>
      <c r="K453" s="13"/>
      <c r="L453" s="19">
        <v>43.87</v>
      </c>
      <c r="M453" s="16" t="s">
        <v>41</v>
      </c>
      <c r="N453" s="13" t="s">
        <v>42</v>
      </c>
      <c r="O453" s="42"/>
      <c r="P453" s="12">
        <f>IF(Q453="", 0, 1)</f>
        <v>0</v>
      </c>
      <c r="Q453" s="22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2">
        <f>IF(AC453="", 0, 1)</f>
        <v>1</v>
      </c>
      <c r="AC453" s="13">
        <v>212</v>
      </c>
      <c r="AD453" s="12">
        <v>53.68</v>
      </c>
      <c r="AE453" s="12">
        <v>52.43</v>
      </c>
      <c r="AF453" s="12">
        <v>41</v>
      </c>
      <c r="AG453" s="12"/>
      <c r="AH453" s="12"/>
      <c r="AI453" s="12"/>
      <c r="AJ453" s="12">
        <v>2</v>
      </c>
      <c r="AK453" s="12">
        <v>371</v>
      </c>
      <c r="AL453" s="12" t="str">
        <f>IF(AF453="", "mean", "med")</f>
        <v>med</v>
      </c>
      <c r="AM453" s="12">
        <f>IF(AF453="", AD453, AF453)</f>
        <v>41</v>
      </c>
      <c r="AN453" s="12">
        <f>IF(AO453="", 0, 1)</f>
        <v>0</v>
      </c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49" t="s">
        <v>52</v>
      </c>
      <c r="BA453" s="49" t="str">
        <f>IF(AZ453="high","high","lower")</f>
        <v>high</v>
      </c>
      <c r="BB453" s="49">
        <v>0.83899999999999997</v>
      </c>
      <c r="BC453" s="49"/>
      <c r="BD453" s="49"/>
      <c r="BE453" s="49"/>
      <c r="BF453" s="49"/>
      <c r="BG453" s="18" t="s">
        <v>1030</v>
      </c>
      <c r="BH453" s="18" t="s">
        <v>1031</v>
      </c>
    </row>
    <row r="454" spans="1:60" ht="15.75" customHeight="1" x14ac:dyDescent="0.2">
      <c r="A454" s="11">
        <v>453</v>
      </c>
      <c r="B454" s="22">
        <v>3904</v>
      </c>
      <c r="C454" s="13" t="s">
        <v>617</v>
      </c>
      <c r="D454" s="13" t="s">
        <v>89</v>
      </c>
      <c r="E454" s="23">
        <v>1998</v>
      </c>
      <c r="F454" s="23">
        <v>2005</v>
      </c>
      <c r="G454" s="13" t="s">
        <v>49</v>
      </c>
      <c r="H454" s="13"/>
      <c r="I454" s="13" t="s">
        <v>54</v>
      </c>
      <c r="J454" s="13" t="s">
        <v>89</v>
      </c>
      <c r="K454" s="13"/>
      <c r="L454" s="19" t="s">
        <v>41</v>
      </c>
      <c r="M454" s="16" t="s">
        <v>41</v>
      </c>
      <c r="N454" s="13" t="s">
        <v>42</v>
      </c>
      <c r="O454" s="14" t="s">
        <v>618</v>
      </c>
      <c r="P454" s="12">
        <f>IF(Q454="", 0, 1)</f>
        <v>1</v>
      </c>
      <c r="Q454" s="22">
        <v>6698</v>
      </c>
      <c r="R454" s="17"/>
      <c r="S454" s="17"/>
      <c r="T454" s="17">
        <v>13</v>
      </c>
      <c r="U454" s="17">
        <v>3</v>
      </c>
      <c r="V454" s="17">
        <v>23</v>
      </c>
      <c r="W454" s="17"/>
      <c r="X454" s="17"/>
      <c r="Y454" s="17"/>
      <c r="Z454" s="17" t="str">
        <f>IF(T454="", "mean", "med")</f>
        <v>med</v>
      </c>
      <c r="AA454" s="17">
        <f>IF(T454="", R454, T454)</f>
        <v>13</v>
      </c>
      <c r="AB454" s="12">
        <f>IF(AC454="", 0, 1)</f>
        <v>1</v>
      </c>
      <c r="AC454" s="13">
        <v>6702</v>
      </c>
      <c r="AD454" s="12"/>
      <c r="AE454" s="12"/>
      <c r="AF454" s="12">
        <v>60</v>
      </c>
      <c r="AG454" s="12">
        <v>19</v>
      </c>
      <c r="AH454" s="12">
        <v>230</v>
      </c>
      <c r="AI454" s="12"/>
      <c r="AJ454" s="12"/>
      <c r="AK454" s="12"/>
      <c r="AL454" s="12" t="str">
        <f>IF(AF454="", "mean", "med")</f>
        <v>med</v>
      </c>
      <c r="AM454" s="12">
        <f>IF(AF454="", AD454, AF454)</f>
        <v>60</v>
      </c>
      <c r="AN454" s="12">
        <f>IF(AO454="", 0, 1)</f>
        <v>0</v>
      </c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 t="s">
        <v>52</v>
      </c>
      <c r="BA454" s="12" t="str">
        <f>IF(AZ454="high","high","lower")</f>
        <v>high</v>
      </c>
      <c r="BB454" s="49">
        <v>0.89200000000000002</v>
      </c>
      <c r="BC454" s="12">
        <v>84</v>
      </c>
      <c r="BD454" s="12">
        <v>88</v>
      </c>
      <c r="BE454" s="12">
        <v>100</v>
      </c>
      <c r="BF454" s="12">
        <v>84.2</v>
      </c>
      <c r="BG454" s="18" t="s">
        <v>1034</v>
      </c>
      <c r="BH454" s="18" t="s">
        <v>1031</v>
      </c>
    </row>
    <row r="455" spans="1:60" ht="15.75" customHeight="1" x14ac:dyDescent="0.2">
      <c r="A455" s="11">
        <v>454</v>
      </c>
      <c r="B455" s="12">
        <v>3904</v>
      </c>
      <c r="C455" s="13" t="s">
        <v>617</v>
      </c>
      <c r="D455" s="13" t="s">
        <v>227</v>
      </c>
      <c r="E455" s="23">
        <v>1998</v>
      </c>
      <c r="F455" s="23">
        <v>2005</v>
      </c>
      <c r="G455" s="13" t="s">
        <v>49</v>
      </c>
      <c r="H455" s="13"/>
      <c r="I455" s="13" t="s">
        <v>54</v>
      </c>
      <c r="J455" s="13" t="s">
        <v>227</v>
      </c>
      <c r="K455" s="13"/>
      <c r="L455" s="19" t="s">
        <v>41</v>
      </c>
      <c r="M455" s="16" t="s">
        <v>41</v>
      </c>
      <c r="N455" s="13" t="s">
        <v>42</v>
      </c>
      <c r="O455" s="14" t="s">
        <v>618</v>
      </c>
      <c r="P455" s="12">
        <f>IF(Q455="", 0, 1)</f>
        <v>1</v>
      </c>
      <c r="Q455" s="22">
        <v>2986</v>
      </c>
      <c r="R455" s="17"/>
      <c r="S455" s="17"/>
      <c r="T455" s="17">
        <v>16</v>
      </c>
      <c r="U455" s="17">
        <v>7</v>
      </c>
      <c r="V455" s="17">
        <v>29</v>
      </c>
      <c r="W455" s="17"/>
      <c r="X455" s="17"/>
      <c r="Y455" s="17"/>
      <c r="Z455" s="17" t="str">
        <f>IF(T455="", "mean", "med")</f>
        <v>med</v>
      </c>
      <c r="AA455" s="17">
        <f>IF(T455="", R455, T455)</f>
        <v>16</v>
      </c>
      <c r="AB455" s="12">
        <f>IF(AC455="", 0, 1)</f>
        <v>1</v>
      </c>
      <c r="AC455" s="13">
        <v>2967</v>
      </c>
      <c r="AD455" s="12"/>
      <c r="AE455" s="12"/>
      <c r="AF455" s="12">
        <v>40</v>
      </c>
      <c r="AG455" s="12">
        <v>14</v>
      </c>
      <c r="AH455" s="12">
        <v>174</v>
      </c>
      <c r="AI455" s="12"/>
      <c r="AJ455" s="12"/>
      <c r="AK455" s="12"/>
      <c r="AL455" s="12" t="str">
        <f>IF(AF455="", "mean", "med")</f>
        <v>med</v>
      </c>
      <c r="AM455" s="12">
        <f>IF(AF455="", AD455, AF455)</f>
        <v>40</v>
      </c>
      <c r="AN455" s="12">
        <f>IF(AO455="", 0, 1)</f>
        <v>0</v>
      </c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 t="s">
        <v>52</v>
      </c>
      <c r="BA455" s="12" t="str">
        <f>IF(AZ455="high","high","lower")</f>
        <v>high</v>
      </c>
      <c r="BB455" s="49">
        <v>0.89200000000000002</v>
      </c>
      <c r="BC455" s="12">
        <v>84</v>
      </c>
      <c r="BD455" s="12">
        <v>88</v>
      </c>
      <c r="BE455" s="12">
        <v>100</v>
      </c>
      <c r="BF455" s="12">
        <v>84.2</v>
      </c>
      <c r="BG455" s="18" t="s">
        <v>1034</v>
      </c>
      <c r="BH455" s="18" t="s">
        <v>1031</v>
      </c>
    </row>
    <row r="456" spans="1:60" ht="15.75" customHeight="1" x14ac:dyDescent="0.2">
      <c r="A456" s="11">
        <v>455</v>
      </c>
      <c r="B456" s="22">
        <v>3918</v>
      </c>
      <c r="C456" s="13" t="s">
        <v>619</v>
      </c>
      <c r="D456" s="13" t="s">
        <v>224</v>
      </c>
      <c r="E456" s="23">
        <v>2010</v>
      </c>
      <c r="F456" s="23">
        <v>2015</v>
      </c>
      <c r="G456" s="13" t="s">
        <v>131</v>
      </c>
      <c r="H456" s="13"/>
      <c r="I456" s="13" t="s">
        <v>54</v>
      </c>
      <c r="J456" s="13" t="s">
        <v>229</v>
      </c>
      <c r="K456" s="13" t="s">
        <v>224</v>
      </c>
      <c r="L456" s="53">
        <v>29.3</v>
      </c>
      <c r="M456" s="45">
        <v>66.599999999999994</v>
      </c>
      <c r="N456" s="13" t="s">
        <v>42</v>
      </c>
      <c r="O456" s="14"/>
      <c r="P456" s="12">
        <f>IF(Q456="", 0, 1)</f>
        <v>0</v>
      </c>
      <c r="Q456" s="22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2">
        <f>IF(AC456="", 0, 1)</f>
        <v>1</v>
      </c>
      <c r="AC456" s="13">
        <v>108</v>
      </c>
      <c r="AD456" s="12"/>
      <c r="AE456" s="12"/>
      <c r="AF456" s="12">
        <v>23</v>
      </c>
      <c r="AG456" s="12">
        <v>8</v>
      </c>
      <c r="AH456" s="12">
        <v>60</v>
      </c>
      <c r="AI456" s="12"/>
      <c r="AJ456" s="12"/>
      <c r="AK456" s="12"/>
      <c r="AL456" s="12" t="str">
        <f>IF(AF456="", "mean", "med")</f>
        <v>med</v>
      </c>
      <c r="AM456" s="12">
        <f>IF(AF456="", AD456, AF456)</f>
        <v>23</v>
      </c>
      <c r="AN456" s="12">
        <f>IF(AO456="", 0, 1)</f>
        <v>1</v>
      </c>
      <c r="AO456" s="12">
        <v>123</v>
      </c>
      <c r="AP456" s="12"/>
      <c r="AQ456" s="12"/>
      <c r="AR456" s="12">
        <v>31</v>
      </c>
      <c r="AS456" s="12">
        <v>22</v>
      </c>
      <c r="AT456" s="12">
        <v>76</v>
      </c>
      <c r="AU456" s="12"/>
      <c r="AV456" s="12"/>
      <c r="AW456" s="12"/>
      <c r="AX456" s="12" t="str">
        <f>IF(AR456="", "mean", "med")</f>
        <v>med</v>
      </c>
      <c r="AY456" s="12">
        <f>IF(AR456="", AP456, AR456)</f>
        <v>31</v>
      </c>
      <c r="AZ456" s="12" t="s">
        <v>52</v>
      </c>
      <c r="BA456" s="12" t="str">
        <f>IF(AZ456="high","high","lower")</f>
        <v>high</v>
      </c>
      <c r="BB456" s="49">
        <v>0.92800000000000005</v>
      </c>
      <c r="BC456" s="12">
        <v>89.9</v>
      </c>
      <c r="BD456" s="12">
        <v>94</v>
      </c>
      <c r="BE456" s="12">
        <v>100</v>
      </c>
      <c r="BF456" s="12">
        <v>92.1</v>
      </c>
      <c r="BG456" s="18" t="s">
        <v>1034</v>
      </c>
      <c r="BH456" s="18" t="s">
        <v>1031</v>
      </c>
    </row>
    <row r="457" spans="1:60" ht="15.75" customHeight="1" x14ac:dyDescent="0.2">
      <c r="A457" s="11">
        <v>456</v>
      </c>
      <c r="B457" s="22">
        <v>3918</v>
      </c>
      <c r="C457" s="13" t="s">
        <v>619</v>
      </c>
      <c r="D457" s="13" t="s">
        <v>226</v>
      </c>
      <c r="E457" s="23">
        <v>2010</v>
      </c>
      <c r="F457" s="23">
        <v>2015</v>
      </c>
      <c r="G457" s="13" t="s">
        <v>131</v>
      </c>
      <c r="H457" s="13"/>
      <c r="I457" s="13" t="s">
        <v>54</v>
      </c>
      <c r="J457" s="13" t="s">
        <v>226</v>
      </c>
      <c r="K457" s="13"/>
      <c r="L457" s="53">
        <v>44.9</v>
      </c>
      <c r="M457" s="45">
        <v>66.2</v>
      </c>
      <c r="N457" s="13" t="s">
        <v>42</v>
      </c>
      <c r="O457" s="14"/>
      <c r="P457" s="12">
        <f>IF(Q457="", 0, 1)</f>
        <v>0</v>
      </c>
      <c r="Q457" s="22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2">
        <f>IF(AC457="", 0, 1)</f>
        <v>1</v>
      </c>
      <c r="AC457" s="13">
        <v>59</v>
      </c>
      <c r="AD457" s="12"/>
      <c r="AE457" s="12"/>
      <c r="AF457" s="12">
        <v>44</v>
      </c>
      <c r="AG457" s="12">
        <v>20</v>
      </c>
      <c r="AH457" s="12">
        <v>145</v>
      </c>
      <c r="AI457" s="12"/>
      <c r="AJ457" s="12"/>
      <c r="AK457" s="12"/>
      <c r="AL457" s="12" t="str">
        <f>IF(AF457="", "mean", "med")</f>
        <v>med</v>
      </c>
      <c r="AM457" s="12">
        <f>IF(AF457="", AD457, AF457)</f>
        <v>44</v>
      </c>
      <c r="AN457" s="12">
        <f>IF(AO457="", 0, 1)</f>
        <v>1</v>
      </c>
      <c r="AO457" s="12">
        <v>78</v>
      </c>
      <c r="AP457" s="12"/>
      <c r="AQ457" s="12"/>
      <c r="AR457" s="12">
        <v>25</v>
      </c>
      <c r="AS457" s="12">
        <v>15</v>
      </c>
      <c r="AT457" s="12">
        <v>62</v>
      </c>
      <c r="AU457" s="12"/>
      <c r="AV457" s="12"/>
      <c r="AW457" s="12"/>
      <c r="AX457" s="12" t="str">
        <f>IF(AR457="", "mean", "med")</f>
        <v>med</v>
      </c>
      <c r="AY457" s="12">
        <f>IF(AR457="", AP457, AR457)</f>
        <v>25</v>
      </c>
      <c r="AZ457" s="12" t="s">
        <v>52</v>
      </c>
      <c r="BA457" s="12" t="str">
        <f>IF(AZ457="high","high","lower")</f>
        <v>high</v>
      </c>
      <c r="BB457" s="49">
        <v>0.92800000000000005</v>
      </c>
      <c r="BC457" s="12">
        <v>89.9</v>
      </c>
      <c r="BD457" s="12">
        <v>94</v>
      </c>
      <c r="BE457" s="12">
        <v>100</v>
      </c>
      <c r="BF457" s="12">
        <v>92.1</v>
      </c>
      <c r="BG457" s="18" t="s">
        <v>1034</v>
      </c>
      <c r="BH457" s="18" t="s">
        <v>1031</v>
      </c>
    </row>
    <row r="458" spans="1:60" ht="15.75" customHeight="1" x14ac:dyDescent="0.2">
      <c r="A458" s="11">
        <v>461</v>
      </c>
      <c r="B458" s="12">
        <v>3920</v>
      </c>
      <c r="C458" s="13" t="s">
        <v>620</v>
      </c>
      <c r="D458" s="14" t="s">
        <v>38</v>
      </c>
      <c r="E458" s="23">
        <v>2005</v>
      </c>
      <c r="F458" s="23">
        <v>2011</v>
      </c>
      <c r="G458" s="13" t="s">
        <v>131</v>
      </c>
      <c r="H458" s="13"/>
      <c r="I458" s="13" t="s">
        <v>79</v>
      </c>
      <c r="J458" s="13" t="s">
        <v>79</v>
      </c>
      <c r="K458" s="14" t="s">
        <v>621</v>
      </c>
      <c r="L458" s="29">
        <f>4271/(4271+8869)</f>
        <v>0.32503805175038053</v>
      </c>
      <c r="M458" s="16">
        <v>63</v>
      </c>
      <c r="N458" s="13" t="s">
        <v>42</v>
      </c>
      <c r="O458" s="30" t="s">
        <v>622</v>
      </c>
      <c r="P458" s="12">
        <f>IF(Q458="", 0, 1)</f>
        <v>1</v>
      </c>
      <c r="Q458" s="22">
        <v>13140</v>
      </c>
      <c r="R458" s="17"/>
      <c r="S458" s="17"/>
      <c r="T458" s="17">
        <v>37</v>
      </c>
      <c r="U458" s="17">
        <v>24</v>
      </c>
      <c r="V458" s="17">
        <v>49</v>
      </c>
      <c r="W458" s="17"/>
      <c r="X458" s="17"/>
      <c r="Y458" s="17"/>
      <c r="Z458" s="17" t="str">
        <f>IF(T458="", "mean", "med")</f>
        <v>med</v>
      </c>
      <c r="AA458" s="17">
        <f>IF(T458="", R458, T458)</f>
        <v>37</v>
      </c>
      <c r="AB458" s="12">
        <f>IF(AC458="", 0, 1)</f>
        <v>0</v>
      </c>
      <c r="AC458" s="13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>
        <f>IF(AO458="", 0, 1)</f>
        <v>0</v>
      </c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 t="s">
        <v>52</v>
      </c>
      <c r="BA458" s="12" t="str">
        <f>IF(AZ458="high","high","lower")</f>
        <v>high</v>
      </c>
      <c r="BB458" s="49">
        <v>0.91100000000000003</v>
      </c>
      <c r="BC458" s="12">
        <v>89.9</v>
      </c>
      <c r="BD458" s="12">
        <v>94</v>
      </c>
      <c r="BE458" s="12">
        <v>100</v>
      </c>
      <c r="BF458" s="12">
        <v>92.1</v>
      </c>
      <c r="BG458" s="18" t="s">
        <v>1034</v>
      </c>
      <c r="BH458" s="18" t="s">
        <v>1031</v>
      </c>
    </row>
    <row r="459" spans="1:60" ht="15.75" customHeight="1" x14ac:dyDescent="0.2">
      <c r="A459" s="11">
        <v>462</v>
      </c>
      <c r="B459" s="12">
        <v>3921</v>
      </c>
      <c r="C459" s="13" t="s">
        <v>623</v>
      </c>
      <c r="D459" s="13" t="s">
        <v>38</v>
      </c>
      <c r="E459" s="23">
        <v>1997</v>
      </c>
      <c r="F459" s="23">
        <v>2007</v>
      </c>
      <c r="G459" s="13" t="s">
        <v>131</v>
      </c>
      <c r="H459" s="13"/>
      <c r="I459" s="13" t="s">
        <v>54</v>
      </c>
      <c r="J459" s="13" t="s">
        <v>55</v>
      </c>
      <c r="K459" s="14"/>
      <c r="L459" s="29">
        <f>98/197*100</f>
        <v>49.746192893401016</v>
      </c>
      <c r="M459" s="16">
        <v>70.349999999999994</v>
      </c>
      <c r="N459" s="13" t="s">
        <v>42</v>
      </c>
      <c r="O459" s="30" t="s">
        <v>142</v>
      </c>
      <c r="P459" s="12">
        <f>IF(Q459="", 0, 1)</f>
        <v>1</v>
      </c>
      <c r="Q459" s="22">
        <v>197</v>
      </c>
      <c r="R459" s="41"/>
      <c r="S459" s="41"/>
      <c r="T459" s="17">
        <v>18</v>
      </c>
      <c r="U459" s="17">
        <v>0</v>
      </c>
      <c r="V459" s="17">
        <v>32.5</v>
      </c>
      <c r="W459" s="17"/>
      <c r="X459" s="17"/>
      <c r="Y459" s="17"/>
      <c r="Z459" s="17" t="str">
        <f>IF(T459="", "mean", "med")</f>
        <v>med</v>
      </c>
      <c r="AA459" s="17">
        <f>IF(T459="", R459, T459)</f>
        <v>18</v>
      </c>
      <c r="AB459" s="12">
        <f>IF(AC459="", 0, 1)</f>
        <v>0</v>
      </c>
      <c r="AC459" s="13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>
        <f>IF(AO459="", 0, 1)</f>
        <v>1</v>
      </c>
      <c r="AO459" s="12">
        <v>197</v>
      </c>
      <c r="AP459" s="12"/>
      <c r="AQ459" s="12"/>
      <c r="AR459" s="12">
        <v>31</v>
      </c>
      <c r="AS459" s="12">
        <v>7</v>
      </c>
      <c r="AT459" s="12">
        <v>91</v>
      </c>
      <c r="AU459" s="12"/>
      <c r="AV459" s="12"/>
      <c r="AW459" s="12"/>
      <c r="AX459" s="12" t="str">
        <f>IF(AR459="", "mean", "med")</f>
        <v>med</v>
      </c>
      <c r="AY459" s="12">
        <f>IF(AR459="", AP459, AR459)</f>
        <v>31</v>
      </c>
      <c r="AZ459" s="12" t="s">
        <v>52</v>
      </c>
      <c r="BA459" s="12" t="str">
        <f>IF(AZ459="high","high","lower")</f>
        <v>high</v>
      </c>
      <c r="BB459" s="49">
        <v>0.88800000000000001</v>
      </c>
      <c r="BC459" s="12">
        <v>89.9</v>
      </c>
      <c r="BD459" s="12">
        <v>94</v>
      </c>
      <c r="BE459" s="12">
        <v>100</v>
      </c>
      <c r="BF459" s="12">
        <v>92.1</v>
      </c>
      <c r="BG459" s="18" t="s">
        <v>1030</v>
      </c>
      <c r="BH459" s="18" t="s">
        <v>1031</v>
      </c>
    </row>
    <row r="460" spans="1:60" ht="15.75" customHeight="1" x14ac:dyDescent="0.2">
      <c r="A460" s="11">
        <v>463</v>
      </c>
      <c r="B460" s="12">
        <v>3926</v>
      </c>
      <c r="C460" s="13" t="s">
        <v>624</v>
      </c>
      <c r="D460" s="13" t="s">
        <v>105</v>
      </c>
      <c r="E460" s="23">
        <v>2006</v>
      </c>
      <c r="F460" s="23">
        <v>2007</v>
      </c>
      <c r="G460" s="13" t="s">
        <v>205</v>
      </c>
      <c r="H460" s="13"/>
      <c r="I460" s="31" t="s">
        <v>104</v>
      </c>
      <c r="J460" s="13" t="s">
        <v>105</v>
      </c>
      <c r="K460" s="13"/>
      <c r="L460" s="29">
        <v>100</v>
      </c>
      <c r="M460" s="16">
        <v>49</v>
      </c>
      <c r="N460" s="13" t="s">
        <v>99</v>
      </c>
      <c r="O460" s="30" t="s">
        <v>90</v>
      </c>
      <c r="P460" s="12">
        <f>IF(Q460="", 0, 1)</f>
        <v>1</v>
      </c>
      <c r="Q460" s="22">
        <v>34</v>
      </c>
      <c r="R460" s="17"/>
      <c r="S460" s="17"/>
      <c r="T460" s="17">
        <v>10</v>
      </c>
      <c r="U460" s="17"/>
      <c r="V460" s="17"/>
      <c r="W460" s="17"/>
      <c r="X460" s="17">
        <v>0</v>
      </c>
      <c r="Y460" s="17">
        <v>33</v>
      </c>
      <c r="Z460" s="17" t="str">
        <f>IF(T460="", "mean", "med")</f>
        <v>med</v>
      </c>
      <c r="AA460" s="17">
        <f>IF(T460="", R460, T460)</f>
        <v>10</v>
      </c>
      <c r="AB460" s="12">
        <f>IF(AC460="", 0, 1)</f>
        <v>1</v>
      </c>
      <c r="AC460" s="13">
        <v>34</v>
      </c>
      <c r="AD460" s="12"/>
      <c r="AE460" s="12"/>
      <c r="AF460" s="12">
        <v>43</v>
      </c>
      <c r="AG460" s="12"/>
      <c r="AH460" s="12"/>
      <c r="AI460" s="12"/>
      <c r="AJ460" s="12">
        <v>9</v>
      </c>
      <c r="AK460" s="12">
        <v>226</v>
      </c>
      <c r="AL460" s="12" t="str">
        <f>IF(AF460="", "mean", "med")</f>
        <v>med</v>
      </c>
      <c r="AM460" s="12">
        <f>IF(AF460="", AD460, AF460)</f>
        <v>43</v>
      </c>
      <c r="AN460" s="12">
        <f>IF(AO460="", 0, 1)</f>
        <v>1</v>
      </c>
      <c r="AO460" s="12">
        <v>34</v>
      </c>
      <c r="AP460" s="12"/>
      <c r="AQ460" s="12"/>
      <c r="AR460" s="12">
        <v>56</v>
      </c>
      <c r="AS460" s="12"/>
      <c r="AT460" s="12"/>
      <c r="AU460" s="12"/>
      <c r="AV460" s="12">
        <v>0</v>
      </c>
      <c r="AW460" s="12">
        <v>2652</v>
      </c>
      <c r="AX460" s="12" t="str">
        <f>IF(AR460="", "mean", "med")</f>
        <v>med</v>
      </c>
      <c r="AY460" s="12">
        <f>IF(AR460="", AP460, AR460)</f>
        <v>56</v>
      </c>
      <c r="AZ460" s="49" t="s">
        <v>52</v>
      </c>
      <c r="BA460" s="49" t="str">
        <f>IF(AZ460="high","high","lower")</f>
        <v>high</v>
      </c>
      <c r="BB460" s="49">
        <v>0.91200000000000003</v>
      </c>
      <c r="BC460" s="49"/>
      <c r="BD460" s="49"/>
      <c r="BE460" s="49"/>
      <c r="BF460" s="49"/>
      <c r="BG460" s="18" t="s">
        <v>1034</v>
      </c>
      <c r="BH460" s="18" t="s">
        <v>1031</v>
      </c>
    </row>
    <row r="461" spans="1:60" ht="15.75" customHeight="1" x14ac:dyDescent="0.2">
      <c r="A461" s="11">
        <v>464</v>
      </c>
      <c r="B461" s="12">
        <v>3926</v>
      </c>
      <c r="C461" s="13" t="s">
        <v>624</v>
      </c>
      <c r="D461" s="13" t="s">
        <v>298</v>
      </c>
      <c r="E461" s="23">
        <v>2006</v>
      </c>
      <c r="F461" s="23">
        <v>2007</v>
      </c>
      <c r="G461" s="13" t="s">
        <v>205</v>
      </c>
      <c r="H461" s="13"/>
      <c r="I461" s="31" t="s">
        <v>104</v>
      </c>
      <c r="J461" s="13" t="s">
        <v>298</v>
      </c>
      <c r="K461" s="13"/>
      <c r="L461" s="29">
        <v>100</v>
      </c>
      <c r="M461" s="20">
        <v>66</v>
      </c>
      <c r="N461" s="13" t="s">
        <v>99</v>
      </c>
      <c r="O461" s="30" t="s">
        <v>90</v>
      </c>
      <c r="P461" s="12">
        <f>IF(Q461="", 0, 1)</f>
        <v>1</v>
      </c>
      <c r="Q461" s="22">
        <v>50</v>
      </c>
      <c r="R461" s="17"/>
      <c r="S461" s="17"/>
      <c r="T461" s="17">
        <v>15</v>
      </c>
      <c r="U461" s="17"/>
      <c r="V461" s="17"/>
      <c r="W461" s="17"/>
      <c r="X461" s="17">
        <v>0</v>
      </c>
      <c r="Y461" s="17">
        <v>109</v>
      </c>
      <c r="Z461" s="17" t="str">
        <f>IF(T461="", "mean", "med")</f>
        <v>med</v>
      </c>
      <c r="AA461" s="17">
        <f>IF(T461="", R461, T461)</f>
        <v>15</v>
      </c>
      <c r="AB461" s="12">
        <f>IF(AC461="", 0, 1)</f>
        <v>1</v>
      </c>
      <c r="AC461" s="13">
        <v>50</v>
      </c>
      <c r="AD461" s="12"/>
      <c r="AE461" s="12"/>
      <c r="AF461" s="12">
        <v>42</v>
      </c>
      <c r="AG461" s="12"/>
      <c r="AH461" s="12"/>
      <c r="AI461" s="12"/>
      <c r="AJ461" s="12">
        <v>9</v>
      </c>
      <c r="AK461" s="12">
        <v>1354</v>
      </c>
      <c r="AL461" s="12" t="str">
        <f>IF(AF461="", "mean", "med")</f>
        <v>med</v>
      </c>
      <c r="AM461" s="12">
        <f>IF(AF461="", AD461, AF461)</f>
        <v>42</v>
      </c>
      <c r="AN461" s="12">
        <f>IF(AO461="", 0, 1)</f>
        <v>1</v>
      </c>
      <c r="AO461" s="12">
        <v>50</v>
      </c>
      <c r="AP461" s="12"/>
      <c r="AQ461" s="12"/>
      <c r="AR461" s="12">
        <v>16</v>
      </c>
      <c r="AS461" s="12"/>
      <c r="AT461" s="12"/>
      <c r="AU461" s="12"/>
      <c r="AV461" s="12">
        <v>0</v>
      </c>
      <c r="AW461" s="22">
        <v>1834</v>
      </c>
      <c r="AX461" s="12" t="str">
        <f>IF(AR461="", "mean", "med")</f>
        <v>med</v>
      </c>
      <c r="AY461" s="12">
        <f>IF(AR461="", AP461, AR461)</f>
        <v>16</v>
      </c>
      <c r="AZ461" s="49" t="s">
        <v>52</v>
      </c>
      <c r="BA461" s="49" t="str">
        <f>IF(AZ461="high","high","lower")</f>
        <v>high</v>
      </c>
      <c r="BB461" s="49">
        <v>0.91200000000000003</v>
      </c>
      <c r="BC461" s="49"/>
      <c r="BD461" s="49"/>
      <c r="BE461" s="49"/>
      <c r="BF461" s="49"/>
      <c r="BG461" s="18" t="s">
        <v>1034</v>
      </c>
      <c r="BH461" s="18" t="s">
        <v>1031</v>
      </c>
    </row>
    <row r="462" spans="1:60" ht="15.75" customHeight="1" x14ac:dyDescent="0.2">
      <c r="A462" s="11">
        <v>465</v>
      </c>
      <c r="B462" s="12">
        <v>3926</v>
      </c>
      <c r="C462" s="13" t="s">
        <v>624</v>
      </c>
      <c r="D462" s="13" t="s">
        <v>206</v>
      </c>
      <c r="E462" s="23">
        <v>2006</v>
      </c>
      <c r="F462" s="23">
        <v>2007</v>
      </c>
      <c r="G462" s="13" t="s">
        <v>205</v>
      </c>
      <c r="H462" s="13"/>
      <c r="I462" s="31" t="s">
        <v>104</v>
      </c>
      <c r="J462" s="13" t="s">
        <v>206</v>
      </c>
      <c r="K462" s="13"/>
      <c r="L462" s="19">
        <v>100</v>
      </c>
      <c r="M462" s="16">
        <v>63</v>
      </c>
      <c r="N462" s="14" t="s">
        <v>99</v>
      </c>
      <c r="O462" s="13" t="s">
        <v>90</v>
      </c>
      <c r="P462" s="12">
        <f>IF(Q462="", 0, 1)</f>
        <v>1</v>
      </c>
      <c r="Q462" s="22">
        <v>63</v>
      </c>
      <c r="R462" s="17"/>
      <c r="S462" s="17"/>
      <c r="T462" s="17">
        <v>13</v>
      </c>
      <c r="U462" s="17"/>
      <c r="V462" s="17"/>
      <c r="W462" s="17"/>
      <c r="X462" s="17">
        <v>0</v>
      </c>
      <c r="Y462" s="17">
        <v>118</v>
      </c>
      <c r="Z462" s="17" t="str">
        <f>IF(T462="", "mean", "med")</f>
        <v>med</v>
      </c>
      <c r="AA462" s="17">
        <f>IF(T462="", R462, T462)</f>
        <v>13</v>
      </c>
      <c r="AB462" s="12">
        <f>IF(AC462="", 0, 1)</f>
        <v>1</v>
      </c>
      <c r="AC462" s="13">
        <v>63</v>
      </c>
      <c r="AD462" s="12"/>
      <c r="AE462" s="12"/>
      <c r="AF462" s="12">
        <v>38</v>
      </c>
      <c r="AG462" s="12"/>
      <c r="AH462" s="12"/>
      <c r="AI462" s="12"/>
      <c r="AJ462" s="12">
        <v>1</v>
      </c>
      <c r="AK462" s="12">
        <v>203</v>
      </c>
      <c r="AL462" s="12" t="str">
        <f>IF(AF462="", "mean", "med")</f>
        <v>med</v>
      </c>
      <c r="AM462" s="12">
        <f>IF(AF462="", AD462, AF462)</f>
        <v>38</v>
      </c>
      <c r="AN462" s="12">
        <f>IF(AO462="", 0, 1)</f>
        <v>1</v>
      </c>
      <c r="AO462" s="12">
        <v>63</v>
      </c>
      <c r="AP462" s="12"/>
      <c r="AQ462" s="12"/>
      <c r="AR462" s="12">
        <v>26</v>
      </c>
      <c r="AS462" s="12"/>
      <c r="AT462" s="12"/>
      <c r="AU462" s="12"/>
      <c r="AV462" s="12">
        <v>0</v>
      </c>
      <c r="AW462" s="12">
        <v>947</v>
      </c>
      <c r="AX462" s="12" t="str">
        <f>IF(AR462="", "mean", "med")</f>
        <v>med</v>
      </c>
      <c r="AY462" s="12">
        <f>IF(AR462="", AP462, AR462)</f>
        <v>26</v>
      </c>
      <c r="AZ462" s="49" t="s">
        <v>52</v>
      </c>
      <c r="BA462" s="49" t="str">
        <f>IF(AZ462="high","high","lower")</f>
        <v>high</v>
      </c>
      <c r="BB462" s="49">
        <v>0.91200000000000003</v>
      </c>
      <c r="BC462" s="49"/>
      <c r="BD462" s="49"/>
      <c r="BE462" s="49"/>
      <c r="BF462" s="49"/>
      <c r="BG462" s="18" t="s">
        <v>1034</v>
      </c>
      <c r="BH462" s="18" t="s">
        <v>1031</v>
      </c>
    </row>
    <row r="463" spans="1:60" ht="15.75" customHeight="1" x14ac:dyDescent="0.2">
      <c r="A463" s="11">
        <v>466</v>
      </c>
      <c r="B463" s="12">
        <v>3926</v>
      </c>
      <c r="C463" s="13" t="s">
        <v>624</v>
      </c>
      <c r="D463" s="14" t="s">
        <v>470</v>
      </c>
      <c r="E463" s="23">
        <v>2006</v>
      </c>
      <c r="F463" s="23">
        <v>2007</v>
      </c>
      <c r="G463" s="13" t="s">
        <v>205</v>
      </c>
      <c r="H463" s="13"/>
      <c r="I463" s="31" t="s">
        <v>104</v>
      </c>
      <c r="J463" s="13" t="s">
        <v>470</v>
      </c>
      <c r="K463" s="13"/>
      <c r="L463" s="19">
        <v>100</v>
      </c>
      <c r="M463" s="16">
        <v>65</v>
      </c>
      <c r="N463" s="13" t="s">
        <v>99</v>
      </c>
      <c r="O463" s="13" t="s">
        <v>90</v>
      </c>
      <c r="P463" s="12">
        <f>IF(Q463="", 0, 1)</f>
        <v>1</v>
      </c>
      <c r="Q463" s="22">
        <v>14</v>
      </c>
      <c r="R463" s="35"/>
      <c r="S463" s="35"/>
      <c r="T463" s="17">
        <v>18</v>
      </c>
      <c r="U463" s="21"/>
      <c r="V463" s="17"/>
      <c r="W463" s="17"/>
      <c r="X463" s="17">
        <v>2</v>
      </c>
      <c r="Y463" s="17">
        <v>56</v>
      </c>
      <c r="Z463" s="17" t="str">
        <f>IF(T463="", "mean", "med")</f>
        <v>med</v>
      </c>
      <c r="AA463" s="17">
        <f>IF(T463="", R463, T463)</f>
        <v>18</v>
      </c>
      <c r="AB463" s="12">
        <f>IF(AC463="", 0, 1)</f>
        <v>1</v>
      </c>
      <c r="AC463" s="13">
        <v>14</v>
      </c>
      <c r="AD463" s="12"/>
      <c r="AE463" s="12"/>
      <c r="AF463" s="12">
        <v>43</v>
      </c>
      <c r="AG463" s="12"/>
      <c r="AH463" s="12"/>
      <c r="AI463" s="12"/>
      <c r="AJ463" s="12">
        <v>9</v>
      </c>
      <c r="AK463" s="12">
        <v>119</v>
      </c>
      <c r="AL463" s="12" t="str">
        <f>IF(AF463="", "mean", "med")</f>
        <v>med</v>
      </c>
      <c r="AM463" s="12">
        <f>IF(AF463="", AD463, AF463)</f>
        <v>43</v>
      </c>
      <c r="AN463" s="12">
        <f>IF(AO463="", 0, 1)</f>
        <v>1</v>
      </c>
      <c r="AO463" s="12">
        <v>14</v>
      </c>
      <c r="AP463" s="12"/>
      <c r="AQ463" s="12"/>
      <c r="AR463" s="12">
        <v>114</v>
      </c>
      <c r="AS463" s="12"/>
      <c r="AT463" s="12"/>
      <c r="AU463" s="12"/>
      <c r="AV463" s="12">
        <v>17</v>
      </c>
      <c r="AW463" s="12">
        <v>1034</v>
      </c>
      <c r="AX463" s="12" t="str">
        <f>IF(AR463="", "mean", "med")</f>
        <v>med</v>
      </c>
      <c r="AY463" s="12">
        <f>IF(AR463="", AP463, AR463)</f>
        <v>114</v>
      </c>
      <c r="AZ463" s="49" t="s">
        <v>52</v>
      </c>
      <c r="BA463" s="49" t="str">
        <f>IF(AZ463="high","high","lower")</f>
        <v>high</v>
      </c>
      <c r="BB463" s="49">
        <v>0.91200000000000003</v>
      </c>
      <c r="BC463" s="49"/>
      <c r="BD463" s="49"/>
      <c r="BE463" s="49"/>
      <c r="BF463" s="49"/>
      <c r="BG463" s="18" t="s">
        <v>1034</v>
      </c>
      <c r="BH463" s="18" t="s">
        <v>1031</v>
      </c>
    </row>
    <row r="464" spans="1:60" ht="15.75" customHeight="1" x14ac:dyDescent="0.2">
      <c r="A464" s="11">
        <v>467</v>
      </c>
      <c r="B464" s="12">
        <v>3932</v>
      </c>
      <c r="C464" s="13" t="s">
        <v>625</v>
      </c>
      <c r="D464" s="14" t="s">
        <v>38</v>
      </c>
      <c r="E464" s="23">
        <v>2015</v>
      </c>
      <c r="F464" s="23">
        <v>2015</v>
      </c>
      <c r="G464" s="13" t="s">
        <v>125</v>
      </c>
      <c r="H464" s="13"/>
      <c r="I464" s="13" t="s">
        <v>79</v>
      </c>
      <c r="J464" s="31" t="s">
        <v>236</v>
      </c>
      <c r="K464" s="14"/>
      <c r="L464" s="19">
        <v>40.5</v>
      </c>
      <c r="M464" s="20">
        <v>65</v>
      </c>
      <c r="N464" s="13" t="s">
        <v>42</v>
      </c>
      <c r="O464" s="13" t="s">
        <v>41</v>
      </c>
      <c r="P464" s="12">
        <f>IF(Q464="", 0, 1)</f>
        <v>1</v>
      </c>
      <c r="Q464" s="22">
        <v>74</v>
      </c>
      <c r="R464" s="17">
        <v>28.75</v>
      </c>
      <c r="S464" s="17"/>
      <c r="T464" s="17">
        <v>22</v>
      </c>
      <c r="U464" s="17">
        <v>14.25</v>
      </c>
      <c r="V464" s="17">
        <v>33</v>
      </c>
      <c r="W464" s="17"/>
      <c r="X464" s="17"/>
      <c r="Y464" s="17"/>
      <c r="Z464" s="17" t="str">
        <f>IF(T464="", "mean", "med")</f>
        <v>med</v>
      </c>
      <c r="AA464" s="17">
        <f>IF(T464="", R464, T464)</f>
        <v>22</v>
      </c>
      <c r="AB464" s="12">
        <f>IF(AC464="", 0, 1)</f>
        <v>1</v>
      </c>
      <c r="AC464" s="13">
        <v>74</v>
      </c>
      <c r="AD464" s="12">
        <v>63.2</v>
      </c>
      <c r="AE464" s="12"/>
      <c r="AF464" s="12">
        <v>36</v>
      </c>
      <c r="AG464" s="12">
        <v>12</v>
      </c>
      <c r="AH464" s="12">
        <v>86</v>
      </c>
      <c r="AI464" s="12"/>
      <c r="AJ464" s="12"/>
      <c r="AK464" s="12"/>
      <c r="AL464" s="12" t="str">
        <f>IF(AF464="", "mean", "med")</f>
        <v>med</v>
      </c>
      <c r="AM464" s="12">
        <f>IF(AF464="", AD464, AF464)</f>
        <v>36</v>
      </c>
      <c r="AN464" s="12">
        <f>IF(AO464="", 0, 1)</f>
        <v>1</v>
      </c>
      <c r="AO464" s="22">
        <v>74</v>
      </c>
      <c r="AP464" s="12">
        <v>45.86</v>
      </c>
      <c r="AQ464" s="12"/>
      <c r="AR464" s="22">
        <v>31.5</v>
      </c>
      <c r="AS464" s="12">
        <v>7</v>
      </c>
      <c r="AT464" s="12">
        <v>61</v>
      </c>
      <c r="AU464" s="12"/>
      <c r="AV464" s="12"/>
      <c r="AW464" s="12"/>
      <c r="AX464" s="12" t="str">
        <f>IF(AR464="", "mean", "med")</f>
        <v>med</v>
      </c>
      <c r="AY464" s="12">
        <f>IF(AR464="", AP464, AR464)</f>
        <v>31.5</v>
      </c>
      <c r="AZ464" s="12" t="s">
        <v>52</v>
      </c>
      <c r="BA464" s="12" t="str">
        <f>IF(AZ464="high","high","lower")</f>
        <v>high</v>
      </c>
      <c r="BB464" s="49">
        <v>0.89500000000000002</v>
      </c>
      <c r="BC464" s="12">
        <v>84</v>
      </c>
      <c r="BD464" s="12">
        <v>89.7</v>
      </c>
      <c r="BE464" s="12">
        <v>70.8</v>
      </c>
      <c r="BF464" s="12">
        <v>89.2</v>
      </c>
      <c r="BG464" s="18" t="s">
        <v>1030</v>
      </c>
      <c r="BH464" s="18" t="s">
        <v>1031</v>
      </c>
    </row>
    <row r="465" spans="1:60" ht="15.75" customHeight="1" x14ac:dyDescent="0.2">
      <c r="A465" s="11">
        <v>468</v>
      </c>
      <c r="B465" s="12">
        <v>3947</v>
      </c>
      <c r="C465" s="13" t="s">
        <v>626</v>
      </c>
      <c r="D465" s="14" t="s">
        <v>82</v>
      </c>
      <c r="E465" s="23">
        <v>2014</v>
      </c>
      <c r="F465" s="23">
        <v>2014</v>
      </c>
      <c r="G465" s="13" t="s">
        <v>627</v>
      </c>
      <c r="H465" s="13"/>
      <c r="I465" s="13" t="s">
        <v>59</v>
      </c>
      <c r="J465" s="13" t="s">
        <v>82</v>
      </c>
      <c r="K465" s="14"/>
      <c r="L465" s="19" t="s">
        <v>41</v>
      </c>
      <c r="M465" s="20" t="s">
        <v>41</v>
      </c>
      <c r="N465" s="13" t="s">
        <v>50</v>
      </c>
      <c r="O465" s="14" t="s">
        <v>41</v>
      </c>
      <c r="P465" s="12">
        <f>IF(Q465="", 0, 1)</f>
        <v>1</v>
      </c>
      <c r="Q465" s="12">
        <v>184</v>
      </c>
      <c r="R465" s="17"/>
      <c r="S465" s="17"/>
      <c r="T465" s="17">
        <v>3</v>
      </c>
      <c r="U465" s="17"/>
      <c r="V465" s="17"/>
      <c r="W465" s="17"/>
      <c r="X465" s="17"/>
      <c r="Y465" s="17"/>
      <c r="Z465" s="17" t="str">
        <f>IF(T465="", "mean", "med")</f>
        <v>med</v>
      </c>
      <c r="AA465" s="17">
        <f>IF(T465="", R465, T465)</f>
        <v>3</v>
      </c>
      <c r="AB465" s="12">
        <f>IF(AC465="", 0, 1)</f>
        <v>1</v>
      </c>
      <c r="AC465" s="13">
        <v>184</v>
      </c>
      <c r="AD465" s="12"/>
      <c r="AE465" s="12"/>
      <c r="AF465" s="12">
        <v>18.5</v>
      </c>
      <c r="AG465" s="12"/>
      <c r="AH465" s="12"/>
      <c r="AI465" s="12"/>
      <c r="AJ465" s="12"/>
      <c r="AK465" s="12"/>
      <c r="AL465" s="12" t="str">
        <f>IF(AF465="", "mean", "med")</f>
        <v>med</v>
      </c>
      <c r="AM465" s="12">
        <f>IF(AF465="", AD465, AF465)</f>
        <v>18.5</v>
      </c>
      <c r="AN465" s="12">
        <f>IF(AO465="", 0, 1)</f>
        <v>1</v>
      </c>
      <c r="AO465" s="22">
        <v>287</v>
      </c>
      <c r="AP465" s="12"/>
      <c r="AQ465" s="12"/>
      <c r="AR465" s="22">
        <v>14</v>
      </c>
      <c r="AS465" s="12"/>
      <c r="AT465" s="12"/>
      <c r="AU465" s="12"/>
      <c r="AV465" s="12"/>
      <c r="AW465" s="12"/>
      <c r="AX465" s="12" t="str">
        <f>IF(AR465="", "mean", "med")</f>
        <v>med</v>
      </c>
      <c r="AY465" s="12">
        <f>IF(AR465="", AP465, AR465)</f>
        <v>14</v>
      </c>
      <c r="AZ465" s="49" t="s">
        <v>52</v>
      </c>
      <c r="BA465" s="49" t="str">
        <f>IF(AZ465="high","high","lower")</f>
        <v>high</v>
      </c>
      <c r="BB465" s="49">
        <v>0.89400000000000002</v>
      </c>
      <c r="BC465" s="49"/>
      <c r="BD465" s="49"/>
      <c r="BE465" s="49"/>
      <c r="BF465" s="49"/>
      <c r="BG465" s="18" t="s">
        <v>1030</v>
      </c>
      <c r="BH465" s="18" t="s">
        <v>1031</v>
      </c>
    </row>
    <row r="466" spans="1:60" ht="15.75" customHeight="1" x14ac:dyDescent="0.2">
      <c r="A466" s="11">
        <v>469</v>
      </c>
      <c r="B466" s="12">
        <v>3947</v>
      </c>
      <c r="C466" s="13" t="s">
        <v>626</v>
      </c>
      <c r="D466" s="13" t="s">
        <v>209</v>
      </c>
      <c r="E466" s="23">
        <v>2014</v>
      </c>
      <c r="F466" s="23">
        <v>2014</v>
      </c>
      <c r="G466" s="13" t="s">
        <v>627</v>
      </c>
      <c r="H466" s="13"/>
      <c r="I466" s="13" t="s">
        <v>59</v>
      </c>
      <c r="J466" s="13" t="s">
        <v>320</v>
      </c>
      <c r="K466" s="13"/>
      <c r="L466" s="19" t="s">
        <v>41</v>
      </c>
      <c r="M466" s="20" t="s">
        <v>41</v>
      </c>
      <c r="N466" s="13" t="s">
        <v>50</v>
      </c>
      <c r="O466" s="14" t="s">
        <v>41</v>
      </c>
      <c r="P466" s="12">
        <f>IF(Q466="", 0, 1)</f>
        <v>1</v>
      </c>
      <c r="Q466" s="25">
        <v>144</v>
      </c>
      <c r="R466" s="17"/>
      <c r="S466" s="17"/>
      <c r="T466" s="17">
        <v>2</v>
      </c>
      <c r="U466" s="17"/>
      <c r="V466" s="17"/>
      <c r="W466" s="17"/>
      <c r="X466" s="17"/>
      <c r="Y466" s="17"/>
      <c r="Z466" s="17" t="str">
        <f>IF(T466="", "mean", "med")</f>
        <v>med</v>
      </c>
      <c r="AA466" s="17">
        <f>IF(T466="", R466, T466)</f>
        <v>2</v>
      </c>
      <c r="AB466" s="12">
        <f>IF(AC466="", 0, 1)</f>
        <v>1</v>
      </c>
      <c r="AC466" s="13">
        <v>144</v>
      </c>
      <c r="AD466" s="12"/>
      <c r="AE466" s="12"/>
      <c r="AF466" s="12">
        <v>32.5</v>
      </c>
      <c r="AG466" s="12"/>
      <c r="AH466" s="12"/>
      <c r="AI466" s="12"/>
      <c r="AJ466" s="12"/>
      <c r="AK466" s="12"/>
      <c r="AL466" s="12" t="str">
        <f>IF(AF466="", "mean", "med")</f>
        <v>med</v>
      </c>
      <c r="AM466" s="12">
        <f>IF(AF466="", AD466, AF466)</f>
        <v>32.5</v>
      </c>
      <c r="AN466" s="12">
        <f>IF(AO466="", 0, 1)</f>
        <v>1</v>
      </c>
      <c r="AO466" s="12">
        <v>197</v>
      </c>
      <c r="AP466" s="12"/>
      <c r="AQ466" s="12"/>
      <c r="AR466" s="12">
        <v>9.5</v>
      </c>
      <c r="AS466" s="12"/>
      <c r="AT466" s="12"/>
      <c r="AU466" s="12"/>
      <c r="AV466" s="12"/>
      <c r="AW466" s="12"/>
      <c r="AX466" s="12" t="str">
        <f>IF(AR466="", "mean", "med")</f>
        <v>med</v>
      </c>
      <c r="AY466" s="12">
        <f>IF(AR466="", AP466, AR466)</f>
        <v>9.5</v>
      </c>
      <c r="AZ466" s="49" t="s">
        <v>52</v>
      </c>
      <c r="BA466" s="49" t="str">
        <f>IF(AZ466="high","high","lower")</f>
        <v>high</v>
      </c>
      <c r="BB466" s="49">
        <v>0.89400000000000002</v>
      </c>
      <c r="BC466" s="49"/>
      <c r="BD466" s="49"/>
      <c r="BE466" s="49"/>
      <c r="BF466" s="49"/>
      <c r="BG466" s="18" t="s">
        <v>1030</v>
      </c>
      <c r="BH466" s="18" t="s">
        <v>1031</v>
      </c>
    </row>
    <row r="467" spans="1:60" ht="15.75" customHeight="1" x14ac:dyDescent="0.2">
      <c r="A467" s="11">
        <v>470</v>
      </c>
      <c r="B467" s="12">
        <v>3958</v>
      </c>
      <c r="C467" s="13" t="s">
        <v>628</v>
      </c>
      <c r="D467" s="13" t="s">
        <v>629</v>
      </c>
      <c r="E467" s="23">
        <v>2006</v>
      </c>
      <c r="F467" s="23">
        <v>2012</v>
      </c>
      <c r="G467" s="13" t="s">
        <v>117</v>
      </c>
      <c r="H467" s="13"/>
      <c r="I467" s="13" t="s">
        <v>57</v>
      </c>
      <c r="J467" s="13" t="s">
        <v>58</v>
      </c>
      <c r="K467" s="13"/>
      <c r="L467" s="19">
        <f>691/1729*100</f>
        <v>39.965297860034703</v>
      </c>
      <c r="M467" s="16">
        <v>70</v>
      </c>
      <c r="N467" s="13" t="s">
        <v>42</v>
      </c>
      <c r="O467" s="14" t="s">
        <v>630</v>
      </c>
      <c r="P467" s="12">
        <f>IF(Q467="", 0, 1)</f>
        <v>1</v>
      </c>
      <c r="Q467" s="22">
        <v>1729</v>
      </c>
      <c r="R467" s="17"/>
      <c r="S467" s="17"/>
      <c r="T467" s="17">
        <v>32</v>
      </c>
      <c r="U467" s="17">
        <v>15</v>
      </c>
      <c r="V467" s="17">
        <v>58</v>
      </c>
      <c r="W467" s="17"/>
      <c r="X467" s="17"/>
      <c r="Y467" s="17"/>
      <c r="Z467" s="17" t="str">
        <f>IF(T467="", "mean", "med")</f>
        <v>med</v>
      </c>
      <c r="AA467" s="17">
        <f>IF(T467="", R467, T467)</f>
        <v>32</v>
      </c>
      <c r="AB467" s="12">
        <f>IF(AC467="", 0, 1)</f>
        <v>0</v>
      </c>
      <c r="AC467" s="13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>
        <f>IF(AO467="", 0, 1)</f>
        <v>0</v>
      </c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 t="s">
        <v>52</v>
      </c>
      <c r="BA467" s="12" t="str">
        <f>IF(AZ467="high","high","lower")</f>
        <v>high</v>
      </c>
      <c r="BB467" s="49">
        <v>0.92500000000000004</v>
      </c>
      <c r="BC467" s="12">
        <v>90.6</v>
      </c>
      <c r="BD467" s="12">
        <v>98</v>
      </c>
      <c r="BE467" s="12">
        <v>100</v>
      </c>
      <c r="BF467" s="12">
        <v>90</v>
      </c>
      <c r="BG467" s="18" t="s">
        <v>1034</v>
      </c>
      <c r="BH467" s="18" t="s">
        <v>1031</v>
      </c>
    </row>
    <row r="468" spans="1:60" ht="15.75" customHeight="1" x14ac:dyDescent="0.2">
      <c r="A468" s="11">
        <v>471</v>
      </c>
      <c r="B468" s="12">
        <v>3960</v>
      </c>
      <c r="C468" s="13" t="s">
        <v>631</v>
      </c>
      <c r="D468" s="14" t="s">
        <v>149</v>
      </c>
      <c r="E468" s="23">
        <v>2003</v>
      </c>
      <c r="F468" s="23">
        <v>2014</v>
      </c>
      <c r="G468" s="13" t="s">
        <v>131</v>
      </c>
      <c r="H468" s="13"/>
      <c r="I468" s="13" t="s">
        <v>54</v>
      </c>
      <c r="J468" s="13" t="s">
        <v>229</v>
      </c>
      <c r="K468" s="13" t="s">
        <v>224</v>
      </c>
      <c r="L468" s="19">
        <v>20.09</v>
      </c>
      <c r="M468" s="16">
        <v>63</v>
      </c>
      <c r="N468" s="13" t="s">
        <v>42</v>
      </c>
      <c r="O468" s="14" t="s">
        <v>632</v>
      </c>
      <c r="P468" s="12">
        <f>IF(Q468="", 0, 1)</f>
        <v>1</v>
      </c>
      <c r="Q468" s="12">
        <v>214</v>
      </c>
      <c r="R468" s="17"/>
      <c r="S468" s="17"/>
      <c r="T468" s="17">
        <v>44.8</v>
      </c>
      <c r="U468" s="17">
        <v>37.1</v>
      </c>
      <c r="V468" s="17">
        <v>53.9</v>
      </c>
      <c r="W468" s="17"/>
      <c r="X468" s="17"/>
      <c r="Y468" s="17"/>
      <c r="Z468" s="17" t="str">
        <f>IF(T468="", "mean", "med")</f>
        <v>med</v>
      </c>
      <c r="AA468" s="17">
        <f>IF(T468="", R468, T468)</f>
        <v>44.8</v>
      </c>
      <c r="AB468" s="12">
        <f>IF(AC468="", 0, 1)</f>
        <v>0</v>
      </c>
      <c r="AC468" s="13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>
        <f>IF(AO468="", 0, 1)</f>
        <v>0</v>
      </c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 t="s">
        <v>52</v>
      </c>
      <c r="BA468" s="12" t="str">
        <f>IF(AZ468="high","high","lower")</f>
        <v>high</v>
      </c>
      <c r="BB468" s="49">
        <v>0.91300000000000003</v>
      </c>
      <c r="BC468" s="12">
        <v>89.9</v>
      </c>
      <c r="BD468" s="12">
        <v>94</v>
      </c>
      <c r="BE468" s="12">
        <v>100</v>
      </c>
      <c r="BF468" s="12">
        <v>92.1</v>
      </c>
      <c r="BG468" s="18" t="s">
        <v>1030</v>
      </c>
      <c r="BH468" s="18" t="s">
        <v>1031</v>
      </c>
    </row>
    <row r="469" spans="1:60" ht="15.75" customHeight="1" x14ac:dyDescent="0.2">
      <c r="A469" s="11">
        <v>472</v>
      </c>
      <c r="B469" s="12">
        <v>3960</v>
      </c>
      <c r="C469" s="13" t="s">
        <v>631</v>
      </c>
      <c r="D469" s="13" t="s">
        <v>633</v>
      </c>
      <c r="E469" s="23">
        <v>2003</v>
      </c>
      <c r="F469" s="23">
        <v>2014</v>
      </c>
      <c r="G469" s="13" t="s">
        <v>131</v>
      </c>
      <c r="H469" s="13"/>
      <c r="I469" s="13" t="s">
        <v>54</v>
      </c>
      <c r="J469" s="13" t="s">
        <v>229</v>
      </c>
      <c r="K469" s="13" t="s">
        <v>224</v>
      </c>
      <c r="L469" s="15">
        <v>32.119999999999997</v>
      </c>
      <c r="M469" s="16">
        <v>64</v>
      </c>
      <c r="N469" s="13" t="s">
        <v>42</v>
      </c>
      <c r="O469" s="13" t="s">
        <v>632</v>
      </c>
      <c r="P469" s="12">
        <f>IF(Q469="", 0, 1)</f>
        <v>1</v>
      </c>
      <c r="Q469" s="12">
        <v>137</v>
      </c>
      <c r="R469" s="17"/>
      <c r="S469" s="17"/>
      <c r="T469" s="17">
        <v>67.900000000000006</v>
      </c>
      <c r="U469" s="17">
        <v>56</v>
      </c>
      <c r="V469" s="17">
        <v>91.7</v>
      </c>
      <c r="W469" s="17"/>
      <c r="X469" s="17"/>
      <c r="Y469" s="17"/>
      <c r="Z469" s="17" t="str">
        <f>IF(T469="", "mean", "med")</f>
        <v>med</v>
      </c>
      <c r="AA469" s="17">
        <f>IF(T469="", R469, T469)</f>
        <v>67.900000000000006</v>
      </c>
      <c r="AB469" s="12">
        <f>IF(AC469="", 0, 1)</f>
        <v>0</v>
      </c>
      <c r="AC469" s="13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>
        <f>IF(AO469="", 0, 1)</f>
        <v>0</v>
      </c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 t="s">
        <v>52</v>
      </c>
      <c r="BA469" s="12" t="str">
        <f>IF(AZ469="high","high","lower")</f>
        <v>high</v>
      </c>
      <c r="BB469" s="49">
        <v>0.91300000000000003</v>
      </c>
      <c r="BC469" s="12">
        <v>89.9</v>
      </c>
      <c r="BD469" s="12">
        <v>94</v>
      </c>
      <c r="BE469" s="12">
        <v>100</v>
      </c>
      <c r="BF469" s="12">
        <v>92.1</v>
      </c>
      <c r="BG469" s="18" t="s">
        <v>1030</v>
      </c>
      <c r="BH469" s="18" t="s">
        <v>1031</v>
      </c>
    </row>
    <row r="470" spans="1:60" ht="15.75" customHeight="1" x14ac:dyDescent="0.2">
      <c r="A470" s="11">
        <v>473</v>
      </c>
      <c r="B470" s="22">
        <v>3961</v>
      </c>
      <c r="C470" s="13" t="s">
        <v>631</v>
      </c>
      <c r="D470" s="14" t="s">
        <v>634</v>
      </c>
      <c r="E470" s="23">
        <v>2005</v>
      </c>
      <c r="F470" s="23">
        <v>2013</v>
      </c>
      <c r="G470" s="13" t="s">
        <v>131</v>
      </c>
      <c r="H470" s="13"/>
      <c r="I470" s="13" t="s">
        <v>54</v>
      </c>
      <c r="J470" s="13" t="s">
        <v>229</v>
      </c>
      <c r="K470" s="14" t="s">
        <v>224</v>
      </c>
      <c r="L470" s="15">
        <f>572/2589*100</f>
        <v>22.093472383159522</v>
      </c>
      <c r="M470" s="16">
        <v>62.7</v>
      </c>
      <c r="N470" s="13" t="s">
        <v>42</v>
      </c>
      <c r="O470" s="13" t="s">
        <v>636</v>
      </c>
      <c r="P470" s="12">
        <f>IF(Q470="", 0, 1)</f>
        <v>1</v>
      </c>
      <c r="Q470" s="52">
        <v>2317</v>
      </c>
      <c r="R470" s="21"/>
      <c r="S470" s="21"/>
      <c r="T470" s="17">
        <f>6.1*7</f>
        <v>42.699999999999996</v>
      </c>
      <c r="U470" s="17">
        <f>4.9*7</f>
        <v>34.300000000000004</v>
      </c>
      <c r="V470" s="17">
        <f>7.7*7</f>
        <v>53.9</v>
      </c>
      <c r="W470" s="17"/>
      <c r="X470" s="17"/>
      <c r="Y470" s="17"/>
      <c r="Z470" s="17" t="str">
        <f>IF(T470="", "mean", "med")</f>
        <v>med</v>
      </c>
      <c r="AA470" s="17">
        <f>IF(T470="", R470, T470)</f>
        <v>42.699999999999996</v>
      </c>
      <c r="AB470" s="12">
        <f>IF(AC470="", 0, 1)</f>
        <v>0</v>
      </c>
      <c r="AC470" s="13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>
        <f>IF(AO470="", 0, 1)</f>
        <v>0</v>
      </c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 t="s">
        <v>52</v>
      </c>
      <c r="BA470" s="12" t="str">
        <f>IF(AZ470="high","high","lower")</f>
        <v>high</v>
      </c>
      <c r="BB470" s="49">
        <v>0.91500000000000004</v>
      </c>
      <c r="BC470" s="12">
        <v>89.9</v>
      </c>
      <c r="BD470" s="12">
        <v>94</v>
      </c>
      <c r="BE470" s="12">
        <v>100</v>
      </c>
      <c r="BF470" s="12">
        <v>92.1</v>
      </c>
      <c r="BG470" s="18" t="s">
        <v>1030</v>
      </c>
      <c r="BH470" s="18" t="s">
        <v>1031</v>
      </c>
    </row>
    <row r="471" spans="1:60" ht="15.75" customHeight="1" x14ac:dyDescent="0.2">
      <c r="A471" s="11">
        <v>474</v>
      </c>
      <c r="B471" s="12">
        <v>3961</v>
      </c>
      <c r="C471" s="13" t="s">
        <v>631</v>
      </c>
      <c r="D471" s="14" t="s">
        <v>90</v>
      </c>
      <c r="E471" s="23">
        <v>2005</v>
      </c>
      <c r="F471" s="23">
        <v>2013</v>
      </c>
      <c r="G471" s="13" t="s">
        <v>131</v>
      </c>
      <c r="H471" s="13"/>
      <c r="I471" s="13" t="s">
        <v>54</v>
      </c>
      <c r="J471" s="13" t="s">
        <v>229</v>
      </c>
      <c r="K471" s="14" t="s">
        <v>224</v>
      </c>
      <c r="L471" s="15">
        <f>309/1250*100</f>
        <v>24.72</v>
      </c>
      <c r="M471" s="16">
        <v>64.7</v>
      </c>
      <c r="N471" s="13" t="s">
        <v>42</v>
      </c>
      <c r="O471" s="13" t="s">
        <v>636</v>
      </c>
      <c r="P471" s="12">
        <f>IF(Q471="", 0, 1)</f>
        <v>1</v>
      </c>
      <c r="Q471" s="25">
        <v>1146</v>
      </c>
      <c r="R471" s="17"/>
      <c r="S471" s="17"/>
      <c r="T471" s="17">
        <f>8.4*7</f>
        <v>58.800000000000004</v>
      </c>
      <c r="U471" s="17">
        <f>6.1*7</f>
        <v>42.699999999999996</v>
      </c>
      <c r="V471" s="17">
        <f>11.7*7</f>
        <v>81.899999999999991</v>
      </c>
      <c r="W471" s="17"/>
      <c r="X471" s="17"/>
      <c r="Y471" s="17"/>
      <c r="Z471" s="17" t="str">
        <f>IF(T471="", "mean", "med")</f>
        <v>med</v>
      </c>
      <c r="AA471" s="17">
        <f>IF(T471="", R471, T471)</f>
        <v>58.800000000000004</v>
      </c>
      <c r="AB471" s="12">
        <f>IF(AC471="", 0, 1)</f>
        <v>0</v>
      </c>
      <c r="AC471" s="13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>
        <f>IF(AO471="", 0, 1)</f>
        <v>0</v>
      </c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 t="s">
        <v>52</v>
      </c>
      <c r="BA471" s="12" t="str">
        <f>IF(AZ471="high","high","lower")</f>
        <v>high</v>
      </c>
      <c r="BB471" s="49">
        <v>0.91500000000000004</v>
      </c>
      <c r="BC471" s="12">
        <v>89.9</v>
      </c>
      <c r="BD471" s="12">
        <v>94</v>
      </c>
      <c r="BE471" s="12">
        <v>100</v>
      </c>
      <c r="BF471" s="12">
        <v>92.1</v>
      </c>
      <c r="BG471" s="18" t="s">
        <v>1030</v>
      </c>
      <c r="BH471" s="18" t="s">
        <v>1031</v>
      </c>
    </row>
    <row r="472" spans="1:60" ht="15.75" customHeight="1" x14ac:dyDescent="0.2">
      <c r="A472" s="11">
        <v>475</v>
      </c>
      <c r="B472" s="12">
        <v>3980</v>
      </c>
      <c r="C472" s="13" t="s">
        <v>637</v>
      </c>
      <c r="D472" s="14" t="s">
        <v>38</v>
      </c>
      <c r="E472" s="23">
        <v>2010</v>
      </c>
      <c r="F472" s="23">
        <v>2013</v>
      </c>
      <c r="G472" s="13" t="s">
        <v>77</v>
      </c>
      <c r="H472" s="13"/>
      <c r="I472" s="13" t="s">
        <v>54</v>
      </c>
      <c r="J472" s="14" t="s">
        <v>55</v>
      </c>
      <c r="K472" s="14"/>
      <c r="L472" s="19">
        <v>42.8</v>
      </c>
      <c r="M472" s="16">
        <v>71</v>
      </c>
      <c r="N472" s="13" t="s">
        <v>42</v>
      </c>
      <c r="O472" s="14"/>
      <c r="P472" s="12">
        <f>IF(Q472="", 0, 1)</f>
        <v>0</v>
      </c>
      <c r="Q472" s="22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2">
        <f>IF(AC472="", 0, 1)</f>
        <v>0</v>
      </c>
      <c r="AC472" s="13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>
        <f>IF(AO472="", 0, 1)</f>
        <v>1</v>
      </c>
      <c r="AO472" s="12">
        <v>128</v>
      </c>
      <c r="AP472" s="12"/>
      <c r="AQ472" s="12"/>
      <c r="AR472" s="12">
        <v>41</v>
      </c>
      <c r="AS472" s="12">
        <v>13</v>
      </c>
      <c r="AT472" s="12">
        <v>92</v>
      </c>
      <c r="AU472" s="12"/>
      <c r="AV472" s="12"/>
      <c r="AW472" s="12"/>
      <c r="AX472" s="12" t="str">
        <f>IF(AR472="", "mean", "med")</f>
        <v>med</v>
      </c>
      <c r="AY472" s="12">
        <f>IF(AR472="", AP472, AR472)</f>
        <v>41</v>
      </c>
      <c r="AZ472" s="12" t="s">
        <v>52</v>
      </c>
      <c r="BA472" s="12" t="str">
        <f>IF(AZ472="high","high","lower")</f>
        <v>high</v>
      </c>
      <c r="BB472" s="49">
        <v>0.91100000000000003</v>
      </c>
      <c r="BC472" s="12">
        <v>85.3</v>
      </c>
      <c r="BD472" s="12">
        <v>96.3</v>
      </c>
      <c r="BE472" s="12">
        <v>91.7</v>
      </c>
      <c r="BF472" s="12">
        <v>80</v>
      </c>
      <c r="BG472" s="18" t="s">
        <v>1034</v>
      </c>
      <c r="BH472" s="18" t="s">
        <v>1031</v>
      </c>
    </row>
    <row r="473" spans="1:60" ht="15.75" customHeight="1" x14ac:dyDescent="0.2">
      <c r="A473" s="11">
        <v>476</v>
      </c>
      <c r="B473" s="12">
        <v>3982</v>
      </c>
      <c r="C473" s="13" t="s">
        <v>637</v>
      </c>
      <c r="D473" s="13" t="s">
        <v>38</v>
      </c>
      <c r="E473" s="23">
        <v>2011</v>
      </c>
      <c r="F473" s="23">
        <v>2014</v>
      </c>
      <c r="G473" s="13" t="s">
        <v>77</v>
      </c>
      <c r="H473" s="13"/>
      <c r="I473" s="13" t="s">
        <v>54</v>
      </c>
      <c r="J473" s="13" t="s">
        <v>229</v>
      </c>
      <c r="K473" s="14" t="s">
        <v>288</v>
      </c>
      <c r="L473" s="19">
        <v>52.1</v>
      </c>
      <c r="M473" s="16">
        <v>68</v>
      </c>
      <c r="N473" s="13" t="s">
        <v>42</v>
      </c>
      <c r="O473" s="14"/>
      <c r="P473" s="12">
        <f>IF(Q473="", 0, 1)</f>
        <v>0</v>
      </c>
      <c r="Q473" s="22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2">
        <f>IF(AC473="", 0, 1)</f>
        <v>1</v>
      </c>
      <c r="AC473" s="32">
        <v>106</v>
      </c>
      <c r="AD473" s="12"/>
      <c r="AE473" s="12"/>
      <c r="AF473" s="12">
        <v>76</v>
      </c>
      <c r="AG473" s="12">
        <v>28</v>
      </c>
      <c r="AH473" s="12">
        <v>161</v>
      </c>
      <c r="AI473" s="12"/>
      <c r="AJ473" s="12"/>
      <c r="AK473" s="12"/>
      <c r="AL473" s="12" t="str">
        <f>IF(AF473="", "mean", "med")</f>
        <v>med</v>
      </c>
      <c r="AM473" s="12">
        <f>IF(AF473="", AD473, AF473)</f>
        <v>76</v>
      </c>
      <c r="AN473" s="12">
        <f>IF(AO473="", 0, 1)</f>
        <v>1</v>
      </c>
      <c r="AO473" s="12">
        <v>106</v>
      </c>
      <c r="AP473" s="12"/>
      <c r="AQ473" s="12"/>
      <c r="AR473" s="12">
        <v>18</v>
      </c>
      <c r="AS473" s="12">
        <v>0</v>
      </c>
      <c r="AT473" s="12">
        <v>37</v>
      </c>
      <c r="AU473" s="12"/>
      <c r="AV473" s="12"/>
      <c r="AW473" s="12"/>
      <c r="AX473" s="12" t="str">
        <f>IF(AR473="", "mean", "med")</f>
        <v>med</v>
      </c>
      <c r="AY473" s="12">
        <f>IF(AR473="", AP473, AR473)</f>
        <v>18</v>
      </c>
      <c r="AZ473" s="12" t="s">
        <v>52</v>
      </c>
      <c r="BA473" s="12" t="str">
        <f>IF(AZ473="high","high","lower")</f>
        <v>high</v>
      </c>
      <c r="BB473" s="49">
        <v>0.91400000000000003</v>
      </c>
      <c r="BC473" s="12">
        <v>85.3</v>
      </c>
      <c r="BD473" s="12">
        <v>96.3</v>
      </c>
      <c r="BE473" s="12">
        <v>91.7</v>
      </c>
      <c r="BF473" s="12">
        <v>80</v>
      </c>
      <c r="BG473" s="18" t="s">
        <v>1030</v>
      </c>
      <c r="BH473" s="18" t="s">
        <v>1031</v>
      </c>
    </row>
    <row r="474" spans="1:60" ht="15.75" customHeight="1" x14ac:dyDescent="0.2">
      <c r="A474" s="11">
        <v>477</v>
      </c>
      <c r="B474" s="12">
        <v>3993</v>
      </c>
      <c r="C474" s="13" t="s">
        <v>638</v>
      </c>
      <c r="D474" s="13" t="s">
        <v>38</v>
      </c>
      <c r="E474" s="23">
        <v>1992</v>
      </c>
      <c r="F474" s="23">
        <v>2004</v>
      </c>
      <c r="G474" s="13" t="s">
        <v>49</v>
      </c>
      <c r="H474" s="13"/>
      <c r="I474" s="13" t="s">
        <v>57</v>
      </c>
      <c r="J474" s="13" t="s">
        <v>58</v>
      </c>
      <c r="K474" s="13"/>
      <c r="L474" s="19">
        <v>28.27</v>
      </c>
      <c r="M474" s="16">
        <v>65</v>
      </c>
      <c r="N474" s="13" t="s">
        <v>42</v>
      </c>
      <c r="O474" s="13" t="s">
        <v>639</v>
      </c>
      <c r="P474" s="12">
        <f>IF(Q474="", 0, 1)</f>
        <v>1</v>
      </c>
      <c r="Q474" s="24">
        <v>237</v>
      </c>
      <c r="R474" s="17"/>
      <c r="S474" s="17"/>
      <c r="T474" s="17">
        <v>57</v>
      </c>
      <c r="U474" s="17"/>
      <c r="V474" s="17"/>
      <c r="W474" s="17"/>
      <c r="X474" s="17">
        <v>0</v>
      </c>
      <c r="Y474" s="17">
        <v>377</v>
      </c>
      <c r="Z474" s="17" t="str">
        <f>IF(T474="", "mean", "med")</f>
        <v>med</v>
      </c>
      <c r="AA474" s="17">
        <f>IF(T474="", R474, T474)</f>
        <v>57</v>
      </c>
      <c r="AB474" s="12">
        <f>IF(AC474="", 0, 1)</f>
        <v>0</v>
      </c>
      <c r="AC474" s="13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>
        <f>IF(AO474="", 0, 1)</f>
        <v>0</v>
      </c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 t="s">
        <v>52</v>
      </c>
      <c r="BA474" s="12" t="str">
        <f>IF(AZ474="high","high","lower")</f>
        <v>high</v>
      </c>
      <c r="BB474" s="49">
        <v>0.88600000000000001</v>
      </c>
      <c r="BC474" s="12">
        <v>84</v>
      </c>
      <c r="BD474" s="12">
        <v>88</v>
      </c>
      <c r="BE474" s="12">
        <v>100</v>
      </c>
      <c r="BF474" s="12">
        <v>84.2</v>
      </c>
      <c r="BG474" s="18" t="s">
        <v>1030</v>
      </c>
      <c r="BH474" s="18" t="s">
        <v>1031</v>
      </c>
    </row>
    <row r="475" spans="1:60" ht="15.75" customHeight="1" x14ac:dyDescent="0.2">
      <c r="A475" s="11">
        <v>478</v>
      </c>
      <c r="B475" s="12">
        <v>4000</v>
      </c>
      <c r="C475" s="13" t="s">
        <v>640</v>
      </c>
      <c r="D475" s="13" t="s">
        <v>38</v>
      </c>
      <c r="E475" s="23">
        <v>2006</v>
      </c>
      <c r="F475" s="23">
        <v>2015</v>
      </c>
      <c r="G475" s="13" t="s">
        <v>134</v>
      </c>
      <c r="H475" s="13"/>
      <c r="I475" s="13" t="s">
        <v>54</v>
      </c>
      <c r="J475" s="13" t="s">
        <v>89</v>
      </c>
      <c r="K475" s="14"/>
      <c r="L475" s="19">
        <f>456/908*100</f>
        <v>50.220264317180622</v>
      </c>
      <c r="M475" s="16" t="s">
        <v>41</v>
      </c>
      <c r="N475" s="13" t="s">
        <v>42</v>
      </c>
      <c r="O475" s="13" t="s">
        <v>90</v>
      </c>
      <c r="P475" s="12">
        <f>IF(Q475="", 0, 1)</f>
        <v>1</v>
      </c>
      <c r="Q475" s="24">
        <v>908</v>
      </c>
      <c r="R475" s="17"/>
      <c r="S475" s="17"/>
      <c r="T475" s="17">
        <v>38</v>
      </c>
      <c r="U475" s="17">
        <v>21</v>
      </c>
      <c r="V475" s="17">
        <v>61</v>
      </c>
      <c r="W475" s="17"/>
      <c r="X475" s="17"/>
      <c r="Y475" s="17"/>
      <c r="Z475" s="17" t="str">
        <f>IF(T475="", "mean", "med")</f>
        <v>med</v>
      </c>
      <c r="AA475" s="17">
        <f>IF(T475="", R475, T475)</f>
        <v>38</v>
      </c>
      <c r="AB475" s="12">
        <f>IF(AC475="", 0, 1)</f>
        <v>0</v>
      </c>
      <c r="AC475" s="13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>
        <f>IF(AO475="", 0, 1)</f>
        <v>0</v>
      </c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 t="s">
        <v>52</v>
      </c>
      <c r="BA475" s="12" t="str">
        <f>IF(AZ475="high","high","lower")</f>
        <v>high</v>
      </c>
      <c r="BB475" s="49">
        <v>0.90500000000000003</v>
      </c>
      <c r="BC475" s="12">
        <v>84.8</v>
      </c>
      <c r="BD475" s="12">
        <v>94</v>
      </c>
      <c r="BE475" s="12">
        <v>100</v>
      </c>
      <c r="BF475" s="12">
        <v>82.2</v>
      </c>
      <c r="BG475" s="18" t="s">
        <v>1030</v>
      </c>
      <c r="BH475" s="18" t="s">
        <v>1031</v>
      </c>
    </row>
    <row r="476" spans="1:60" ht="15.75" customHeight="1" x14ac:dyDescent="0.2">
      <c r="A476" s="11">
        <v>479</v>
      </c>
      <c r="B476" s="12">
        <v>4015</v>
      </c>
      <c r="C476" s="13" t="s">
        <v>641</v>
      </c>
      <c r="D476" s="13" t="s">
        <v>38</v>
      </c>
      <c r="E476" s="23">
        <v>2008</v>
      </c>
      <c r="F476" s="23">
        <v>2012</v>
      </c>
      <c r="G476" s="13" t="s">
        <v>134</v>
      </c>
      <c r="H476" s="13"/>
      <c r="I476" s="13" t="s">
        <v>54</v>
      </c>
      <c r="J476" s="13" t="s">
        <v>55</v>
      </c>
      <c r="K476" s="14"/>
      <c r="L476" s="19">
        <v>45.8</v>
      </c>
      <c r="M476" s="16">
        <v>68.599999999999994</v>
      </c>
      <c r="N476" s="13" t="s">
        <v>42</v>
      </c>
      <c r="O476" s="13"/>
      <c r="P476" s="12">
        <f>IF(Q476="", 0, 1)</f>
        <v>0</v>
      </c>
      <c r="Q476" s="22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2">
        <f>IF(AC476="", 0, 1)</f>
        <v>1</v>
      </c>
      <c r="AC476" s="13">
        <v>19750</v>
      </c>
      <c r="AD476" s="12"/>
      <c r="AE476" s="12"/>
      <c r="AF476" s="12">
        <v>92</v>
      </c>
      <c r="AG476" s="12">
        <v>32</v>
      </c>
      <c r="AH476" s="12">
        <v>196</v>
      </c>
      <c r="AI476" s="12"/>
      <c r="AJ476" s="12">
        <v>1</v>
      </c>
      <c r="AK476" s="12">
        <v>549</v>
      </c>
      <c r="AL476" s="12" t="str">
        <f>IF(AF476="", "mean", "med")</f>
        <v>med</v>
      </c>
      <c r="AM476" s="12">
        <f>IF(AF476="", AD476, AF476)</f>
        <v>92</v>
      </c>
      <c r="AN476" s="12">
        <f>IF(AO476="", 0, 1)</f>
        <v>0</v>
      </c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 t="s">
        <v>52</v>
      </c>
      <c r="BA476" s="12" t="str">
        <f>IF(AZ476="high","high","lower")</f>
        <v>high</v>
      </c>
      <c r="BB476" s="49">
        <v>0.90100000000000002</v>
      </c>
      <c r="BC476" s="12">
        <v>84.8</v>
      </c>
      <c r="BD476" s="12">
        <v>94</v>
      </c>
      <c r="BE476" s="12">
        <v>100</v>
      </c>
      <c r="BF476" s="12">
        <v>82.2</v>
      </c>
      <c r="BG476" s="18" t="s">
        <v>1034</v>
      </c>
      <c r="BH476" s="18" t="s">
        <v>1031</v>
      </c>
    </row>
    <row r="477" spans="1:60" ht="15.75" customHeight="1" x14ac:dyDescent="0.2">
      <c r="A477" s="11">
        <v>480</v>
      </c>
      <c r="B477" s="12">
        <v>4017</v>
      </c>
      <c r="C477" s="13" t="s">
        <v>642</v>
      </c>
      <c r="D477" s="14" t="s">
        <v>38</v>
      </c>
      <c r="E477" s="13">
        <v>2019</v>
      </c>
      <c r="F477" s="13">
        <v>2019</v>
      </c>
      <c r="G477" s="13" t="s">
        <v>117</v>
      </c>
      <c r="H477" s="13"/>
      <c r="I477" s="13" t="s">
        <v>79</v>
      </c>
      <c r="J477" s="31" t="s">
        <v>236</v>
      </c>
      <c r="K477" s="14"/>
      <c r="L477" s="19">
        <f>29/103*100</f>
        <v>28.155339805825243</v>
      </c>
      <c r="M477" s="20">
        <v>65</v>
      </c>
      <c r="N477" s="13" t="s">
        <v>42</v>
      </c>
      <c r="O477" s="13"/>
      <c r="P477" s="12">
        <f>IF(Q477="", 0, 1)</f>
        <v>0</v>
      </c>
      <c r="Q477" s="12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2">
        <f>IF(AC477="", 0, 1)</f>
        <v>0</v>
      </c>
      <c r="AC477" s="30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>
        <f>IF(AO477="", 0, 1)</f>
        <v>1</v>
      </c>
      <c r="AO477" s="22">
        <v>95</v>
      </c>
      <c r="AP477" s="12"/>
      <c r="AQ477" s="12"/>
      <c r="AR477" s="22">
        <v>14</v>
      </c>
      <c r="AS477" s="12"/>
      <c r="AT477" s="12"/>
      <c r="AU477" s="12"/>
      <c r="AV477" s="12"/>
      <c r="AW477" s="12"/>
      <c r="AX477" s="12" t="str">
        <f>IF(AR477="", "mean", "med")</f>
        <v>med</v>
      </c>
      <c r="AY477" s="12">
        <f>IF(AR477="", AP477, AR477)</f>
        <v>14</v>
      </c>
      <c r="AZ477" s="12" t="s">
        <v>52</v>
      </c>
      <c r="BA477" s="12" t="str">
        <f>IF(AZ477="high","high","lower")</f>
        <v>high</v>
      </c>
      <c r="BB477" s="47"/>
      <c r="BC477" s="12">
        <v>90.6</v>
      </c>
      <c r="BD477" s="12">
        <v>98</v>
      </c>
      <c r="BE477" s="12">
        <v>100</v>
      </c>
      <c r="BF477" s="12">
        <v>90</v>
      </c>
      <c r="BG477" s="18" t="s">
        <v>1032</v>
      </c>
      <c r="BH477" s="18" t="s">
        <v>1033</v>
      </c>
    </row>
    <row r="478" spans="1:60" ht="15.75" customHeight="1" x14ac:dyDescent="0.2">
      <c r="A478" s="11">
        <v>481</v>
      </c>
      <c r="B478" s="12">
        <v>4037</v>
      </c>
      <c r="C478" s="13" t="s">
        <v>272</v>
      </c>
      <c r="D478" s="14" t="s">
        <v>38</v>
      </c>
      <c r="E478" s="23">
        <v>2013</v>
      </c>
      <c r="F478" s="23">
        <v>2015</v>
      </c>
      <c r="G478" s="13" t="s">
        <v>117</v>
      </c>
      <c r="H478" s="13"/>
      <c r="I478" s="13" t="s">
        <v>57</v>
      </c>
      <c r="J478" s="14" t="s">
        <v>58</v>
      </c>
      <c r="K478" s="14"/>
      <c r="L478" s="15">
        <v>42</v>
      </c>
      <c r="M478" s="16">
        <v>68</v>
      </c>
      <c r="N478" s="13" t="s">
        <v>42</v>
      </c>
      <c r="O478" s="13" t="s">
        <v>90</v>
      </c>
      <c r="P478" s="12">
        <f>IF(Q478="", 0, 1)</f>
        <v>1</v>
      </c>
      <c r="Q478" s="22">
        <v>108</v>
      </c>
      <c r="R478" s="17"/>
      <c r="S478" s="17"/>
      <c r="T478" s="17">
        <v>17</v>
      </c>
      <c r="U478" s="17">
        <v>0</v>
      </c>
      <c r="V478" s="17">
        <v>36</v>
      </c>
      <c r="W478" s="17"/>
      <c r="X478" s="17"/>
      <c r="Y478" s="17"/>
      <c r="Z478" s="17" t="str">
        <f>IF(T478="", "mean", "med")</f>
        <v>med</v>
      </c>
      <c r="AA478" s="17">
        <f>IF(T478="", R478, T478)</f>
        <v>17</v>
      </c>
      <c r="AB478" s="12">
        <f>IF(AC478="", 0, 1)</f>
        <v>1</v>
      </c>
      <c r="AC478" s="13">
        <v>107</v>
      </c>
      <c r="AD478" s="12"/>
      <c r="AE478" s="12"/>
      <c r="AF478" s="12">
        <v>37</v>
      </c>
      <c r="AG478" s="12">
        <v>7</v>
      </c>
      <c r="AH478" s="12">
        <v>104</v>
      </c>
      <c r="AI478" s="12"/>
      <c r="AJ478" s="12"/>
      <c r="AK478" s="12"/>
      <c r="AL478" s="12" t="str">
        <f>IF(AF478="", "mean", "med")</f>
        <v>med</v>
      </c>
      <c r="AM478" s="12">
        <f>IF(AF478="", AD478, AF478)</f>
        <v>37</v>
      </c>
      <c r="AN478" s="12">
        <f>IF(AO478="", 0, 1)</f>
        <v>1</v>
      </c>
      <c r="AO478" s="12">
        <v>103</v>
      </c>
      <c r="AP478" s="12"/>
      <c r="AQ478" s="12"/>
      <c r="AR478" s="12">
        <v>15</v>
      </c>
      <c r="AS478" s="12">
        <v>1</v>
      </c>
      <c r="AT478" s="12">
        <v>59</v>
      </c>
      <c r="AU478" s="12"/>
      <c r="AV478" s="12"/>
      <c r="AW478" s="12"/>
      <c r="AX478" s="12" t="str">
        <f>IF(AR478="", "mean", "med")</f>
        <v>med</v>
      </c>
      <c r="AY478" s="12">
        <f>IF(AR478="", AP478, AR478)</f>
        <v>15</v>
      </c>
      <c r="AZ478" s="12" t="s">
        <v>52</v>
      </c>
      <c r="BA478" s="12" t="str">
        <f>IF(AZ478="high","high","lower")</f>
        <v>high</v>
      </c>
      <c r="BB478" s="49">
        <v>0.93400000000000005</v>
      </c>
      <c r="BC478" s="12">
        <v>90.6</v>
      </c>
      <c r="BD478" s="12">
        <v>98</v>
      </c>
      <c r="BE478" s="12">
        <v>100</v>
      </c>
      <c r="BF478" s="12">
        <v>90</v>
      </c>
      <c r="BG478" s="18" t="s">
        <v>1034</v>
      </c>
      <c r="BH478" s="18" t="s">
        <v>1031</v>
      </c>
    </row>
    <row r="479" spans="1:60" ht="15.75" customHeight="1" x14ac:dyDescent="0.2">
      <c r="A479" s="11">
        <v>482</v>
      </c>
      <c r="B479" s="12">
        <v>4042</v>
      </c>
      <c r="C479" s="13" t="s">
        <v>643</v>
      </c>
      <c r="D479" s="13" t="s">
        <v>38</v>
      </c>
      <c r="E479" s="23">
        <v>1980</v>
      </c>
      <c r="F479" s="23">
        <v>2002</v>
      </c>
      <c r="G479" s="13" t="s">
        <v>370</v>
      </c>
      <c r="H479" s="13"/>
      <c r="I479" s="31" t="s">
        <v>467</v>
      </c>
      <c r="J479" s="13" t="s">
        <v>466</v>
      </c>
      <c r="K479" s="14"/>
      <c r="L479" s="15">
        <f>49/106*100</f>
        <v>46.226415094339622</v>
      </c>
      <c r="M479" s="16">
        <v>57</v>
      </c>
      <c r="N479" s="14" t="s">
        <v>42</v>
      </c>
      <c r="O479" s="13"/>
      <c r="P479" s="12">
        <f>IF(Q479="", 0, 1)</f>
        <v>0</v>
      </c>
      <c r="Q479" s="12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2">
        <f>IF(AC479="", 0, 1)</f>
        <v>0</v>
      </c>
      <c r="AC479" s="13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>
        <f>IF(AO479="", 0, 1)</f>
        <v>1</v>
      </c>
      <c r="AO479" s="12">
        <v>106</v>
      </c>
      <c r="AP479" s="12"/>
      <c r="AQ479" s="12"/>
      <c r="AR479" s="12">
        <f>2.5*30</f>
        <v>75</v>
      </c>
      <c r="AS479" s="12"/>
      <c r="AT479" s="12"/>
      <c r="AU479" s="12"/>
      <c r="AV479" s="12">
        <v>0</v>
      </c>
      <c r="AW479" s="12">
        <f>118*30</f>
        <v>3540</v>
      </c>
      <c r="AX479" s="12" t="str">
        <f>IF(AR479="", "mean", "med")</f>
        <v>med</v>
      </c>
      <c r="AY479" s="12">
        <f>IF(AR479="", AP479, AR479)</f>
        <v>75</v>
      </c>
      <c r="AZ479" s="12" t="s">
        <v>52</v>
      </c>
      <c r="BA479" s="12" t="str">
        <f>IF(AZ479="high","high","lower")</f>
        <v>high</v>
      </c>
      <c r="BB479" s="49">
        <v>0.86899999999999999</v>
      </c>
      <c r="BC479" s="12">
        <v>82.5</v>
      </c>
      <c r="BD479" s="12">
        <v>77.3</v>
      </c>
      <c r="BE479" s="12">
        <v>83.3</v>
      </c>
      <c r="BF479" s="12">
        <v>85.6</v>
      </c>
      <c r="BG479" s="18" t="s">
        <v>1030</v>
      </c>
      <c r="BH479" s="18" t="s">
        <v>1031</v>
      </c>
    </row>
    <row r="480" spans="1:60" ht="15.75" customHeight="1" x14ac:dyDescent="0.2">
      <c r="A480" s="11">
        <v>483</v>
      </c>
      <c r="B480" s="12">
        <v>4045</v>
      </c>
      <c r="C480" s="13" t="s">
        <v>645</v>
      </c>
      <c r="D480" s="13" t="s">
        <v>38</v>
      </c>
      <c r="E480" s="23">
        <v>2002</v>
      </c>
      <c r="F480" s="23">
        <v>2004</v>
      </c>
      <c r="G480" s="13" t="s">
        <v>49</v>
      </c>
      <c r="H480" s="13"/>
      <c r="I480" s="13" t="s">
        <v>40</v>
      </c>
      <c r="J480" s="13" t="s">
        <v>40</v>
      </c>
      <c r="K480" s="13"/>
      <c r="L480" s="15">
        <v>100</v>
      </c>
      <c r="M480" s="16">
        <v>53</v>
      </c>
      <c r="N480" s="13" t="s">
        <v>42</v>
      </c>
      <c r="O480" s="13" t="s">
        <v>646</v>
      </c>
      <c r="P480" s="12">
        <f>IF(Q480="", 0, 1)</f>
        <v>1</v>
      </c>
      <c r="Q480" s="12">
        <v>238</v>
      </c>
      <c r="R480" s="17">
        <v>31.2</v>
      </c>
      <c r="S480" s="17">
        <v>38.5</v>
      </c>
      <c r="T480" s="17">
        <v>25</v>
      </c>
      <c r="U480" s="17"/>
      <c r="V480" s="17"/>
      <c r="W480" s="17"/>
      <c r="X480" s="17">
        <v>0</v>
      </c>
      <c r="Y480" s="17">
        <v>234</v>
      </c>
      <c r="Z480" s="17" t="str">
        <f>IF(T480="", "mean", "med")</f>
        <v>med</v>
      </c>
      <c r="AA480" s="17">
        <f>IF(T480="", R480, T480)</f>
        <v>25</v>
      </c>
      <c r="AB480" s="12">
        <f>IF(AC480="", 0, 1)</f>
        <v>1</v>
      </c>
      <c r="AC480" s="13">
        <v>237</v>
      </c>
      <c r="AD480" s="12">
        <v>56.4</v>
      </c>
      <c r="AE480" s="12">
        <v>77.8</v>
      </c>
      <c r="AF480" s="12">
        <v>34</v>
      </c>
      <c r="AG480" s="12"/>
      <c r="AH480" s="12"/>
      <c r="AI480" s="12"/>
      <c r="AJ480" s="12">
        <v>0</v>
      </c>
      <c r="AK480" s="12">
        <v>510</v>
      </c>
      <c r="AL480" s="12" t="str">
        <f>IF(AF480="", "mean", "med")</f>
        <v>med</v>
      </c>
      <c r="AM480" s="12">
        <f>IF(AF480="", AD480, AF480)</f>
        <v>34</v>
      </c>
      <c r="AN480" s="12">
        <f>IF(AO480="", 0, 1)</f>
        <v>0</v>
      </c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 t="s">
        <v>52</v>
      </c>
      <c r="BA480" s="12" t="str">
        <f>IF(AZ480="high","high","lower")</f>
        <v>high</v>
      </c>
      <c r="BB480" s="49">
        <v>0.89400000000000002</v>
      </c>
      <c r="BC480" s="12">
        <v>84</v>
      </c>
      <c r="BD480" s="12">
        <v>88</v>
      </c>
      <c r="BE480" s="12">
        <v>100</v>
      </c>
      <c r="BF480" s="12">
        <v>84.2</v>
      </c>
      <c r="BG480" s="18" t="s">
        <v>1034</v>
      </c>
      <c r="BH480" s="18" t="s">
        <v>1031</v>
      </c>
    </row>
    <row r="481" spans="1:60" ht="15.75" customHeight="1" x14ac:dyDescent="0.2">
      <c r="A481" s="11">
        <v>484</v>
      </c>
      <c r="B481" s="12">
        <v>4058</v>
      </c>
      <c r="C481" s="13" t="s">
        <v>647</v>
      </c>
      <c r="D481" s="13" t="s">
        <v>38</v>
      </c>
      <c r="E481" s="23">
        <v>2004</v>
      </c>
      <c r="F481" s="23">
        <v>2007</v>
      </c>
      <c r="G481" s="13" t="s">
        <v>49</v>
      </c>
      <c r="H481" s="13"/>
      <c r="I481" s="13" t="s">
        <v>40</v>
      </c>
      <c r="J481" s="13" t="s">
        <v>40</v>
      </c>
      <c r="K481" s="13"/>
      <c r="L481" s="15">
        <v>100</v>
      </c>
      <c r="M481" s="16" t="s">
        <v>41</v>
      </c>
      <c r="N481" s="13" t="s">
        <v>50</v>
      </c>
      <c r="O481" s="14" t="s">
        <v>648</v>
      </c>
      <c r="P481" s="12">
        <f>IF(Q481="", 0, 1)</f>
        <v>1</v>
      </c>
      <c r="Q481" s="12">
        <v>19896</v>
      </c>
      <c r="R481" s="17">
        <v>33.799999999999997</v>
      </c>
      <c r="S481" s="17"/>
      <c r="T481" s="17"/>
      <c r="U481" s="17"/>
      <c r="V481" s="17"/>
      <c r="W481" s="17"/>
      <c r="X481" s="17">
        <v>0</v>
      </c>
      <c r="Y481" s="17">
        <v>944</v>
      </c>
      <c r="Z481" s="17" t="str">
        <f>IF(T481="", "mean", "med")</f>
        <v>mean</v>
      </c>
      <c r="AA481" s="17">
        <f>IF(T481="", R481, T481)</f>
        <v>33.799999999999997</v>
      </c>
      <c r="AB481" s="12">
        <f>IF(AC481="", 0, 1)</f>
        <v>0</v>
      </c>
      <c r="AC481" s="13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>
        <f>IF(AO481="", 0, 1)</f>
        <v>0</v>
      </c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 t="s">
        <v>52</v>
      </c>
      <c r="BA481" s="12" t="str">
        <f>IF(AZ481="high","high","lower")</f>
        <v>high</v>
      </c>
      <c r="BB481" s="49">
        <v>0.90200000000000002</v>
      </c>
      <c r="BC481" s="12">
        <v>84</v>
      </c>
      <c r="BD481" s="12">
        <v>88</v>
      </c>
      <c r="BE481" s="12">
        <v>100</v>
      </c>
      <c r="BF481" s="12">
        <v>84.2</v>
      </c>
      <c r="BG481" s="18" t="s">
        <v>1032</v>
      </c>
      <c r="BH481" s="18" t="s">
        <v>1033</v>
      </c>
    </row>
    <row r="482" spans="1:60" ht="15.75" customHeight="1" x14ac:dyDescent="0.2">
      <c r="A482" s="11">
        <v>485</v>
      </c>
      <c r="B482" s="12">
        <v>4064</v>
      </c>
      <c r="C482" s="13" t="s">
        <v>649</v>
      </c>
      <c r="D482" s="13" t="s">
        <v>38</v>
      </c>
      <c r="E482" s="23">
        <v>2014</v>
      </c>
      <c r="F482" s="23">
        <v>2015</v>
      </c>
      <c r="G482" s="13" t="s">
        <v>158</v>
      </c>
      <c r="H482" s="13"/>
      <c r="I482" s="13" t="s">
        <v>70</v>
      </c>
      <c r="J482" s="13" t="s">
        <v>119</v>
      </c>
      <c r="K482" s="13"/>
      <c r="L482" s="15">
        <v>51.2</v>
      </c>
      <c r="M482" s="16">
        <v>53.3</v>
      </c>
      <c r="N482" s="13" t="s">
        <v>42</v>
      </c>
      <c r="O482" s="14"/>
      <c r="P482" s="12">
        <f>IF(Q482="", 0, 1)</f>
        <v>0</v>
      </c>
      <c r="Q482" s="12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2">
        <f>IF(AC482="", 0, 1)</f>
        <v>0</v>
      </c>
      <c r="AC482" s="13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>
        <f>IF(AO482="", 0, 1)</f>
        <v>1</v>
      </c>
      <c r="AO482" s="12">
        <v>211</v>
      </c>
      <c r="AP482" s="12">
        <v>150</v>
      </c>
      <c r="AQ482" s="12"/>
      <c r="AR482" s="12"/>
      <c r="AS482" s="12"/>
      <c r="AT482" s="12"/>
      <c r="AU482" s="12"/>
      <c r="AV482" s="12"/>
      <c r="AW482" s="12"/>
      <c r="AX482" s="12" t="str">
        <f>IF(AR482="", "mean", "med")</f>
        <v>mean</v>
      </c>
      <c r="AY482" s="12">
        <f>IF(AR482="", AP482, AR482)</f>
        <v>150</v>
      </c>
      <c r="AZ482" s="12" t="s">
        <v>43</v>
      </c>
      <c r="BA482" s="12" t="str">
        <f>IF(AZ482="high","high","lower")</f>
        <v>lower</v>
      </c>
      <c r="BB482" s="49">
        <v>0.75600000000000001</v>
      </c>
      <c r="BC482" s="12">
        <v>82.2</v>
      </c>
      <c r="BD482" s="12">
        <v>94.4</v>
      </c>
      <c r="BE482" s="12">
        <v>83.3</v>
      </c>
      <c r="BF482" s="12">
        <v>84.1</v>
      </c>
      <c r="BG482" s="18" t="s">
        <v>1030</v>
      </c>
      <c r="BH482" s="18" t="s">
        <v>1031</v>
      </c>
    </row>
    <row r="483" spans="1:60" ht="15.75" customHeight="1" x14ac:dyDescent="0.2">
      <c r="A483" s="11">
        <v>486</v>
      </c>
      <c r="B483" s="12">
        <v>4070</v>
      </c>
      <c r="C483" s="13" t="s">
        <v>650</v>
      </c>
      <c r="D483" s="14" t="s">
        <v>38</v>
      </c>
      <c r="E483" s="23">
        <v>2004</v>
      </c>
      <c r="F483" s="23">
        <v>2013</v>
      </c>
      <c r="G483" s="13" t="s">
        <v>49</v>
      </c>
      <c r="H483" s="13"/>
      <c r="I483" s="13" t="s">
        <v>54</v>
      </c>
      <c r="J483" s="13" t="s">
        <v>229</v>
      </c>
      <c r="K483" s="14" t="s">
        <v>228</v>
      </c>
      <c r="L483" s="19">
        <f>(2060+1271)/12102*100</f>
        <v>27.524376136175839</v>
      </c>
      <c r="M483" s="16">
        <v>62.5</v>
      </c>
      <c r="N483" s="13" t="s">
        <v>42</v>
      </c>
      <c r="O483" s="14" t="s">
        <v>651</v>
      </c>
      <c r="P483" s="12">
        <f>IF(Q483="", 0, 1)</f>
        <v>1</v>
      </c>
      <c r="Q483" s="22">
        <v>12102</v>
      </c>
      <c r="R483" s="17"/>
      <c r="S483" s="17"/>
      <c r="T483" s="17">
        <v>50</v>
      </c>
      <c r="U483" s="17">
        <v>29</v>
      </c>
      <c r="V483" s="17">
        <v>86</v>
      </c>
      <c r="W483" s="17"/>
      <c r="X483" s="17"/>
      <c r="Y483" s="17"/>
      <c r="Z483" s="17" t="str">
        <f>IF(T483="", "mean", "med")</f>
        <v>med</v>
      </c>
      <c r="AA483" s="17">
        <f>IF(T483="", R483, T483)</f>
        <v>50</v>
      </c>
      <c r="AB483" s="12">
        <f>IF(AC483="", 0, 1)</f>
        <v>0</v>
      </c>
      <c r="AC483" s="13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>
        <f>IF(AO483="", 0, 1)</f>
        <v>0</v>
      </c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 t="s">
        <v>52</v>
      </c>
      <c r="BA483" s="12" t="str">
        <f>IF(AZ483="high","high","lower")</f>
        <v>high</v>
      </c>
      <c r="BB483" s="49">
        <v>0.91</v>
      </c>
      <c r="BC483" s="12">
        <v>84</v>
      </c>
      <c r="BD483" s="12">
        <v>88</v>
      </c>
      <c r="BE483" s="12">
        <v>100</v>
      </c>
      <c r="BF483" s="12">
        <v>84.2</v>
      </c>
      <c r="BG483" s="18" t="s">
        <v>1030</v>
      </c>
      <c r="BH483" s="18" t="s">
        <v>1031</v>
      </c>
    </row>
    <row r="484" spans="1:60" ht="15.75" customHeight="1" x14ac:dyDescent="0.2">
      <c r="A484" s="11">
        <v>487</v>
      </c>
      <c r="B484" s="12">
        <v>4075</v>
      </c>
      <c r="C484" s="13" t="s">
        <v>652</v>
      </c>
      <c r="D484" s="13" t="s">
        <v>38</v>
      </c>
      <c r="E484" s="23">
        <v>2004</v>
      </c>
      <c r="F484" s="23">
        <v>2006</v>
      </c>
      <c r="G484" s="13" t="s">
        <v>201</v>
      </c>
      <c r="H484" s="13"/>
      <c r="I484" s="13" t="s">
        <v>57</v>
      </c>
      <c r="J484" s="13" t="s">
        <v>58</v>
      </c>
      <c r="K484" s="14"/>
      <c r="L484" s="19">
        <f>10/119*100</f>
        <v>8.4033613445378155</v>
      </c>
      <c r="M484" s="16">
        <v>62.77</v>
      </c>
      <c r="N484" s="13" t="s">
        <v>42</v>
      </c>
      <c r="O484" s="34"/>
      <c r="P484" s="12">
        <f>IF(Q484="", 0, 1)</f>
        <v>0</v>
      </c>
      <c r="Q484" s="22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2">
        <f>IF(AC484="", 0, 1)</f>
        <v>0</v>
      </c>
      <c r="AC484" s="13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>
        <f>IF(AO484="", 0, 1)</f>
        <v>1</v>
      </c>
      <c r="AO484" s="12">
        <v>119</v>
      </c>
      <c r="AP484" s="12">
        <v>65.3</v>
      </c>
      <c r="AQ484" s="12"/>
      <c r="AR484" s="12">
        <v>35</v>
      </c>
      <c r="AS484" s="12"/>
      <c r="AT484" s="12"/>
      <c r="AU484" s="12"/>
      <c r="AV484" s="12">
        <v>1</v>
      </c>
      <c r="AW484" s="12">
        <v>387</v>
      </c>
      <c r="AX484" s="12" t="str">
        <f>IF(AR484="", "mean", "med")</f>
        <v>med</v>
      </c>
      <c r="AY484" s="12">
        <f>IF(AR484="", AP484, AR484)</f>
        <v>35</v>
      </c>
      <c r="AZ484" s="12" t="s">
        <v>43</v>
      </c>
      <c r="BA484" s="12" t="str">
        <f>IF(AZ484="high","high","lower")</f>
        <v>lower</v>
      </c>
      <c r="BB484" s="49">
        <v>0.69699999999999995</v>
      </c>
      <c r="BC484" s="12">
        <v>65.5</v>
      </c>
      <c r="BD484" s="12">
        <v>87.4</v>
      </c>
      <c r="BE484" s="12">
        <v>91.7</v>
      </c>
      <c r="BF484" s="12">
        <v>52.6</v>
      </c>
      <c r="BG484" s="18" t="s">
        <v>1030</v>
      </c>
      <c r="BH484" s="18" t="s">
        <v>1031</v>
      </c>
    </row>
    <row r="485" spans="1:60" ht="15.75" customHeight="1" x14ac:dyDescent="0.2">
      <c r="A485" s="11">
        <v>488</v>
      </c>
      <c r="B485" s="12">
        <v>4085</v>
      </c>
      <c r="C485" s="13" t="s">
        <v>653</v>
      </c>
      <c r="D485" s="13" t="s">
        <v>654</v>
      </c>
      <c r="E485" s="23">
        <v>1984</v>
      </c>
      <c r="F485" s="23">
        <v>2009</v>
      </c>
      <c r="G485" s="13" t="s">
        <v>151</v>
      </c>
      <c r="H485" s="13"/>
      <c r="I485" s="13" t="s">
        <v>40</v>
      </c>
      <c r="J485" s="13" t="s">
        <v>40</v>
      </c>
      <c r="K485" s="13"/>
      <c r="L485" s="15">
        <v>100</v>
      </c>
      <c r="M485" s="16">
        <v>33</v>
      </c>
      <c r="N485" s="13" t="s">
        <v>42</v>
      </c>
      <c r="O485" s="13" t="s">
        <v>655</v>
      </c>
      <c r="P485" s="12">
        <f>IF(Q485="", 0, 1)</f>
        <v>1</v>
      </c>
      <c r="Q485" s="12">
        <v>15</v>
      </c>
      <c r="R485" s="17"/>
      <c r="S485" s="17"/>
      <c r="T485" s="17">
        <v>21</v>
      </c>
      <c r="U485" s="17"/>
      <c r="V485" s="17"/>
      <c r="W485" s="17"/>
      <c r="X485" s="17">
        <v>0</v>
      </c>
      <c r="Y485" s="17">
        <v>89</v>
      </c>
      <c r="Z485" s="17" t="str">
        <f>IF(T485="", "mean", "med")</f>
        <v>med</v>
      </c>
      <c r="AA485" s="17">
        <f>IF(T485="", R485, T485)</f>
        <v>21</v>
      </c>
      <c r="AB485" s="12">
        <f>IF(AC485="", 0, 1)</f>
        <v>0</v>
      </c>
      <c r="AC485" s="13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>
        <f>IF(AO485="", 0, 1)</f>
        <v>0</v>
      </c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49" t="s">
        <v>52</v>
      </c>
      <c r="BA485" s="49" t="str">
        <f>IF(AZ485="high","high","lower")</f>
        <v>high</v>
      </c>
      <c r="BB485" s="47"/>
      <c r="BC485" s="49"/>
      <c r="BD485" s="49"/>
      <c r="BE485" s="49"/>
      <c r="BF485" s="49"/>
      <c r="BG485" s="18" t="s">
        <v>1030</v>
      </c>
      <c r="BH485" s="18" t="s">
        <v>1031</v>
      </c>
    </row>
    <row r="486" spans="1:60" ht="15.75" customHeight="1" x14ac:dyDescent="0.2">
      <c r="A486" s="11">
        <v>489</v>
      </c>
      <c r="B486" s="12">
        <v>4085</v>
      </c>
      <c r="C486" s="13" t="s">
        <v>653</v>
      </c>
      <c r="D486" s="13" t="s">
        <v>656</v>
      </c>
      <c r="E486" s="23">
        <v>1984</v>
      </c>
      <c r="F486" s="23">
        <v>2009</v>
      </c>
      <c r="G486" s="13" t="s">
        <v>151</v>
      </c>
      <c r="H486" s="13"/>
      <c r="I486" s="13" t="s">
        <v>40</v>
      </c>
      <c r="J486" s="13" t="s">
        <v>40</v>
      </c>
      <c r="K486" s="13"/>
      <c r="L486" s="15">
        <v>100</v>
      </c>
      <c r="M486" s="16">
        <v>37</v>
      </c>
      <c r="N486" s="13" t="s">
        <v>42</v>
      </c>
      <c r="O486" s="13" t="s">
        <v>655</v>
      </c>
      <c r="P486" s="12">
        <f>IF(Q486="", 0, 1)</f>
        <v>1</v>
      </c>
      <c r="Q486" s="12">
        <v>11</v>
      </c>
      <c r="R486" s="17"/>
      <c r="S486" s="17"/>
      <c r="T486" s="17">
        <v>6</v>
      </c>
      <c r="U486" s="17"/>
      <c r="V486" s="17"/>
      <c r="W486" s="17"/>
      <c r="X486" s="17">
        <v>2</v>
      </c>
      <c r="Y486" s="17">
        <v>15</v>
      </c>
      <c r="Z486" s="17" t="str">
        <f>IF(T486="", "mean", "med")</f>
        <v>med</v>
      </c>
      <c r="AA486" s="17">
        <f>IF(T486="", R486, T486)</f>
        <v>6</v>
      </c>
      <c r="AB486" s="12">
        <f>IF(AC486="", 0, 1)</f>
        <v>0</v>
      </c>
      <c r="AC486" s="14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>
        <f>IF(AO486="", 0, 1)</f>
        <v>0</v>
      </c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49" t="s">
        <v>52</v>
      </c>
      <c r="BA486" s="49" t="str">
        <f>IF(AZ486="high","high","lower")</f>
        <v>high</v>
      </c>
      <c r="BB486" s="47"/>
      <c r="BC486" s="49"/>
      <c r="BD486" s="49"/>
      <c r="BE486" s="49"/>
      <c r="BF486" s="49"/>
      <c r="BG486" s="18" t="s">
        <v>1030</v>
      </c>
      <c r="BH486" s="18" t="s">
        <v>1031</v>
      </c>
    </row>
    <row r="487" spans="1:60" ht="15.75" customHeight="1" x14ac:dyDescent="0.2">
      <c r="A487" s="11">
        <v>490</v>
      </c>
      <c r="B487" s="12">
        <v>4104</v>
      </c>
      <c r="C487" s="13" t="s">
        <v>657</v>
      </c>
      <c r="D487" s="13" t="s">
        <v>38</v>
      </c>
      <c r="E487" s="23">
        <v>2000</v>
      </c>
      <c r="F487" s="23">
        <v>2005</v>
      </c>
      <c r="G487" s="13" t="s">
        <v>49</v>
      </c>
      <c r="H487" s="13"/>
      <c r="I487" s="13" t="s">
        <v>57</v>
      </c>
      <c r="J487" s="13" t="s">
        <v>58</v>
      </c>
      <c r="K487" s="13"/>
      <c r="L487" s="15">
        <f>231/482*100</f>
        <v>47.925311203319502</v>
      </c>
      <c r="M487" s="16">
        <v>63.6</v>
      </c>
      <c r="N487" s="13" t="s">
        <v>42</v>
      </c>
      <c r="O487" s="13" t="s">
        <v>562</v>
      </c>
      <c r="P487" s="12">
        <f>IF(Q487="", 0, 1)</f>
        <v>1</v>
      </c>
      <c r="Q487" s="12">
        <v>482</v>
      </c>
      <c r="R487" s="17"/>
      <c r="S487" s="17"/>
      <c r="T487" s="17">
        <v>33</v>
      </c>
      <c r="U487" s="17">
        <v>20</v>
      </c>
      <c r="V487" s="17">
        <v>53</v>
      </c>
      <c r="W487" s="17"/>
      <c r="X487" s="17"/>
      <c r="Y487" s="17"/>
      <c r="Z487" s="17" t="str">
        <f>IF(T487="", "mean", "med")</f>
        <v>med</v>
      </c>
      <c r="AA487" s="17">
        <f>IF(T487="", R487, T487)</f>
        <v>33</v>
      </c>
      <c r="AB487" s="12">
        <f>IF(AC487="", 0, 1)</f>
        <v>0</v>
      </c>
      <c r="AC487" s="13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>
        <f>IF(AO487="", 0, 1)</f>
        <v>0</v>
      </c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 t="s">
        <v>52</v>
      </c>
      <c r="BA487" s="12" t="str">
        <f>IF(AZ487="high","high","lower")</f>
        <v>high</v>
      </c>
      <c r="BB487" s="49">
        <v>0.89300000000000002</v>
      </c>
      <c r="BC487" s="12">
        <v>84</v>
      </c>
      <c r="BD487" s="12">
        <v>88</v>
      </c>
      <c r="BE487" s="12">
        <v>100</v>
      </c>
      <c r="BF487" s="12">
        <v>84.2</v>
      </c>
      <c r="BG487" s="18" t="s">
        <v>1030</v>
      </c>
      <c r="BH487" s="18" t="s">
        <v>1031</v>
      </c>
    </row>
    <row r="488" spans="1:60" ht="15.75" customHeight="1" x14ac:dyDescent="0.2">
      <c r="A488" s="11">
        <v>491</v>
      </c>
      <c r="B488" s="12">
        <v>4116</v>
      </c>
      <c r="C488" s="13" t="s">
        <v>658</v>
      </c>
      <c r="D488" s="14" t="s">
        <v>38</v>
      </c>
      <c r="E488" s="23">
        <v>2004</v>
      </c>
      <c r="F488" s="23">
        <v>2010</v>
      </c>
      <c r="G488" s="13" t="s">
        <v>134</v>
      </c>
      <c r="H488" s="13"/>
      <c r="I488" s="13" t="s">
        <v>40</v>
      </c>
      <c r="J488" s="13" t="s">
        <v>40</v>
      </c>
      <c r="K488" s="14"/>
      <c r="L488" s="15">
        <v>100</v>
      </c>
      <c r="M488" s="16" t="s">
        <v>41</v>
      </c>
      <c r="N488" s="13" t="s">
        <v>42</v>
      </c>
      <c r="O488" s="30"/>
      <c r="P488" s="12">
        <f>IF(Q488="", 0, 1)</f>
        <v>0</v>
      </c>
      <c r="Q488" s="12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2">
        <f>IF(AC488="", 0, 1)</f>
        <v>1</v>
      </c>
      <c r="AC488" s="13">
        <v>7280</v>
      </c>
      <c r="AD488" s="12"/>
      <c r="AE488" s="12"/>
      <c r="AF488" s="12">
        <v>21</v>
      </c>
      <c r="AG488" s="12"/>
      <c r="AH488" s="12"/>
      <c r="AI488" s="12"/>
      <c r="AJ488" s="12"/>
      <c r="AK488" s="12"/>
      <c r="AL488" s="12" t="str">
        <f>IF(AF488="", "mean", "med")</f>
        <v>med</v>
      </c>
      <c r="AM488" s="12">
        <f>IF(AF488="", AD488, AF488)</f>
        <v>21</v>
      </c>
      <c r="AN488" s="12">
        <f>IF(AO488="", 0, 1)</f>
        <v>0</v>
      </c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 t="s">
        <v>52</v>
      </c>
      <c r="BA488" s="12" t="str">
        <f>IF(AZ488="high","high","lower")</f>
        <v>high</v>
      </c>
      <c r="BB488" s="49">
        <v>0.89600000000000002</v>
      </c>
      <c r="BC488" s="12">
        <v>84.8</v>
      </c>
      <c r="BD488" s="12">
        <v>94</v>
      </c>
      <c r="BE488" s="12">
        <v>100</v>
      </c>
      <c r="BF488" s="12">
        <v>82.2</v>
      </c>
      <c r="BG488" s="18" t="s">
        <v>1030</v>
      </c>
      <c r="BH488" s="18" t="s">
        <v>1031</v>
      </c>
    </row>
    <row r="489" spans="1:60" ht="15.75" customHeight="1" x14ac:dyDescent="0.2">
      <c r="A489" s="11">
        <v>492</v>
      </c>
      <c r="B489" s="22">
        <v>4123</v>
      </c>
      <c r="C489" s="13" t="s">
        <v>659</v>
      </c>
      <c r="D489" s="13" t="s">
        <v>38</v>
      </c>
      <c r="E489" s="23">
        <v>2010</v>
      </c>
      <c r="F489" s="23">
        <v>2011</v>
      </c>
      <c r="G489" s="13" t="s">
        <v>201</v>
      </c>
      <c r="H489" s="13"/>
      <c r="I489" s="13" t="s">
        <v>57</v>
      </c>
      <c r="J489" s="13" t="s">
        <v>58</v>
      </c>
      <c r="K489" s="13"/>
      <c r="L489" s="15">
        <f>90/1016*100</f>
        <v>8.8582677165354333</v>
      </c>
      <c r="M489" s="16">
        <v>61.5</v>
      </c>
      <c r="N489" s="13" t="s">
        <v>42</v>
      </c>
      <c r="O489" s="14" t="s">
        <v>660</v>
      </c>
      <c r="P489" s="12">
        <f>IF(Q489="", 0, 1)</f>
        <v>1</v>
      </c>
      <c r="Q489" s="12">
        <v>1016</v>
      </c>
      <c r="R489" s="17">
        <v>24.4</v>
      </c>
      <c r="S489" s="17">
        <v>54.9</v>
      </c>
      <c r="T489" s="17"/>
      <c r="U489" s="17"/>
      <c r="V489" s="17"/>
      <c r="W489" s="17"/>
      <c r="X489" s="17"/>
      <c r="Y489" s="17"/>
      <c r="Z489" s="17" t="str">
        <f>IF(T489="", "mean", "med")</f>
        <v>mean</v>
      </c>
      <c r="AA489" s="17">
        <f>IF(T489="", R489, T489)</f>
        <v>24.4</v>
      </c>
      <c r="AB489" s="12">
        <f>IF(AC489="", 0, 1)</f>
        <v>0</v>
      </c>
      <c r="AC489" s="13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>
        <f>IF(AO489="", 0, 1)</f>
        <v>1</v>
      </c>
      <c r="AO489" s="12">
        <v>1016</v>
      </c>
      <c r="AP489" s="12">
        <v>49.9</v>
      </c>
      <c r="AQ489" s="12">
        <v>96.9</v>
      </c>
      <c r="AR489" s="12"/>
      <c r="AS489" s="12"/>
      <c r="AT489" s="12"/>
      <c r="AU489" s="12"/>
      <c r="AV489" s="12"/>
      <c r="AW489" s="12"/>
      <c r="AX489" s="12" t="str">
        <f>IF(AR489="", "mean", "med")</f>
        <v>mean</v>
      </c>
      <c r="AY489" s="12">
        <f>IF(AR489="", AP489, AR489)</f>
        <v>49.9</v>
      </c>
      <c r="AZ489" s="12" t="s">
        <v>43</v>
      </c>
      <c r="BA489" s="12" t="str">
        <f>IF(AZ489="high","high","lower")</f>
        <v>lower</v>
      </c>
      <c r="BB489" s="49">
        <v>0.746</v>
      </c>
      <c r="BC489" s="12">
        <v>65.5</v>
      </c>
      <c r="BD489" s="12">
        <v>87.4</v>
      </c>
      <c r="BE489" s="12">
        <v>91.7</v>
      </c>
      <c r="BF489" s="12">
        <v>52.6</v>
      </c>
      <c r="BG489" s="18" t="s">
        <v>1030</v>
      </c>
      <c r="BH489" s="18" t="s">
        <v>1031</v>
      </c>
    </row>
    <row r="490" spans="1:60" ht="15.75" customHeight="1" x14ac:dyDescent="0.2">
      <c r="A490" s="11">
        <v>493</v>
      </c>
      <c r="B490" s="12">
        <v>4126</v>
      </c>
      <c r="C490" s="13" t="s">
        <v>661</v>
      </c>
      <c r="D490" s="13" t="s">
        <v>662</v>
      </c>
      <c r="E490" s="23">
        <v>2007</v>
      </c>
      <c r="F490" s="23">
        <v>2016</v>
      </c>
      <c r="G490" s="13" t="s">
        <v>134</v>
      </c>
      <c r="H490" s="13"/>
      <c r="I490" s="13" t="s">
        <v>57</v>
      </c>
      <c r="J490" s="13" t="s">
        <v>58</v>
      </c>
      <c r="K490" s="13"/>
      <c r="L490" s="27" t="s">
        <v>41</v>
      </c>
      <c r="M490" s="20" t="s">
        <v>41</v>
      </c>
      <c r="N490" s="13" t="s">
        <v>42</v>
      </c>
      <c r="O490" s="13" t="s">
        <v>663</v>
      </c>
      <c r="P490" s="12">
        <f>IF(Q490="", 0, 1)</f>
        <v>1</v>
      </c>
      <c r="Q490" s="25">
        <v>2555</v>
      </c>
      <c r="R490" s="17">
        <v>70.7</v>
      </c>
      <c r="S490" s="17"/>
      <c r="T490" s="17"/>
      <c r="U490" s="17"/>
      <c r="V490" s="17"/>
      <c r="W490" s="17"/>
      <c r="X490" s="17"/>
      <c r="Y490" s="17"/>
      <c r="Z490" s="17" t="str">
        <f>IF(T490="", "mean", "med")</f>
        <v>mean</v>
      </c>
      <c r="AA490" s="17">
        <f>IF(T490="", R490, T490)</f>
        <v>70.7</v>
      </c>
      <c r="AB490" s="12">
        <f>IF(AC490="", 0, 1)</f>
        <v>0</v>
      </c>
      <c r="AC490" s="13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>
        <f>IF(AO490="", 0, 1)</f>
        <v>0</v>
      </c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 t="s">
        <v>52</v>
      </c>
      <c r="BA490" s="12" t="str">
        <f>IF(AZ490="high","high","lower")</f>
        <v>high</v>
      </c>
      <c r="BB490" s="49">
        <v>0.90800000000000003</v>
      </c>
      <c r="BC490" s="12">
        <v>84.8</v>
      </c>
      <c r="BD490" s="12">
        <v>94</v>
      </c>
      <c r="BE490" s="12">
        <v>100</v>
      </c>
      <c r="BF490" s="12">
        <v>82.2</v>
      </c>
      <c r="BG490" s="18" t="s">
        <v>1030</v>
      </c>
      <c r="BH490" s="18" t="s">
        <v>1031</v>
      </c>
    </row>
    <row r="491" spans="1:60" ht="15.75" customHeight="1" x14ac:dyDescent="0.2">
      <c r="A491" s="11">
        <v>494</v>
      </c>
      <c r="B491" s="12">
        <v>4126</v>
      </c>
      <c r="C491" s="13" t="s">
        <v>661</v>
      </c>
      <c r="D491" s="13" t="s">
        <v>664</v>
      </c>
      <c r="E491" s="23">
        <v>2007</v>
      </c>
      <c r="F491" s="23">
        <v>2016</v>
      </c>
      <c r="G491" s="13" t="s">
        <v>134</v>
      </c>
      <c r="H491" s="13"/>
      <c r="I491" s="13" t="s">
        <v>57</v>
      </c>
      <c r="J491" s="13" t="s">
        <v>58</v>
      </c>
      <c r="K491" s="13"/>
      <c r="L491" s="27" t="s">
        <v>41</v>
      </c>
      <c r="M491" s="16" t="s">
        <v>41</v>
      </c>
      <c r="N491" s="13" t="s">
        <v>42</v>
      </c>
      <c r="O491" s="14" t="s">
        <v>663</v>
      </c>
      <c r="P491" s="12">
        <f>IF(Q491="", 0, 1)</f>
        <v>1</v>
      </c>
      <c r="Q491" s="25">
        <v>2945</v>
      </c>
      <c r="R491" s="17">
        <v>72.2</v>
      </c>
      <c r="S491" s="17"/>
      <c r="T491" s="17"/>
      <c r="U491" s="17"/>
      <c r="V491" s="17"/>
      <c r="W491" s="17"/>
      <c r="X491" s="17"/>
      <c r="Y491" s="17"/>
      <c r="Z491" s="17" t="str">
        <f>IF(T491="", "mean", "med")</f>
        <v>mean</v>
      </c>
      <c r="AA491" s="17">
        <f>IF(T491="", R491, T491)</f>
        <v>72.2</v>
      </c>
      <c r="AB491" s="12">
        <f>IF(AC491="", 0, 1)</f>
        <v>0</v>
      </c>
      <c r="AC491" s="13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>
        <f>IF(AO491="", 0, 1)</f>
        <v>0</v>
      </c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 t="s">
        <v>52</v>
      </c>
      <c r="BA491" s="12" t="str">
        <f>IF(AZ491="high","high","lower")</f>
        <v>high</v>
      </c>
      <c r="BB491" s="49">
        <v>0.90800000000000003</v>
      </c>
      <c r="BC491" s="12">
        <v>84.8</v>
      </c>
      <c r="BD491" s="12">
        <v>94</v>
      </c>
      <c r="BE491" s="12">
        <v>100</v>
      </c>
      <c r="BF491" s="12">
        <v>82.2</v>
      </c>
      <c r="BG491" s="18" t="s">
        <v>1030</v>
      </c>
      <c r="BH491" s="18" t="s">
        <v>1031</v>
      </c>
    </row>
    <row r="492" spans="1:60" ht="15.75" customHeight="1" x14ac:dyDescent="0.2">
      <c r="A492" s="11">
        <v>495</v>
      </c>
      <c r="B492" s="12">
        <v>4126</v>
      </c>
      <c r="C492" s="13" t="s">
        <v>661</v>
      </c>
      <c r="D492" s="14" t="s">
        <v>665</v>
      </c>
      <c r="E492" s="23">
        <v>2007</v>
      </c>
      <c r="F492" s="23">
        <v>2016</v>
      </c>
      <c r="G492" s="13" t="s">
        <v>134</v>
      </c>
      <c r="H492" s="13"/>
      <c r="I492" s="13" t="s">
        <v>57</v>
      </c>
      <c r="J492" s="13" t="s">
        <v>58</v>
      </c>
      <c r="K492" s="13"/>
      <c r="L492" s="27" t="s">
        <v>41</v>
      </c>
      <c r="M492" s="16" t="s">
        <v>41</v>
      </c>
      <c r="N492" s="13" t="s">
        <v>42</v>
      </c>
      <c r="O492" s="13" t="s">
        <v>663</v>
      </c>
      <c r="P492" s="12">
        <f>IF(Q492="", 0, 1)</f>
        <v>1</v>
      </c>
      <c r="Q492" s="25">
        <v>3193</v>
      </c>
      <c r="R492" s="17">
        <v>74.099999999999994</v>
      </c>
      <c r="S492" s="17"/>
      <c r="T492" s="17"/>
      <c r="U492" s="17"/>
      <c r="V492" s="17"/>
      <c r="W492" s="17"/>
      <c r="X492" s="17"/>
      <c r="Y492" s="17"/>
      <c r="Z492" s="17" t="str">
        <f>IF(T492="", "mean", "med")</f>
        <v>mean</v>
      </c>
      <c r="AA492" s="17">
        <f>IF(T492="", R492, T492)</f>
        <v>74.099999999999994</v>
      </c>
      <c r="AB492" s="12">
        <f>IF(AC492="", 0, 1)</f>
        <v>0</v>
      </c>
      <c r="AC492" s="13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>
        <f>IF(AO492="", 0, 1)</f>
        <v>0</v>
      </c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 t="s">
        <v>52</v>
      </c>
      <c r="BA492" s="12" t="str">
        <f>IF(AZ492="high","high","lower")</f>
        <v>high</v>
      </c>
      <c r="BB492" s="49">
        <v>0.90800000000000003</v>
      </c>
      <c r="BC492" s="12">
        <v>84.8</v>
      </c>
      <c r="BD492" s="12">
        <v>94</v>
      </c>
      <c r="BE492" s="12">
        <v>100</v>
      </c>
      <c r="BF492" s="12">
        <v>82.2</v>
      </c>
      <c r="BG492" s="18" t="s">
        <v>1030</v>
      </c>
      <c r="BH492" s="18" t="s">
        <v>1031</v>
      </c>
    </row>
    <row r="493" spans="1:60" ht="15.75" customHeight="1" x14ac:dyDescent="0.2">
      <c r="A493" s="11">
        <v>496</v>
      </c>
      <c r="B493" s="12">
        <v>4126</v>
      </c>
      <c r="C493" s="13" t="s">
        <v>661</v>
      </c>
      <c r="D493" s="13" t="s">
        <v>666</v>
      </c>
      <c r="E493" s="23">
        <v>2007</v>
      </c>
      <c r="F493" s="23">
        <v>2016</v>
      </c>
      <c r="G493" s="13" t="s">
        <v>134</v>
      </c>
      <c r="H493" s="13"/>
      <c r="I493" s="13" t="s">
        <v>57</v>
      </c>
      <c r="J493" s="13" t="s">
        <v>58</v>
      </c>
      <c r="K493" s="13"/>
      <c r="L493" s="27" t="s">
        <v>41</v>
      </c>
      <c r="M493" s="16" t="s">
        <v>41</v>
      </c>
      <c r="N493" s="13" t="s">
        <v>42</v>
      </c>
      <c r="O493" s="13" t="s">
        <v>663</v>
      </c>
      <c r="P493" s="12">
        <f>IF(Q493="", 0, 1)</f>
        <v>1</v>
      </c>
      <c r="Q493" s="25">
        <v>3646</v>
      </c>
      <c r="R493" s="17">
        <v>72.7</v>
      </c>
      <c r="S493" s="17"/>
      <c r="T493" s="17"/>
      <c r="U493" s="17"/>
      <c r="V493" s="17"/>
      <c r="W493" s="17"/>
      <c r="X493" s="17"/>
      <c r="Y493" s="17"/>
      <c r="Z493" s="17" t="str">
        <f>IF(T493="", "mean", "med")</f>
        <v>mean</v>
      </c>
      <c r="AA493" s="17">
        <f>IF(T493="", R493, T493)</f>
        <v>72.7</v>
      </c>
      <c r="AB493" s="12">
        <f>IF(AC493="", 0, 1)</f>
        <v>0</v>
      </c>
      <c r="AC493" s="13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>
        <f>IF(AO493="", 0, 1)</f>
        <v>0</v>
      </c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 t="s">
        <v>52</v>
      </c>
      <c r="BA493" s="12" t="str">
        <f>IF(AZ493="high","high","lower")</f>
        <v>high</v>
      </c>
      <c r="BB493" s="49">
        <v>0.90800000000000003</v>
      </c>
      <c r="BC493" s="12">
        <v>84.8</v>
      </c>
      <c r="BD493" s="12">
        <v>94</v>
      </c>
      <c r="BE493" s="12">
        <v>100</v>
      </c>
      <c r="BF493" s="12">
        <v>82.2</v>
      </c>
      <c r="BG493" s="18" t="s">
        <v>1030</v>
      </c>
      <c r="BH493" s="18" t="s">
        <v>1031</v>
      </c>
    </row>
    <row r="494" spans="1:60" ht="15.75" customHeight="1" x14ac:dyDescent="0.2">
      <c r="A494" s="11">
        <v>497</v>
      </c>
      <c r="B494" s="12">
        <v>4126</v>
      </c>
      <c r="C494" s="13" t="s">
        <v>661</v>
      </c>
      <c r="D494" s="13" t="s">
        <v>667</v>
      </c>
      <c r="E494" s="23">
        <v>2007</v>
      </c>
      <c r="F494" s="23">
        <v>2016</v>
      </c>
      <c r="G494" s="13" t="s">
        <v>134</v>
      </c>
      <c r="H494" s="13"/>
      <c r="I494" s="13" t="s">
        <v>57</v>
      </c>
      <c r="J494" s="13" t="s">
        <v>58</v>
      </c>
      <c r="K494" s="13"/>
      <c r="L494" s="53" t="s">
        <v>41</v>
      </c>
      <c r="M494" s="16" t="s">
        <v>41</v>
      </c>
      <c r="N494" s="13" t="s">
        <v>42</v>
      </c>
      <c r="O494" s="14" t="s">
        <v>663</v>
      </c>
      <c r="P494" s="12">
        <f>IF(Q494="", 0, 1)</f>
        <v>1</v>
      </c>
      <c r="Q494" s="52">
        <v>4052</v>
      </c>
      <c r="R494" s="17">
        <v>74.099999999999994</v>
      </c>
      <c r="S494" s="17"/>
      <c r="T494" s="17"/>
      <c r="U494" s="17"/>
      <c r="V494" s="17"/>
      <c r="W494" s="17"/>
      <c r="X494" s="17"/>
      <c r="Y494" s="17"/>
      <c r="Z494" s="17" t="str">
        <f>IF(T494="", "mean", "med")</f>
        <v>mean</v>
      </c>
      <c r="AA494" s="17">
        <f>IF(T494="", R494, T494)</f>
        <v>74.099999999999994</v>
      </c>
      <c r="AB494" s="12">
        <f>IF(AC494="", 0, 1)</f>
        <v>0</v>
      </c>
      <c r="AC494" s="13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>
        <f>IF(AO494="", 0, 1)</f>
        <v>0</v>
      </c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 t="s">
        <v>52</v>
      </c>
      <c r="BA494" s="12" t="str">
        <f>IF(AZ494="high","high","lower")</f>
        <v>high</v>
      </c>
      <c r="BB494" s="49">
        <v>0.90800000000000003</v>
      </c>
      <c r="BC494" s="12">
        <v>84.8</v>
      </c>
      <c r="BD494" s="12">
        <v>94</v>
      </c>
      <c r="BE494" s="12">
        <v>100</v>
      </c>
      <c r="BF494" s="12">
        <v>82.2</v>
      </c>
      <c r="BG494" s="18" t="s">
        <v>1030</v>
      </c>
      <c r="BH494" s="18" t="s">
        <v>1031</v>
      </c>
    </row>
    <row r="495" spans="1:60" ht="15.75" customHeight="1" x14ac:dyDescent="0.2">
      <c r="A495" s="11">
        <v>498</v>
      </c>
      <c r="B495" s="12">
        <v>4126</v>
      </c>
      <c r="C495" s="13" t="s">
        <v>661</v>
      </c>
      <c r="D495" s="13" t="s">
        <v>668</v>
      </c>
      <c r="E495" s="23">
        <v>2007</v>
      </c>
      <c r="F495" s="23">
        <v>2016</v>
      </c>
      <c r="G495" s="13" t="s">
        <v>134</v>
      </c>
      <c r="H495" s="13"/>
      <c r="I495" s="13" t="s">
        <v>57</v>
      </c>
      <c r="J495" s="13" t="s">
        <v>58</v>
      </c>
      <c r="K495" s="13"/>
      <c r="L495" s="53" t="s">
        <v>41</v>
      </c>
      <c r="M495" s="16" t="s">
        <v>41</v>
      </c>
      <c r="N495" s="13" t="s">
        <v>42</v>
      </c>
      <c r="O495" s="14" t="s">
        <v>663</v>
      </c>
      <c r="P495" s="12">
        <f>IF(Q495="", 0, 1)</f>
        <v>1</v>
      </c>
      <c r="Q495" s="52">
        <v>4775</v>
      </c>
      <c r="R495" s="17">
        <v>41.2</v>
      </c>
      <c r="S495" s="17"/>
      <c r="T495" s="17"/>
      <c r="U495" s="17"/>
      <c r="V495" s="17"/>
      <c r="W495" s="17"/>
      <c r="X495" s="17"/>
      <c r="Y495" s="17"/>
      <c r="Z495" s="17" t="str">
        <f>IF(T495="", "mean", "med")</f>
        <v>mean</v>
      </c>
      <c r="AA495" s="17">
        <f>IF(T495="", R495, T495)</f>
        <v>41.2</v>
      </c>
      <c r="AB495" s="12">
        <f>IF(AC495="", 0, 1)</f>
        <v>0</v>
      </c>
      <c r="AC495" s="13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>
        <f>IF(AO495="", 0, 1)</f>
        <v>0</v>
      </c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 t="s">
        <v>52</v>
      </c>
      <c r="BA495" s="12" t="str">
        <f>IF(AZ495="high","high","lower")</f>
        <v>high</v>
      </c>
      <c r="BB495" s="49">
        <v>0.90800000000000003</v>
      </c>
      <c r="BC495" s="12">
        <v>84.8</v>
      </c>
      <c r="BD495" s="12">
        <v>94</v>
      </c>
      <c r="BE495" s="12">
        <v>100</v>
      </c>
      <c r="BF495" s="12">
        <v>82.2</v>
      </c>
      <c r="BG495" s="18" t="s">
        <v>1030</v>
      </c>
      <c r="BH495" s="18" t="s">
        <v>1031</v>
      </c>
    </row>
    <row r="496" spans="1:60" ht="15.75" customHeight="1" x14ac:dyDescent="0.2">
      <c r="A496" s="11">
        <v>499</v>
      </c>
      <c r="B496" s="12">
        <v>4126</v>
      </c>
      <c r="C496" s="13" t="s">
        <v>661</v>
      </c>
      <c r="D496" s="13" t="s">
        <v>669</v>
      </c>
      <c r="E496" s="23">
        <v>2007</v>
      </c>
      <c r="F496" s="23">
        <v>2016</v>
      </c>
      <c r="G496" s="14" t="s">
        <v>134</v>
      </c>
      <c r="H496" s="14"/>
      <c r="I496" s="13" t="s">
        <v>57</v>
      </c>
      <c r="J496" s="13" t="s">
        <v>58</v>
      </c>
      <c r="K496" s="13"/>
      <c r="L496" s="53" t="s">
        <v>41</v>
      </c>
      <c r="M496" s="16" t="s">
        <v>41</v>
      </c>
      <c r="N496" s="13" t="s">
        <v>42</v>
      </c>
      <c r="O496" s="13" t="s">
        <v>663</v>
      </c>
      <c r="P496" s="12">
        <f>IF(Q496="", 0, 1)</f>
        <v>1</v>
      </c>
      <c r="Q496" s="52">
        <v>5314</v>
      </c>
      <c r="R496" s="17">
        <v>49.5</v>
      </c>
      <c r="S496" s="17"/>
      <c r="T496" s="17"/>
      <c r="U496" s="17"/>
      <c r="V496" s="17"/>
      <c r="W496" s="17"/>
      <c r="X496" s="17"/>
      <c r="Y496" s="17"/>
      <c r="Z496" s="17" t="str">
        <f>IF(T496="", "mean", "med")</f>
        <v>mean</v>
      </c>
      <c r="AA496" s="17">
        <f>IF(T496="", R496, T496)</f>
        <v>49.5</v>
      </c>
      <c r="AB496" s="12">
        <f>IF(AC496="", 0, 1)</f>
        <v>0</v>
      </c>
      <c r="AC496" s="13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>
        <f>IF(AO496="", 0, 1)</f>
        <v>0</v>
      </c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 t="s">
        <v>52</v>
      </c>
      <c r="BA496" s="12" t="str">
        <f>IF(AZ496="high","high","lower")</f>
        <v>high</v>
      </c>
      <c r="BB496" s="49">
        <v>0.90800000000000003</v>
      </c>
      <c r="BC496" s="12">
        <v>84.8</v>
      </c>
      <c r="BD496" s="12">
        <v>94</v>
      </c>
      <c r="BE496" s="12">
        <v>100</v>
      </c>
      <c r="BF496" s="12">
        <v>82.2</v>
      </c>
      <c r="BG496" s="18" t="s">
        <v>1030</v>
      </c>
      <c r="BH496" s="18" t="s">
        <v>1031</v>
      </c>
    </row>
    <row r="497" spans="1:60" ht="15.75" customHeight="1" x14ac:dyDescent="0.2">
      <c r="A497" s="11">
        <v>500</v>
      </c>
      <c r="B497" s="12">
        <v>4126</v>
      </c>
      <c r="C497" s="13" t="s">
        <v>661</v>
      </c>
      <c r="D497" s="14" t="s">
        <v>670</v>
      </c>
      <c r="E497" s="23">
        <v>2007</v>
      </c>
      <c r="F497" s="23">
        <v>2016</v>
      </c>
      <c r="G497" s="13" t="s">
        <v>134</v>
      </c>
      <c r="H497" s="13"/>
      <c r="I497" s="13" t="s">
        <v>57</v>
      </c>
      <c r="J497" s="13" t="s">
        <v>58</v>
      </c>
      <c r="K497" s="13"/>
      <c r="L497" s="53" t="s">
        <v>41</v>
      </c>
      <c r="M497" s="16" t="s">
        <v>41</v>
      </c>
      <c r="N497" s="13" t="s">
        <v>42</v>
      </c>
      <c r="O497" s="13" t="s">
        <v>663</v>
      </c>
      <c r="P497" s="12">
        <f>IF(Q497="", 0, 1)</f>
        <v>1</v>
      </c>
      <c r="Q497" s="52">
        <v>5400</v>
      </c>
      <c r="R497" s="17">
        <v>48.2</v>
      </c>
      <c r="S497" s="17"/>
      <c r="T497" s="17"/>
      <c r="U497" s="17"/>
      <c r="V497" s="17"/>
      <c r="W497" s="17"/>
      <c r="X497" s="17"/>
      <c r="Y497" s="17"/>
      <c r="Z497" s="17" t="str">
        <f>IF(T497="", "mean", "med")</f>
        <v>mean</v>
      </c>
      <c r="AA497" s="17">
        <f>IF(T497="", R497, T497)</f>
        <v>48.2</v>
      </c>
      <c r="AB497" s="12">
        <f>IF(AC497="", 0, 1)</f>
        <v>0</v>
      </c>
      <c r="AC497" s="13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>
        <f>IF(AO497="", 0, 1)</f>
        <v>0</v>
      </c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 t="s">
        <v>52</v>
      </c>
      <c r="BA497" s="12" t="str">
        <f>IF(AZ497="high","high","lower")</f>
        <v>high</v>
      </c>
      <c r="BB497" s="49">
        <v>0.90800000000000003</v>
      </c>
      <c r="BC497" s="12">
        <v>84.8</v>
      </c>
      <c r="BD497" s="12">
        <v>94</v>
      </c>
      <c r="BE497" s="12">
        <v>100</v>
      </c>
      <c r="BF497" s="12">
        <v>82.2</v>
      </c>
      <c r="BG497" s="18" t="s">
        <v>1030</v>
      </c>
      <c r="BH497" s="18" t="s">
        <v>1031</v>
      </c>
    </row>
    <row r="498" spans="1:60" ht="15.75" customHeight="1" x14ac:dyDescent="0.2">
      <c r="A498" s="11">
        <v>501</v>
      </c>
      <c r="B498" s="12">
        <v>4126</v>
      </c>
      <c r="C498" s="13" t="s">
        <v>661</v>
      </c>
      <c r="D498" s="13" t="s">
        <v>671</v>
      </c>
      <c r="E498" s="23">
        <v>2007</v>
      </c>
      <c r="F498" s="23">
        <v>2016</v>
      </c>
      <c r="G498" s="13" t="s">
        <v>134</v>
      </c>
      <c r="H498" s="13"/>
      <c r="I498" s="13" t="s">
        <v>57</v>
      </c>
      <c r="J498" s="13" t="s">
        <v>58</v>
      </c>
      <c r="K498" s="13"/>
      <c r="L498" s="53" t="s">
        <v>41</v>
      </c>
      <c r="M498" s="20" t="s">
        <v>41</v>
      </c>
      <c r="N498" s="13" t="s">
        <v>42</v>
      </c>
      <c r="O498" s="14" t="s">
        <v>663</v>
      </c>
      <c r="P498" s="12">
        <f>IF(Q498="", 0, 1)</f>
        <v>1</v>
      </c>
      <c r="Q498" s="52">
        <v>5433</v>
      </c>
      <c r="R498" s="17">
        <v>51.5</v>
      </c>
      <c r="S498" s="17"/>
      <c r="T498" s="17"/>
      <c r="U498" s="17"/>
      <c r="V498" s="17"/>
      <c r="W498" s="17"/>
      <c r="X498" s="17"/>
      <c r="Y498" s="17"/>
      <c r="Z498" s="17" t="str">
        <f>IF(T498="", "mean", "med")</f>
        <v>mean</v>
      </c>
      <c r="AA498" s="17">
        <f>IF(T498="", R498, T498)</f>
        <v>51.5</v>
      </c>
      <c r="AB498" s="12">
        <f>IF(AC498="", 0, 1)</f>
        <v>0</v>
      </c>
      <c r="AC498" s="13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>
        <f>IF(AO498="", 0, 1)</f>
        <v>0</v>
      </c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 t="s">
        <v>52</v>
      </c>
      <c r="BA498" s="12" t="str">
        <f>IF(AZ498="high","high","lower")</f>
        <v>high</v>
      </c>
      <c r="BB498" s="49">
        <v>0.90800000000000003</v>
      </c>
      <c r="BC498" s="12">
        <v>84.8</v>
      </c>
      <c r="BD498" s="12">
        <v>94</v>
      </c>
      <c r="BE498" s="12">
        <v>100</v>
      </c>
      <c r="BF498" s="12">
        <v>82.2</v>
      </c>
      <c r="BG498" s="18" t="s">
        <v>1030</v>
      </c>
      <c r="BH498" s="18" t="s">
        <v>1031</v>
      </c>
    </row>
    <row r="499" spans="1:60" ht="15.75" customHeight="1" x14ac:dyDescent="0.2">
      <c r="A499" s="11">
        <v>502</v>
      </c>
      <c r="B499" s="12">
        <v>4126</v>
      </c>
      <c r="C499" s="13" t="s">
        <v>661</v>
      </c>
      <c r="D499" s="13" t="s">
        <v>672</v>
      </c>
      <c r="E499" s="23">
        <v>2007</v>
      </c>
      <c r="F499" s="23">
        <v>2016</v>
      </c>
      <c r="G499" s="13" t="s">
        <v>134</v>
      </c>
      <c r="H499" s="13"/>
      <c r="I499" s="13" t="s">
        <v>57</v>
      </c>
      <c r="J499" s="13" t="s">
        <v>58</v>
      </c>
      <c r="K499" s="13"/>
      <c r="L499" s="53" t="s">
        <v>41</v>
      </c>
      <c r="M499" s="16" t="s">
        <v>41</v>
      </c>
      <c r="N499" s="13" t="s">
        <v>42</v>
      </c>
      <c r="O499" s="14" t="s">
        <v>663</v>
      </c>
      <c r="P499" s="12">
        <f>IF(Q499="", 0, 1)</f>
        <v>1</v>
      </c>
      <c r="Q499" s="52">
        <v>5629</v>
      </c>
      <c r="R499" s="17">
        <v>50.1</v>
      </c>
      <c r="S499" s="17"/>
      <c r="T499" s="17"/>
      <c r="U499" s="17"/>
      <c r="V499" s="17"/>
      <c r="W499" s="17"/>
      <c r="X499" s="17"/>
      <c r="Y499" s="17"/>
      <c r="Z499" s="17" t="str">
        <f>IF(T499="", "mean", "med")</f>
        <v>mean</v>
      </c>
      <c r="AA499" s="17">
        <f>IF(T499="", R499, T499)</f>
        <v>50.1</v>
      </c>
      <c r="AB499" s="12">
        <f>IF(AC499="", 0, 1)</f>
        <v>0</v>
      </c>
      <c r="AC499" s="13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>
        <f>IF(AO499="", 0, 1)</f>
        <v>0</v>
      </c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 t="s">
        <v>52</v>
      </c>
      <c r="BA499" s="12" t="str">
        <f>IF(AZ499="high","high","lower")</f>
        <v>high</v>
      </c>
      <c r="BB499" s="49">
        <v>0.90800000000000003</v>
      </c>
      <c r="BC499" s="12">
        <v>84.8</v>
      </c>
      <c r="BD499" s="12">
        <v>94</v>
      </c>
      <c r="BE499" s="12">
        <v>100</v>
      </c>
      <c r="BF499" s="12">
        <v>82.2</v>
      </c>
      <c r="BG499" s="18" t="s">
        <v>1030</v>
      </c>
      <c r="BH499" s="18" t="s">
        <v>1031</v>
      </c>
    </row>
    <row r="500" spans="1:60" ht="15.75" customHeight="1" x14ac:dyDescent="0.2">
      <c r="A500" s="11">
        <v>503</v>
      </c>
      <c r="B500" s="12">
        <v>4139</v>
      </c>
      <c r="C500" s="13" t="s">
        <v>673</v>
      </c>
      <c r="D500" s="14" t="s">
        <v>38</v>
      </c>
      <c r="E500" s="23">
        <v>2003</v>
      </c>
      <c r="F500" s="23">
        <v>2006</v>
      </c>
      <c r="G500" s="13" t="s">
        <v>49</v>
      </c>
      <c r="H500" s="13"/>
      <c r="I500" s="13" t="s">
        <v>79</v>
      </c>
      <c r="J500" s="13" t="s">
        <v>238</v>
      </c>
      <c r="K500" s="14"/>
      <c r="L500" s="19">
        <v>17.8</v>
      </c>
      <c r="M500" s="20">
        <v>57.6</v>
      </c>
      <c r="N500" s="13" t="s">
        <v>42</v>
      </c>
      <c r="O500" s="14" t="s">
        <v>674</v>
      </c>
      <c r="P500" s="12">
        <f>IF(Q500="", 0, 1)</f>
        <v>1</v>
      </c>
      <c r="Q500" s="22">
        <v>6606</v>
      </c>
      <c r="R500" s="17"/>
      <c r="S500" s="17"/>
      <c r="T500" s="17">
        <v>32</v>
      </c>
      <c r="U500" s="17"/>
      <c r="V500" s="17"/>
      <c r="W500" s="17"/>
      <c r="X500" s="17"/>
      <c r="Y500" s="17"/>
      <c r="Z500" s="17" t="str">
        <f>IF(T500="", "mean", "med")</f>
        <v>med</v>
      </c>
      <c r="AA500" s="17">
        <f>IF(T500="", R500, T500)</f>
        <v>32</v>
      </c>
      <c r="AB500" s="12">
        <f>IF(AC500="", 0, 1)</f>
        <v>0</v>
      </c>
      <c r="AC500" s="13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>
        <f>IF(AO500="", 0, 1)</f>
        <v>0</v>
      </c>
      <c r="AO500" s="22"/>
      <c r="AP500" s="12"/>
      <c r="AQ500" s="12"/>
      <c r="AR500" s="22"/>
      <c r="AS500" s="12"/>
      <c r="AT500" s="12"/>
      <c r="AU500" s="12"/>
      <c r="AV500" s="12"/>
      <c r="AW500" s="12"/>
      <c r="AX500" s="12"/>
      <c r="AY500" s="12"/>
      <c r="AZ500" s="12" t="s">
        <v>52</v>
      </c>
      <c r="BA500" s="12" t="str">
        <f>IF(AZ500="high","high","lower")</f>
        <v>high</v>
      </c>
      <c r="BB500" s="49">
        <v>0.89900000000000002</v>
      </c>
      <c r="BC500" s="12">
        <v>84</v>
      </c>
      <c r="BD500" s="12">
        <v>88</v>
      </c>
      <c r="BE500" s="12">
        <v>100</v>
      </c>
      <c r="BF500" s="12">
        <v>84.2</v>
      </c>
      <c r="BG500" s="18" t="s">
        <v>1030</v>
      </c>
      <c r="BH500" s="18" t="s">
        <v>1031</v>
      </c>
    </row>
    <row r="501" spans="1:60" ht="15.75" customHeight="1" x14ac:dyDescent="0.2">
      <c r="A501" s="11">
        <v>504</v>
      </c>
      <c r="B501" s="22">
        <v>4169</v>
      </c>
      <c r="C501" s="13" t="s">
        <v>675</v>
      </c>
      <c r="D501" s="13" t="s">
        <v>38</v>
      </c>
      <c r="E501" s="23">
        <v>2004</v>
      </c>
      <c r="F501" s="23">
        <v>2010</v>
      </c>
      <c r="G501" s="13" t="s">
        <v>134</v>
      </c>
      <c r="H501" s="13"/>
      <c r="I501" s="13" t="s">
        <v>54</v>
      </c>
      <c r="J501" s="13" t="s">
        <v>55</v>
      </c>
      <c r="K501" s="13"/>
      <c r="L501" s="15" t="s">
        <v>41</v>
      </c>
      <c r="M501" s="16" t="s">
        <v>41</v>
      </c>
      <c r="N501" s="13" t="s">
        <v>99</v>
      </c>
      <c r="O501" s="13"/>
      <c r="P501" s="12">
        <f>IF(Q501="", 0, 1)</f>
        <v>0</v>
      </c>
      <c r="Q501" s="12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2">
        <f>IF(AC501="", 0, 1)</f>
        <v>1</v>
      </c>
      <c r="AC501" s="13">
        <v>7198</v>
      </c>
      <c r="AD501" s="12"/>
      <c r="AE501" s="12"/>
      <c r="AF501" s="12">
        <v>84</v>
      </c>
      <c r="AG501" s="12">
        <v>39</v>
      </c>
      <c r="AH501" s="12">
        <v>223</v>
      </c>
      <c r="AI501" s="12"/>
      <c r="AJ501" s="12"/>
      <c r="AK501" s="12"/>
      <c r="AL501" s="12" t="str">
        <f>IF(AF501="", "mean", "med")</f>
        <v>med</v>
      </c>
      <c r="AM501" s="12">
        <f>IF(AF501="", AD501, AF501)</f>
        <v>84</v>
      </c>
      <c r="AN501" s="12">
        <f>IF(AO501="", 0, 1)</f>
        <v>0</v>
      </c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 t="s">
        <v>52</v>
      </c>
      <c r="BA501" s="12" t="str">
        <f>IF(AZ501="high","high","lower")</f>
        <v>high</v>
      </c>
      <c r="BB501" s="49">
        <v>0.89600000000000002</v>
      </c>
      <c r="BC501" s="12">
        <v>84.8</v>
      </c>
      <c r="BD501" s="12">
        <v>94</v>
      </c>
      <c r="BE501" s="12">
        <v>100</v>
      </c>
      <c r="BF501" s="12">
        <v>82.2</v>
      </c>
      <c r="BG501" s="18" t="s">
        <v>1034</v>
      </c>
      <c r="BH501" s="18" t="s">
        <v>1031</v>
      </c>
    </row>
    <row r="502" spans="1:60" ht="15.75" customHeight="1" x14ac:dyDescent="0.2">
      <c r="A502" s="11">
        <v>505</v>
      </c>
      <c r="B502" s="12">
        <v>4179</v>
      </c>
      <c r="C502" s="13" t="s">
        <v>676</v>
      </c>
      <c r="D502" s="13" t="s">
        <v>38</v>
      </c>
      <c r="E502" s="23">
        <v>2005</v>
      </c>
      <c r="F502" s="23">
        <v>2012</v>
      </c>
      <c r="G502" s="13" t="s">
        <v>49</v>
      </c>
      <c r="H502" s="13"/>
      <c r="I502" s="13" t="s">
        <v>54</v>
      </c>
      <c r="J502" s="13" t="s">
        <v>229</v>
      </c>
      <c r="K502" s="13" t="s">
        <v>228</v>
      </c>
      <c r="L502" s="19">
        <v>20</v>
      </c>
      <c r="M502" s="16">
        <v>56</v>
      </c>
      <c r="N502" s="42" t="s">
        <v>42</v>
      </c>
      <c r="O502" s="13" t="s">
        <v>677</v>
      </c>
      <c r="P502" s="12">
        <f>IF(Q502="", 0, 1)</f>
        <v>1</v>
      </c>
      <c r="Q502" s="12">
        <v>165</v>
      </c>
      <c r="R502" s="17"/>
      <c r="S502" s="17"/>
      <c r="T502" s="17">
        <f>1.7*30</f>
        <v>51</v>
      </c>
      <c r="U502" s="17"/>
      <c r="V502" s="17"/>
      <c r="W502" s="17"/>
      <c r="X502" s="17">
        <f>0.1*30</f>
        <v>3</v>
      </c>
      <c r="Y502" s="17">
        <f>42.5*30</f>
        <v>1275</v>
      </c>
      <c r="Z502" s="17" t="str">
        <f>IF(T502="", "mean", "med")</f>
        <v>med</v>
      </c>
      <c r="AA502" s="17">
        <f>IF(T502="", R502, T502)</f>
        <v>51</v>
      </c>
      <c r="AB502" s="12">
        <f>IF(AC502="", 0, 1)</f>
        <v>0</v>
      </c>
      <c r="AC502" s="13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>
        <f>IF(AO502="", 0, 1)</f>
        <v>0</v>
      </c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 t="s">
        <v>52</v>
      </c>
      <c r="BA502" s="12" t="str">
        <f>IF(AZ502="high","high","lower")</f>
        <v>high</v>
      </c>
      <c r="BB502" s="49">
        <v>0.91100000000000003</v>
      </c>
      <c r="BC502" s="12">
        <v>84</v>
      </c>
      <c r="BD502" s="12">
        <v>88</v>
      </c>
      <c r="BE502" s="12">
        <v>100</v>
      </c>
      <c r="BF502" s="12">
        <v>84.2</v>
      </c>
      <c r="BG502" s="18" t="s">
        <v>1030</v>
      </c>
      <c r="BH502" s="18" t="s">
        <v>1031</v>
      </c>
    </row>
    <row r="503" spans="1:60" ht="15.75" customHeight="1" x14ac:dyDescent="0.2">
      <c r="A503" s="11">
        <v>506</v>
      </c>
      <c r="B503" s="22">
        <v>4180</v>
      </c>
      <c r="C503" s="13" t="s">
        <v>678</v>
      </c>
      <c r="D503" s="13">
        <v>2003</v>
      </c>
      <c r="E503" s="23">
        <v>2001</v>
      </c>
      <c r="F503" s="23">
        <v>2005</v>
      </c>
      <c r="G503" s="13" t="s">
        <v>134</v>
      </c>
      <c r="H503" s="13"/>
      <c r="I503" s="13" t="s">
        <v>54</v>
      </c>
      <c r="J503" s="13" t="s">
        <v>55</v>
      </c>
      <c r="K503" s="13"/>
      <c r="L503" s="19">
        <v>44</v>
      </c>
      <c r="M503" s="16">
        <v>72</v>
      </c>
      <c r="N503" s="13" t="s">
        <v>99</v>
      </c>
      <c r="O503" s="13" t="s">
        <v>679</v>
      </c>
      <c r="P503" s="12">
        <f>IF(Q503="", 0, 1)</f>
        <v>1</v>
      </c>
      <c r="Q503" s="22">
        <v>665</v>
      </c>
      <c r="R503" s="17"/>
      <c r="S503" s="17"/>
      <c r="T503" s="17">
        <v>8</v>
      </c>
      <c r="U503" s="17"/>
      <c r="V503" s="17">
        <v>31</v>
      </c>
      <c r="W503" s="17"/>
      <c r="X503" s="17"/>
      <c r="Y503" s="17"/>
      <c r="Z503" s="17" t="str">
        <f>IF(T503="", "mean", "med")</f>
        <v>med</v>
      </c>
      <c r="AA503" s="17">
        <f>IF(T503="", R503, T503)</f>
        <v>8</v>
      </c>
      <c r="AB503" s="12">
        <f>IF(AC503="", 0, 1)</f>
        <v>1</v>
      </c>
      <c r="AC503" s="13">
        <v>665</v>
      </c>
      <c r="AD503" s="12"/>
      <c r="AE503" s="12"/>
      <c r="AF503" s="12">
        <v>58</v>
      </c>
      <c r="AG503" s="12"/>
      <c r="AH503" s="12">
        <v>118</v>
      </c>
      <c r="AI503" s="12"/>
      <c r="AJ503" s="12"/>
      <c r="AK503" s="12"/>
      <c r="AL503" s="12" t="str">
        <f>IF(AF503="", "mean", "med")</f>
        <v>med</v>
      </c>
      <c r="AM503" s="12">
        <f>IF(AF503="", AD503, AF503)</f>
        <v>58</v>
      </c>
      <c r="AN503" s="12">
        <f>IF(AO503="", 0, 1)</f>
        <v>0</v>
      </c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 t="s">
        <v>52</v>
      </c>
      <c r="BA503" s="12" t="str">
        <f>IF(AZ503="high","high","lower")</f>
        <v>high</v>
      </c>
      <c r="BB503" s="49">
        <v>0.88200000000000001</v>
      </c>
      <c r="BC503" s="12">
        <v>84.8</v>
      </c>
      <c r="BD503" s="12">
        <v>94</v>
      </c>
      <c r="BE503" s="12">
        <v>100</v>
      </c>
      <c r="BF503" s="12">
        <v>82.2</v>
      </c>
      <c r="BG503" s="18" t="s">
        <v>1030</v>
      </c>
      <c r="BH503" s="18" t="s">
        <v>1031</v>
      </c>
    </row>
    <row r="504" spans="1:60" ht="15.75" customHeight="1" x14ac:dyDescent="0.2">
      <c r="A504" s="11">
        <v>507</v>
      </c>
      <c r="B504" s="12">
        <v>4180</v>
      </c>
      <c r="C504" s="13" t="s">
        <v>678</v>
      </c>
      <c r="D504" s="13">
        <v>2002</v>
      </c>
      <c r="E504" s="23">
        <v>2001</v>
      </c>
      <c r="F504" s="23">
        <v>2005</v>
      </c>
      <c r="G504" s="13" t="s">
        <v>134</v>
      </c>
      <c r="H504" s="13"/>
      <c r="I504" s="13" t="s">
        <v>54</v>
      </c>
      <c r="J504" s="13" t="s">
        <v>55</v>
      </c>
      <c r="K504" s="13"/>
      <c r="L504" s="19">
        <v>46</v>
      </c>
      <c r="M504" s="16">
        <v>72</v>
      </c>
      <c r="N504" s="13" t="s">
        <v>99</v>
      </c>
      <c r="O504" s="13" t="s">
        <v>679</v>
      </c>
      <c r="P504" s="12">
        <f>IF(Q504="", 0, 1)</f>
        <v>1</v>
      </c>
      <c r="Q504" s="22">
        <v>735</v>
      </c>
      <c r="R504" s="17"/>
      <c r="S504" s="17"/>
      <c r="T504" s="17">
        <v>11</v>
      </c>
      <c r="U504" s="17"/>
      <c r="V504" s="17">
        <v>31</v>
      </c>
      <c r="W504" s="17"/>
      <c r="X504" s="17"/>
      <c r="Y504" s="17"/>
      <c r="Z504" s="17" t="str">
        <f>IF(T504="", "mean", "med")</f>
        <v>med</v>
      </c>
      <c r="AA504" s="17">
        <f>IF(T504="", R504, T504)</f>
        <v>11</v>
      </c>
      <c r="AB504" s="12">
        <f>IF(AC504="", 0, 1)</f>
        <v>1</v>
      </c>
      <c r="AC504" s="13">
        <v>735</v>
      </c>
      <c r="AD504" s="12"/>
      <c r="AE504" s="12"/>
      <c r="AF504" s="12">
        <v>47</v>
      </c>
      <c r="AG504" s="12"/>
      <c r="AH504" s="12">
        <v>111</v>
      </c>
      <c r="AI504" s="12"/>
      <c r="AJ504" s="12"/>
      <c r="AK504" s="12"/>
      <c r="AL504" s="12" t="str">
        <f>IF(AF504="", "mean", "med")</f>
        <v>med</v>
      </c>
      <c r="AM504" s="12">
        <f>IF(AF504="", AD504, AF504)</f>
        <v>47</v>
      </c>
      <c r="AN504" s="12">
        <f>IF(AO504="", 0, 1)</f>
        <v>0</v>
      </c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 t="s">
        <v>52</v>
      </c>
      <c r="BA504" s="12" t="str">
        <f>IF(AZ504="high","high","lower")</f>
        <v>high</v>
      </c>
      <c r="BB504" s="49">
        <v>0.877</v>
      </c>
      <c r="BC504" s="12">
        <v>84.8</v>
      </c>
      <c r="BD504" s="12">
        <v>94</v>
      </c>
      <c r="BE504" s="12">
        <v>100</v>
      </c>
      <c r="BF504" s="12">
        <v>82.2</v>
      </c>
      <c r="BG504" s="18" t="s">
        <v>1030</v>
      </c>
      <c r="BH504" s="18" t="s">
        <v>1031</v>
      </c>
    </row>
    <row r="505" spans="1:60" ht="15.75" customHeight="1" x14ac:dyDescent="0.2">
      <c r="A505" s="11">
        <v>508</v>
      </c>
      <c r="B505" s="12">
        <v>4180</v>
      </c>
      <c r="C505" s="13" t="s">
        <v>678</v>
      </c>
      <c r="D505" s="13">
        <v>2001</v>
      </c>
      <c r="E505" s="23">
        <v>2001</v>
      </c>
      <c r="F505" s="23">
        <v>2005</v>
      </c>
      <c r="G505" s="13" t="s">
        <v>134</v>
      </c>
      <c r="H505" s="13"/>
      <c r="I505" s="13" t="s">
        <v>54</v>
      </c>
      <c r="J505" s="13" t="s">
        <v>55</v>
      </c>
      <c r="K505" s="13"/>
      <c r="L505" s="19">
        <v>47</v>
      </c>
      <c r="M505" s="16">
        <v>73</v>
      </c>
      <c r="N505" s="13" t="s">
        <v>99</v>
      </c>
      <c r="O505" s="13" t="s">
        <v>679</v>
      </c>
      <c r="P505" s="12">
        <f>IF(Q505="", 0, 1)</f>
        <v>1</v>
      </c>
      <c r="Q505" s="22">
        <v>673</v>
      </c>
      <c r="R505" s="17"/>
      <c r="S505" s="17"/>
      <c r="T505" s="17">
        <v>5</v>
      </c>
      <c r="U505" s="17"/>
      <c r="V505" s="17">
        <v>26</v>
      </c>
      <c r="W505" s="17"/>
      <c r="X505" s="17"/>
      <c r="Y505" s="17"/>
      <c r="Z505" s="17" t="str">
        <f>IF(T505="", "mean", "med")</f>
        <v>med</v>
      </c>
      <c r="AA505" s="17">
        <f>IF(T505="", R505, T505)</f>
        <v>5</v>
      </c>
      <c r="AB505" s="12">
        <f>IF(AC505="", 0, 1)</f>
        <v>1</v>
      </c>
      <c r="AC505" s="13">
        <v>673</v>
      </c>
      <c r="AD505" s="12"/>
      <c r="AE505" s="12"/>
      <c r="AF505" s="12">
        <v>44</v>
      </c>
      <c r="AG505" s="12"/>
      <c r="AH505" s="12">
        <v>92</v>
      </c>
      <c r="AI505" s="12"/>
      <c r="AJ505" s="12"/>
      <c r="AK505" s="12"/>
      <c r="AL505" s="12" t="str">
        <f>IF(AF505="", "mean", "med")</f>
        <v>med</v>
      </c>
      <c r="AM505" s="12">
        <f>IF(AF505="", AD505, AF505)</f>
        <v>44</v>
      </c>
      <c r="AN505" s="12">
        <f>IF(AO505="", 0, 1)</f>
        <v>0</v>
      </c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 t="s">
        <v>52</v>
      </c>
      <c r="BA505" s="12" t="str">
        <f>IF(AZ505="high","high","lower")</f>
        <v>high</v>
      </c>
      <c r="BB505" s="49">
        <v>0.871</v>
      </c>
      <c r="BC505" s="12">
        <v>84.8</v>
      </c>
      <c r="BD505" s="12">
        <v>94</v>
      </c>
      <c r="BE505" s="12">
        <v>100</v>
      </c>
      <c r="BF505" s="12">
        <v>82.2</v>
      </c>
      <c r="BG505" s="18" t="s">
        <v>1030</v>
      </c>
      <c r="BH505" s="18" t="s">
        <v>1031</v>
      </c>
    </row>
    <row r="506" spans="1:60" ht="15.75" customHeight="1" x14ac:dyDescent="0.2">
      <c r="A506" s="11">
        <v>509</v>
      </c>
      <c r="B506" s="12">
        <v>4182</v>
      </c>
      <c r="C506" s="13" t="s">
        <v>678</v>
      </c>
      <c r="D506" s="13">
        <v>2009</v>
      </c>
      <c r="E506" s="23">
        <v>2004</v>
      </c>
      <c r="F506" s="23">
        <v>2009</v>
      </c>
      <c r="G506" s="13" t="s">
        <v>134</v>
      </c>
      <c r="H506" s="13"/>
      <c r="I506" s="13" t="s">
        <v>54</v>
      </c>
      <c r="J506" s="14" t="s">
        <v>55</v>
      </c>
      <c r="K506" s="14"/>
      <c r="L506" s="19">
        <v>42</v>
      </c>
      <c r="M506" s="20">
        <v>70</v>
      </c>
      <c r="N506" s="13" t="s">
        <v>99</v>
      </c>
      <c r="O506" s="33" t="s">
        <v>680</v>
      </c>
      <c r="P506" s="12">
        <f>IF(Q506="", 0, 1)</f>
        <v>1</v>
      </c>
      <c r="Q506" s="22">
        <v>97</v>
      </c>
      <c r="R506" s="17"/>
      <c r="S506" s="17"/>
      <c r="T506" s="17">
        <v>22</v>
      </c>
      <c r="U506" s="17"/>
      <c r="V506" s="17">
        <v>53</v>
      </c>
      <c r="W506" s="17"/>
      <c r="X506" s="17"/>
      <c r="Y506" s="17"/>
      <c r="Z506" s="17" t="str">
        <f>IF(T506="", "mean", "med")</f>
        <v>med</v>
      </c>
      <c r="AA506" s="17">
        <f>IF(T506="", R506, T506)</f>
        <v>22</v>
      </c>
      <c r="AB506" s="12">
        <f>IF(AC506="", 0, 1)</f>
        <v>1</v>
      </c>
      <c r="AC506" s="12">
        <v>97</v>
      </c>
      <c r="AD506" s="12"/>
      <c r="AE506" s="12"/>
      <c r="AF506" s="12">
        <v>105</v>
      </c>
      <c r="AG506" s="12"/>
      <c r="AH506" s="12">
        <v>168</v>
      </c>
      <c r="AI506" s="12"/>
      <c r="AJ506" s="12"/>
      <c r="AK506" s="12"/>
      <c r="AL506" s="12" t="str">
        <f>IF(AF506="", "mean", "med")</f>
        <v>med</v>
      </c>
      <c r="AM506" s="12">
        <f>IF(AF506="", AD506, AF506)</f>
        <v>105</v>
      </c>
      <c r="AN506" s="12">
        <f>IF(AO506="", 0, 1)</f>
        <v>0</v>
      </c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 t="s">
        <v>52</v>
      </c>
      <c r="BA506" s="12" t="str">
        <f>IF(AZ506="high","high","lower")</f>
        <v>high</v>
      </c>
      <c r="BB506" s="49">
        <v>0.89500000000000002</v>
      </c>
      <c r="BC506" s="12">
        <v>84.8</v>
      </c>
      <c r="BD506" s="12">
        <v>94</v>
      </c>
      <c r="BE506" s="12">
        <v>100</v>
      </c>
      <c r="BF506" s="12">
        <v>82.2</v>
      </c>
      <c r="BG506" s="18" t="s">
        <v>1034</v>
      </c>
      <c r="BH506" s="18" t="s">
        <v>1031</v>
      </c>
    </row>
    <row r="507" spans="1:60" ht="15.75" customHeight="1" x14ac:dyDescent="0.2">
      <c r="A507" s="11">
        <v>510</v>
      </c>
      <c r="B507" s="12">
        <v>4182</v>
      </c>
      <c r="C507" s="13" t="s">
        <v>678</v>
      </c>
      <c r="D507" s="13">
        <v>2007</v>
      </c>
      <c r="E507" s="23">
        <v>2004</v>
      </c>
      <c r="F507" s="23">
        <v>2009</v>
      </c>
      <c r="G507" s="13" t="s">
        <v>134</v>
      </c>
      <c r="H507" s="13"/>
      <c r="I507" s="13" t="s">
        <v>54</v>
      </c>
      <c r="J507" s="14" t="s">
        <v>55</v>
      </c>
      <c r="K507" s="14"/>
      <c r="L507" s="19">
        <v>46</v>
      </c>
      <c r="M507" s="20">
        <v>70</v>
      </c>
      <c r="N507" s="13" t="s">
        <v>99</v>
      </c>
      <c r="O507" s="31" t="s">
        <v>680</v>
      </c>
      <c r="P507" s="12">
        <f>IF(Q507="", 0, 1)</f>
        <v>1</v>
      </c>
      <c r="Q507" s="22">
        <v>448</v>
      </c>
      <c r="R507" s="17"/>
      <c r="S507" s="17"/>
      <c r="T507" s="17">
        <v>21</v>
      </c>
      <c r="U507" s="17"/>
      <c r="V507" s="17">
        <v>45</v>
      </c>
      <c r="W507" s="17"/>
      <c r="X507" s="17"/>
      <c r="Y507" s="17"/>
      <c r="Z507" s="17" t="str">
        <f>IF(T507="", "mean", "med")</f>
        <v>med</v>
      </c>
      <c r="AA507" s="17">
        <f>IF(T507="", R507, T507)</f>
        <v>21</v>
      </c>
      <c r="AB507" s="12">
        <f>IF(AC507="", 0, 1)</f>
        <v>1</v>
      </c>
      <c r="AC507" s="12">
        <v>448</v>
      </c>
      <c r="AD507" s="12"/>
      <c r="AE507" s="12"/>
      <c r="AF507" s="12">
        <v>78</v>
      </c>
      <c r="AG507" s="12"/>
      <c r="AH507" s="12">
        <v>161</v>
      </c>
      <c r="AI507" s="12"/>
      <c r="AJ507" s="12"/>
      <c r="AK507" s="12"/>
      <c r="AL507" s="12" t="str">
        <f>IF(AF507="", "mean", "med")</f>
        <v>med</v>
      </c>
      <c r="AM507" s="12">
        <f>IF(AF507="", AD507, AF507)</f>
        <v>78</v>
      </c>
      <c r="AN507" s="12">
        <f>IF(AO507="", 0, 1)</f>
        <v>0</v>
      </c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 t="s">
        <v>52</v>
      </c>
      <c r="BA507" s="12" t="str">
        <f>IF(AZ507="high","high","lower")</f>
        <v>high</v>
      </c>
      <c r="BB507" s="49">
        <v>0.89500000000000002</v>
      </c>
      <c r="BC507" s="12">
        <v>84.8</v>
      </c>
      <c r="BD507" s="12">
        <v>94</v>
      </c>
      <c r="BE507" s="12">
        <v>100</v>
      </c>
      <c r="BF507" s="12">
        <v>82.2</v>
      </c>
      <c r="BG507" s="18" t="s">
        <v>1034</v>
      </c>
      <c r="BH507" s="18" t="s">
        <v>1031</v>
      </c>
    </row>
    <row r="508" spans="1:60" ht="15.75" customHeight="1" x14ac:dyDescent="0.2">
      <c r="A508" s="11">
        <v>511</v>
      </c>
      <c r="B508" s="12">
        <v>4182</v>
      </c>
      <c r="C508" s="13" t="s">
        <v>678</v>
      </c>
      <c r="D508" s="13">
        <v>2008</v>
      </c>
      <c r="E508" s="23">
        <v>2004</v>
      </c>
      <c r="F508" s="23">
        <v>2009</v>
      </c>
      <c r="G508" s="13" t="s">
        <v>134</v>
      </c>
      <c r="H508" s="13"/>
      <c r="I508" s="13" t="s">
        <v>54</v>
      </c>
      <c r="J508" s="14" t="s">
        <v>55</v>
      </c>
      <c r="K508" s="14"/>
      <c r="L508" s="19">
        <v>46</v>
      </c>
      <c r="M508" s="16">
        <v>71</v>
      </c>
      <c r="N508" s="13" t="s">
        <v>99</v>
      </c>
      <c r="O508" s="33" t="s">
        <v>680</v>
      </c>
      <c r="P508" s="12">
        <f>IF(Q508="", 0, 1)</f>
        <v>1</v>
      </c>
      <c r="Q508" s="22">
        <v>471</v>
      </c>
      <c r="R508" s="17"/>
      <c r="S508" s="17"/>
      <c r="T508" s="17">
        <v>20</v>
      </c>
      <c r="U508" s="17"/>
      <c r="V508" s="17">
        <v>51</v>
      </c>
      <c r="W508" s="17"/>
      <c r="X508" s="17"/>
      <c r="Y508" s="17"/>
      <c r="Z508" s="17" t="str">
        <f>IF(T508="", "mean", "med")</f>
        <v>med</v>
      </c>
      <c r="AA508" s="17">
        <f>IF(T508="", R508, T508)</f>
        <v>20</v>
      </c>
      <c r="AB508" s="12">
        <f>IF(AC508="", 0, 1)</f>
        <v>1</v>
      </c>
      <c r="AC508" s="12">
        <v>471</v>
      </c>
      <c r="AD508" s="12"/>
      <c r="AE508" s="12"/>
      <c r="AF508" s="12">
        <v>92</v>
      </c>
      <c r="AG508" s="12"/>
      <c r="AH508" s="12">
        <v>201</v>
      </c>
      <c r="AI508" s="12"/>
      <c r="AJ508" s="12"/>
      <c r="AK508" s="12"/>
      <c r="AL508" s="12" t="str">
        <f>IF(AF508="", "mean", "med")</f>
        <v>med</v>
      </c>
      <c r="AM508" s="12">
        <f>IF(AF508="", AD508, AF508)</f>
        <v>92</v>
      </c>
      <c r="AN508" s="12">
        <f>IF(AO508="", 0, 1)</f>
        <v>0</v>
      </c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 t="s">
        <v>52</v>
      </c>
      <c r="BA508" s="12" t="str">
        <f>IF(AZ508="high","high","lower")</f>
        <v>high</v>
      </c>
      <c r="BB508" s="49">
        <v>0.89500000000000002</v>
      </c>
      <c r="BC508" s="12">
        <v>84.8</v>
      </c>
      <c r="BD508" s="12">
        <v>94</v>
      </c>
      <c r="BE508" s="12">
        <v>100</v>
      </c>
      <c r="BF508" s="12">
        <v>82.2</v>
      </c>
      <c r="BG508" s="18" t="s">
        <v>1034</v>
      </c>
      <c r="BH508" s="18" t="s">
        <v>1031</v>
      </c>
    </row>
    <row r="509" spans="1:60" ht="15.75" customHeight="1" x14ac:dyDescent="0.2">
      <c r="A509" s="11">
        <v>512</v>
      </c>
      <c r="B509" s="22">
        <v>4182</v>
      </c>
      <c r="C509" s="13" t="s">
        <v>678</v>
      </c>
      <c r="D509" s="13">
        <v>2005</v>
      </c>
      <c r="E509" s="23">
        <v>2004</v>
      </c>
      <c r="F509" s="23">
        <v>2009</v>
      </c>
      <c r="G509" s="13" t="s">
        <v>134</v>
      </c>
      <c r="H509" s="13"/>
      <c r="I509" s="13" t="s">
        <v>54</v>
      </c>
      <c r="J509" s="14" t="s">
        <v>55</v>
      </c>
      <c r="K509" s="14"/>
      <c r="L509" s="15">
        <v>48</v>
      </c>
      <c r="M509" s="16">
        <v>72</v>
      </c>
      <c r="N509" s="13" t="s">
        <v>99</v>
      </c>
      <c r="O509" s="31" t="s">
        <v>680</v>
      </c>
      <c r="P509" s="12">
        <f>IF(Q509="", 0, 1)</f>
        <v>1</v>
      </c>
      <c r="Q509" s="12">
        <v>416</v>
      </c>
      <c r="R509" s="17"/>
      <c r="S509" s="17"/>
      <c r="T509" s="17">
        <v>13</v>
      </c>
      <c r="U509" s="17"/>
      <c r="V509" s="17">
        <v>36</v>
      </c>
      <c r="W509" s="17"/>
      <c r="X509" s="17"/>
      <c r="Y509" s="17"/>
      <c r="Z509" s="17" t="str">
        <f>IF(T509="", "mean", "med")</f>
        <v>med</v>
      </c>
      <c r="AA509" s="17">
        <f>IF(T509="", R509, T509)</f>
        <v>13</v>
      </c>
      <c r="AB509" s="12">
        <f>IF(AC509="", 0, 1)</f>
        <v>1</v>
      </c>
      <c r="AC509" s="12">
        <v>416</v>
      </c>
      <c r="AD509" s="12"/>
      <c r="AE509" s="12"/>
      <c r="AF509" s="12">
        <v>83</v>
      </c>
      <c r="AG509" s="12"/>
      <c r="AH509" s="12">
        <v>159</v>
      </c>
      <c r="AI509" s="12"/>
      <c r="AJ509" s="12"/>
      <c r="AK509" s="12"/>
      <c r="AL509" s="12" t="str">
        <f>IF(AF509="", "mean", "med")</f>
        <v>med</v>
      </c>
      <c r="AM509" s="12">
        <f>IF(AF509="", AD509, AF509)</f>
        <v>83</v>
      </c>
      <c r="AN509" s="12">
        <f>IF(AO509="", 0, 1)</f>
        <v>0</v>
      </c>
      <c r="AO509" s="12"/>
      <c r="AP509" s="12"/>
      <c r="AQ509" s="12"/>
      <c r="AR509" s="12"/>
      <c r="AS509" s="12"/>
      <c r="AT509" s="12"/>
      <c r="AU509" s="12"/>
      <c r="AV509" s="12"/>
      <c r="AW509" s="22"/>
      <c r="AX509" s="12"/>
      <c r="AY509" s="12"/>
      <c r="AZ509" s="12" t="s">
        <v>52</v>
      </c>
      <c r="BA509" s="12" t="str">
        <f>IF(AZ509="high","high","lower")</f>
        <v>high</v>
      </c>
      <c r="BB509" s="49">
        <v>0.89500000000000002</v>
      </c>
      <c r="BC509" s="12">
        <v>84.8</v>
      </c>
      <c r="BD509" s="12">
        <v>94</v>
      </c>
      <c r="BE509" s="12">
        <v>100</v>
      </c>
      <c r="BF509" s="12">
        <v>82.2</v>
      </c>
      <c r="BG509" s="18" t="s">
        <v>1034</v>
      </c>
      <c r="BH509" s="18" t="s">
        <v>1031</v>
      </c>
    </row>
    <row r="510" spans="1:60" ht="15.75" customHeight="1" x14ac:dyDescent="0.2">
      <c r="A510" s="11">
        <v>513</v>
      </c>
      <c r="B510" s="12">
        <v>4182</v>
      </c>
      <c r="C510" s="13" t="s">
        <v>678</v>
      </c>
      <c r="D510" s="13">
        <v>2004</v>
      </c>
      <c r="E510" s="23">
        <v>2004</v>
      </c>
      <c r="F510" s="23">
        <v>2009</v>
      </c>
      <c r="G510" s="13" t="s">
        <v>134</v>
      </c>
      <c r="H510" s="13"/>
      <c r="I510" s="13" t="s">
        <v>54</v>
      </c>
      <c r="J510" s="13" t="s">
        <v>55</v>
      </c>
      <c r="K510" s="13"/>
      <c r="L510" s="15">
        <v>50</v>
      </c>
      <c r="M510" s="16">
        <v>72</v>
      </c>
      <c r="N510" s="13" t="s">
        <v>99</v>
      </c>
      <c r="O510" s="31" t="s">
        <v>680</v>
      </c>
      <c r="P510" s="12">
        <f>IF(Q510="", 0, 1)</f>
        <v>1</v>
      </c>
      <c r="Q510" s="12">
        <v>446</v>
      </c>
      <c r="R510" s="17"/>
      <c r="S510" s="17"/>
      <c r="T510" s="17">
        <v>15</v>
      </c>
      <c r="U510" s="17"/>
      <c r="V510" s="17">
        <v>34</v>
      </c>
      <c r="W510" s="17"/>
      <c r="X510" s="17"/>
      <c r="Y510" s="17"/>
      <c r="Z510" s="17" t="str">
        <f>IF(T510="", "mean", "med")</f>
        <v>med</v>
      </c>
      <c r="AA510" s="17">
        <f>IF(T510="", R510, T510)</f>
        <v>15</v>
      </c>
      <c r="AB510" s="12">
        <f>IF(AC510="", 0, 1)</f>
        <v>1</v>
      </c>
      <c r="AC510" s="12">
        <v>446</v>
      </c>
      <c r="AD510" s="12"/>
      <c r="AE510" s="12"/>
      <c r="AF510" s="12">
        <v>72</v>
      </c>
      <c r="AG510" s="12"/>
      <c r="AH510" s="12">
        <v>140</v>
      </c>
      <c r="AI510" s="12"/>
      <c r="AJ510" s="12"/>
      <c r="AK510" s="12"/>
      <c r="AL510" s="12" t="str">
        <f>IF(AF510="", "mean", "med")</f>
        <v>med</v>
      </c>
      <c r="AM510" s="12">
        <f>IF(AF510="", AD510, AF510)</f>
        <v>72</v>
      </c>
      <c r="AN510" s="12">
        <f>IF(AO510="", 0, 1)</f>
        <v>0</v>
      </c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 t="s">
        <v>52</v>
      </c>
      <c r="BA510" s="12" t="str">
        <f>IF(AZ510="high","high","lower")</f>
        <v>high</v>
      </c>
      <c r="BB510" s="49">
        <v>0.89500000000000002</v>
      </c>
      <c r="BC510" s="12">
        <v>84.8</v>
      </c>
      <c r="BD510" s="12">
        <v>94</v>
      </c>
      <c r="BE510" s="12">
        <v>100</v>
      </c>
      <c r="BF510" s="12">
        <v>82.2</v>
      </c>
      <c r="BG510" s="18" t="s">
        <v>1034</v>
      </c>
      <c r="BH510" s="18" t="s">
        <v>1031</v>
      </c>
    </row>
    <row r="511" spans="1:60" ht="15.75" customHeight="1" x14ac:dyDescent="0.2">
      <c r="A511" s="11">
        <v>514</v>
      </c>
      <c r="B511" s="12">
        <v>4182</v>
      </c>
      <c r="C511" s="13" t="s">
        <v>678</v>
      </c>
      <c r="D511" s="14">
        <v>2006</v>
      </c>
      <c r="E511" s="23">
        <v>2004</v>
      </c>
      <c r="F511" s="23">
        <v>2009</v>
      </c>
      <c r="G511" s="13" t="s">
        <v>134</v>
      </c>
      <c r="H511" s="13"/>
      <c r="I511" s="13" t="s">
        <v>54</v>
      </c>
      <c r="J511" s="14" t="s">
        <v>55</v>
      </c>
      <c r="K511" s="14"/>
      <c r="L511" s="15">
        <v>46</v>
      </c>
      <c r="M511" s="16">
        <v>73</v>
      </c>
      <c r="N511" s="14" t="s">
        <v>99</v>
      </c>
      <c r="O511" s="31" t="s">
        <v>680</v>
      </c>
      <c r="P511" s="12">
        <f>IF(Q511="", 0, 1)</f>
        <v>1</v>
      </c>
      <c r="Q511" s="12">
        <v>441</v>
      </c>
      <c r="R511" s="17"/>
      <c r="S511" s="17"/>
      <c r="T511" s="17">
        <v>14</v>
      </c>
      <c r="U511" s="17"/>
      <c r="V511" s="17">
        <v>42</v>
      </c>
      <c r="W511" s="17"/>
      <c r="X511" s="17"/>
      <c r="Y511" s="17"/>
      <c r="Z511" s="17" t="str">
        <f>IF(T511="", "mean", "med")</f>
        <v>med</v>
      </c>
      <c r="AA511" s="17">
        <f>IF(T511="", R511, T511)</f>
        <v>14</v>
      </c>
      <c r="AB511" s="12">
        <f>IF(AC511="", 0, 1)</f>
        <v>1</v>
      </c>
      <c r="AC511" s="12">
        <v>441</v>
      </c>
      <c r="AD511" s="12"/>
      <c r="AE511" s="12"/>
      <c r="AF511" s="12">
        <v>78</v>
      </c>
      <c r="AG511" s="12"/>
      <c r="AH511" s="12">
        <v>156</v>
      </c>
      <c r="AI511" s="12"/>
      <c r="AJ511" s="12"/>
      <c r="AK511" s="12"/>
      <c r="AL511" s="12" t="str">
        <f>IF(AF511="", "mean", "med")</f>
        <v>med</v>
      </c>
      <c r="AM511" s="12">
        <f>IF(AF511="", AD511, AF511)</f>
        <v>78</v>
      </c>
      <c r="AN511" s="12">
        <f>IF(AO511="", 0, 1)</f>
        <v>0</v>
      </c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 t="s">
        <v>52</v>
      </c>
      <c r="BA511" s="12" t="str">
        <f>IF(AZ511="high","high","lower")</f>
        <v>high</v>
      </c>
      <c r="BB511" s="49">
        <v>0.89500000000000002</v>
      </c>
      <c r="BC511" s="12">
        <v>84.8</v>
      </c>
      <c r="BD511" s="12">
        <v>94</v>
      </c>
      <c r="BE511" s="12">
        <v>100</v>
      </c>
      <c r="BF511" s="12">
        <v>82.2</v>
      </c>
      <c r="BG511" s="18" t="s">
        <v>1034</v>
      </c>
      <c r="BH511" s="18" t="s">
        <v>1031</v>
      </c>
    </row>
    <row r="512" spans="1:60" ht="15.75" customHeight="1" x14ac:dyDescent="0.2">
      <c r="A512" s="11">
        <v>515</v>
      </c>
      <c r="B512" s="12">
        <v>4202</v>
      </c>
      <c r="C512" s="13" t="s">
        <v>681</v>
      </c>
      <c r="D512" s="13" t="s">
        <v>682</v>
      </c>
      <c r="E512" s="23">
        <v>1993</v>
      </c>
      <c r="F512" s="23">
        <v>2004</v>
      </c>
      <c r="G512" s="13" t="s">
        <v>49</v>
      </c>
      <c r="H512" s="13"/>
      <c r="I512" s="14" t="s">
        <v>79</v>
      </c>
      <c r="J512" s="14" t="s">
        <v>234</v>
      </c>
      <c r="K512" s="14"/>
      <c r="L512" s="19">
        <v>25</v>
      </c>
      <c r="M512" s="16">
        <v>63.1</v>
      </c>
      <c r="N512" s="13" t="s">
        <v>99</v>
      </c>
      <c r="O512" s="14" t="s">
        <v>41</v>
      </c>
      <c r="P512" s="12">
        <f>IF(Q512="", 0, 1)</f>
        <v>1</v>
      </c>
      <c r="Q512" s="12">
        <v>129</v>
      </c>
      <c r="R512" s="17">
        <v>24.7</v>
      </c>
      <c r="S512" s="17"/>
      <c r="T512" s="17"/>
      <c r="U512" s="17"/>
      <c r="V512" s="17"/>
      <c r="W512" s="17"/>
      <c r="X512" s="17"/>
      <c r="Y512" s="17"/>
      <c r="Z512" s="17" t="str">
        <f>IF(T512="", "mean", "med")</f>
        <v>mean</v>
      </c>
      <c r="AA512" s="17">
        <f>IF(T512="", R512, T512)</f>
        <v>24.7</v>
      </c>
      <c r="AB512" s="12">
        <f>IF(AC512="", 0, 1)</f>
        <v>0</v>
      </c>
      <c r="AC512" s="13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>
        <f>IF(AO512="", 0, 1)</f>
        <v>1</v>
      </c>
      <c r="AO512" s="12">
        <v>129</v>
      </c>
      <c r="AP512" s="12">
        <v>88.7</v>
      </c>
      <c r="AQ512" s="12"/>
      <c r="AR512" s="12"/>
      <c r="AS512" s="12"/>
      <c r="AT512" s="12"/>
      <c r="AU512" s="12"/>
      <c r="AV512" s="12"/>
      <c r="AW512" s="12"/>
      <c r="AX512" s="12" t="str">
        <f>IF(AR512="", "mean", "med")</f>
        <v>mean</v>
      </c>
      <c r="AY512" s="12">
        <f>IF(AR512="", AP512, AR512)</f>
        <v>88.7</v>
      </c>
      <c r="AZ512" s="12" t="s">
        <v>52</v>
      </c>
      <c r="BA512" s="12" t="str">
        <f>IF(AZ512="high","high","lower")</f>
        <v>high</v>
      </c>
      <c r="BB512" s="49">
        <v>0.88700000000000001</v>
      </c>
      <c r="BC512" s="12">
        <v>84</v>
      </c>
      <c r="BD512" s="12">
        <v>88</v>
      </c>
      <c r="BE512" s="12">
        <v>100</v>
      </c>
      <c r="BF512" s="12">
        <v>84.2</v>
      </c>
      <c r="BG512" s="18" t="s">
        <v>1030</v>
      </c>
      <c r="BH512" s="18" t="s">
        <v>1031</v>
      </c>
    </row>
    <row r="513" spans="1:60" ht="15.75" customHeight="1" x14ac:dyDescent="0.2">
      <c r="A513" s="11">
        <v>516</v>
      </c>
      <c r="B513" s="22">
        <v>4202</v>
      </c>
      <c r="C513" s="13" t="s">
        <v>681</v>
      </c>
      <c r="D513" s="13" t="s">
        <v>635</v>
      </c>
      <c r="E513" s="23">
        <v>2005</v>
      </c>
      <c r="F513" s="23">
        <v>2013</v>
      </c>
      <c r="G513" s="13" t="s">
        <v>49</v>
      </c>
      <c r="H513" s="13"/>
      <c r="I513" s="13" t="s">
        <v>79</v>
      </c>
      <c r="J513" s="13" t="s">
        <v>234</v>
      </c>
      <c r="K513" s="13"/>
      <c r="L513" s="19">
        <v>27</v>
      </c>
      <c r="M513" s="16">
        <v>67.2</v>
      </c>
      <c r="N513" s="13" t="s">
        <v>99</v>
      </c>
      <c r="O513" s="14" t="s">
        <v>41</v>
      </c>
      <c r="P513" s="12">
        <f>IF(Q513="", 0, 1)</f>
        <v>1</v>
      </c>
      <c r="Q513" s="12">
        <v>121</v>
      </c>
      <c r="R513" s="17">
        <v>23.2</v>
      </c>
      <c r="S513" s="17"/>
      <c r="T513" s="17"/>
      <c r="U513" s="17"/>
      <c r="V513" s="17"/>
      <c r="W513" s="17"/>
      <c r="X513" s="17"/>
      <c r="Y513" s="17"/>
      <c r="Z513" s="17" t="str">
        <f>IF(T513="", "mean", "med")</f>
        <v>mean</v>
      </c>
      <c r="AA513" s="17">
        <f>IF(T513="", R513, T513)</f>
        <v>23.2</v>
      </c>
      <c r="AB513" s="12">
        <f>IF(AC513="", 0, 1)</f>
        <v>0</v>
      </c>
      <c r="AC513" s="13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>
        <f>IF(AO513="", 0, 1)</f>
        <v>1</v>
      </c>
      <c r="AO513" s="12">
        <v>121</v>
      </c>
      <c r="AP513" s="12">
        <v>119.2</v>
      </c>
      <c r="AQ513" s="12"/>
      <c r="AR513" s="12"/>
      <c r="AS513" s="12"/>
      <c r="AT513" s="12"/>
      <c r="AU513" s="12"/>
      <c r="AV513" s="12"/>
      <c r="AW513" s="12"/>
      <c r="AX513" s="12" t="str">
        <f>IF(AR513="", "mean", "med")</f>
        <v>mean</v>
      </c>
      <c r="AY513" s="12">
        <f>IF(AR513="", AP513, AR513)</f>
        <v>119.2</v>
      </c>
      <c r="AZ513" s="12" t="s">
        <v>52</v>
      </c>
      <c r="BA513" s="12" t="str">
        <f>IF(AZ513="high","high","lower")</f>
        <v>high</v>
      </c>
      <c r="BB513" s="49">
        <v>0.91200000000000003</v>
      </c>
      <c r="BC513" s="12">
        <v>84</v>
      </c>
      <c r="BD513" s="12">
        <v>88</v>
      </c>
      <c r="BE513" s="12">
        <v>100</v>
      </c>
      <c r="BF513" s="12">
        <v>84.2</v>
      </c>
      <c r="BG513" s="18" t="s">
        <v>1030</v>
      </c>
      <c r="BH513" s="18" t="s">
        <v>1031</v>
      </c>
    </row>
    <row r="514" spans="1:60" ht="15.75" customHeight="1" x14ac:dyDescent="0.2">
      <c r="A514" s="11">
        <v>517</v>
      </c>
      <c r="B514" s="12">
        <v>4207</v>
      </c>
      <c r="C514" s="13" t="s">
        <v>683</v>
      </c>
      <c r="D514" s="13" t="s">
        <v>38</v>
      </c>
      <c r="E514" s="23">
        <v>2009</v>
      </c>
      <c r="F514" s="23">
        <v>2011</v>
      </c>
      <c r="G514" s="13" t="s">
        <v>158</v>
      </c>
      <c r="H514" s="13"/>
      <c r="I514" s="13" t="s">
        <v>40</v>
      </c>
      <c r="J514" s="13" t="s">
        <v>40</v>
      </c>
      <c r="K514" s="13"/>
      <c r="L514" s="15">
        <v>100</v>
      </c>
      <c r="M514" s="16">
        <v>57.9</v>
      </c>
      <c r="N514" s="13" t="s">
        <v>50</v>
      </c>
      <c r="O514" s="44" t="s">
        <v>684</v>
      </c>
      <c r="P514" s="12">
        <f>IF(Q514="", 0, 1)</f>
        <v>1</v>
      </c>
      <c r="Q514" s="12">
        <f>368+82</f>
        <v>450</v>
      </c>
      <c r="R514" s="17"/>
      <c r="S514" s="17"/>
      <c r="T514" s="17">
        <v>69</v>
      </c>
      <c r="U514" s="17">
        <v>36.799999999999997</v>
      </c>
      <c r="V514" s="17">
        <v>119.8</v>
      </c>
      <c r="W514" s="17"/>
      <c r="X514" s="17"/>
      <c r="Y514" s="17"/>
      <c r="Z514" s="17" t="str">
        <f>IF(T514="", "mean", "med")</f>
        <v>med</v>
      </c>
      <c r="AA514" s="17">
        <f>IF(T514="", R514, T514)</f>
        <v>69</v>
      </c>
      <c r="AB514" s="12">
        <f>IF(AC514="", 0, 1)</f>
        <v>0</v>
      </c>
      <c r="AC514" s="13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>
        <f>IF(AO514="", 0, 1)</f>
        <v>0</v>
      </c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 t="s">
        <v>43</v>
      </c>
      <c r="BA514" s="12" t="str">
        <f>IF(AZ514="high","high","lower")</f>
        <v>lower</v>
      </c>
      <c r="BB514" s="49">
        <v>0.72599999999999998</v>
      </c>
      <c r="BC514" s="12">
        <v>82.2</v>
      </c>
      <c r="BD514" s="12">
        <v>94.4</v>
      </c>
      <c r="BE514" s="12">
        <v>83.3</v>
      </c>
      <c r="BF514" s="12">
        <v>84.1</v>
      </c>
      <c r="BG514" s="18" t="s">
        <v>1030</v>
      </c>
      <c r="BH514" s="18" t="s">
        <v>1031</v>
      </c>
    </row>
    <row r="515" spans="1:60" ht="15.75" customHeight="1" x14ac:dyDescent="0.2">
      <c r="A515" s="11">
        <v>518</v>
      </c>
      <c r="B515" s="12">
        <v>4234</v>
      </c>
      <c r="C515" s="13" t="s">
        <v>685</v>
      </c>
      <c r="D515" s="13" t="s">
        <v>38</v>
      </c>
      <c r="E515" s="23">
        <v>2003</v>
      </c>
      <c r="F515" s="23">
        <v>2003</v>
      </c>
      <c r="G515" s="13" t="s">
        <v>134</v>
      </c>
      <c r="H515" s="13"/>
      <c r="I515" s="13" t="s">
        <v>59</v>
      </c>
      <c r="J515" s="13" t="s">
        <v>60</v>
      </c>
      <c r="K515" s="13"/>
      <c r="L515" s="15">
        <v>0</v>
      </c>
      <c r="M515" s="16">
        <v>70</v>
      </c>
      <c r="N515" s="13" t="s">
        <v>42</v>
      </c>
      <c r="O515" s="13" t="s">
        <v>686</v>
      </c>
      <c r="P515" s="12">
        <f>IF(Q515="", 0, 1)</f>
        <v>1</v>
      </c>
      <c r="Q515" s="12">
        <v>41</v>
      </c>
      <c r="R515" s="17"/>
      <c r="S515" s="17"/>
      <c r="T515" s="17">
        <v>127</v>
      </c>
      <c r="U515" s="17">
        <v>100</v>
      </c>
      <c r="V515" s="17">
        <v>180</v>
      </c>
      <c r="W515" s="17"/>
      <c r="X515" s="17"/>
      <c r="Y515" s="17"/>
      <c r="Z515" s="17" t="str">
        <f>IF(T515="", "mean", "med")</f>
        <v>med</v>
      </c>
      <c r="AA515" s="17">
        <f>IF(T515="", R515, T515)</f>
        <v>127</v>
      </c>
      <c r="AB515" s="12">
        <f>IF(AC515="", 0, 1)</f>
        <v>0</v>
      </c>
      <c r="AC515" s="13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>
        <f>IF(AO515="", 0, 1)</f>
        <v>0</v>
      </c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 t="s">
        <v>52</v>
      </c>
      <c r="BA515" s="12" t="str">
        <f>IF(AZ515="high","high","lower")</f>
        <v>high</v>
      </c>
      <c r="BB515" s="49">
        <v>0.88200000000000001</v>
      </c>
      <c r="BC515" s="12">
        <v>84.8</v>
      </c>
      <c r="BD515" s="12">
        <v>94</v>
      </c>
      <c r="BE515" s="12">
        <v>100</v>
      </c>
      <c r="BF515" s="12">
        <v>82.2</v>
      </c>
      <c r="BG515" s="18" t="s">
        <v>1030</v>
      </c>
      <c r="BH515" s="18" t="s">
        <v>1031</v>
      </c>
    </row>
    <row r="516" spans="1:60" ht="15.75" customHeight="1" x14ac:dyDescent="0.2">
      <c r="A516" s="11">
        <v>519</v>
      </c>
      <c r="B516" s="22">
        <v>4244</v>
      </c>
      <c r="C516" s="13" t="s">
        <v>687</v>
      </c>
      <c r="D516" s="13" t="s">
        <v>38</v>
      </c>
      <c r="E516" s="23">
        <v>2005</v>
      </c>
      <c r="F516" s="23">
        <v>2018</v>
      </c>
      <c r="G516" s="13" t="s">
        <v>249</v>
      </c>
      <c r="H516" s="13"/>
      <c r="I516" s="13" t="s">
        <v>54</v>
      </c>
      <c r="J516" s="13" t="s">
        <v>229</v>
      </c>
      <c r="K516" s="14" t="s">
        <v>288</v>
      </c>
      <c r="L516" s="15">
        <f>232/477*100</f>
        <v>48.637316561844862</v>
      </c>
      <c r="M516" s="16">
        <v>68</v>
      </c>
      <c r="N516" s="13" t="s">
        <v>42</v>
      </c>
      <c r="O516" s="13"/>
      <c r="P516" s="12">
        <f>IF(Q516="", 0, 1)</f>
        <v>0</v>
      </c>
      <c r="Q516" s="12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2">
        <f>IF(AC516="", 0, 1)</f>
        <v>1</v>
      </c>
      <c r="AC516" s="13">
        <v>477</v>
      </c>
      <c r="AD516" s="12"/>
      <c r="AE516" s="12"/>
      <c r="AF516" s="12">
        <v>60</v>
      </c>
      <c r="AG516" s="12">
        <v>30</v>
      </c>
      <c r="AH516" s="12">
        <v>150</v>
      </c>
      <c r="AI516" s="12"/>
      <c r="AJ516" s="12"/>
      <c r="AK516" s="12"/>
      <c r="AL516" s="12" t="str">
        <f>IF(AF516="", "mean", "med")</f>
        <v>med</v>
      </c>
      <c r="AM516" s="12">
        <f>IF(AF516="", AD516, AF516)</f>
        <v>60</v>
      </c>
      <c r="AN516" s="12">
        <f>IF(AO516="", 0, 1)</f>
        <v>0</v>
      </c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 t="s">
        <v>52</v>
      </c>
      <c r="BA516" s="12" t="str">
        <f>IF(AZ516="high","high","lower")</f>
        <v>high</v>
      </c>
      <c r="BB516" s="49">
        <v>0.879</v>
      </c>
      <c r="BC516" s="12">
        <v>79.900000000000006</v>
      </c>
      <c r="BD516" s="12">
        <v>85.9</v>
      </c>
      <c r="BE516" s="12">
        <v>70.8</v>
      </c>
      <c r="BF516" s="12">
        <v>84.7</v>
      </c>
      <c r="BG516" s="18" t="s">
        <v>1030</v>
      </c>
      <c r="BH516" s="18" t="s">
        <v>1031</v>
      </c>
    </row>
    <row r="517" spans="1:60" ht="15.75" customHeight="1" x14ac:dyDescent="0.2">
      <c r="A517" s="11">
        <v>520</v>
      </c>
      <c r="B517" s="12">
        <v>4246</v>
      </c>
      <c r="C517" s="13" t="s">
        <v>688</v>
      </c>
      <c r="D517" s="14" t="s">
        <v>38</v>
      </c>
      <c r="E517" s="23">
        <v>2003</v>
      </c>
      <c r="F517" s="23">
        <v>2011</v>
      </c>
      <c r="G517" s="13" t="s">
        <v>49</v>
      </c>
      <c r="H517" s="13"/>
      <c r="I517" s="31" t="s">
        <v>104</v>
      </c>
      <c r="J517" s="13" t="s">
        <v>298</v>
      </c>
      <c r="K517" s="14"/>
      <c r="L517" s="15">
        <v>100</v>
      </c>
      <c r="M517" s="16">
        <v>61.8</v>
      </c>
      <c r="N517" s="13" t="s">
        <v>42</v>
      </c>
      <c r="O517" s="13" t="s">
        <v>90</v>
      </c>
      <c r="P517" s="12">
        <f>IF(Q517="", 0, 1)</f>
        <v>1</v>
      </c>
      <c r="Q517" s="12">
        <v>112041</v>
      </c>
      <c r="R517" s="17">
        <v>38</v>
      </c>
      <c r="S517" s="17">
        <v>30</v>
      </c>
      <c r="T517" s="17"/>
      <c r="U517" s="21"/>
      <c r="V517" s="17"/>
      <c r="W517" s="17"/>
      <c r="X517" s="17"/>
      <c r="Y517" s="17"/>
      <c r="Z517" s="17" t="str">
        <f>IF(T517="", "mean", "med")</f>
        <v>mean</v>
      </c>
      <c r="AA517" s="17">
        <f>IF(T517="", R517, T517)</f>
        <v>38</v>
      </c>
      <c r="AB517" s="12">
        <f>IF(AC517="", 0, 1)</f>
        <v>0</v>
      </c>
      <c r="AC517" s="13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>
        <f>IF(AO517="", 0, 1)</f>
        <v>0</v>
      </c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 t="s">
        <v>52</v>
      </c>
      <c r="BA517" s="12" t="str">
        <f>IF(AZ517="high","high","lower")</f>
        <v>high</v>
      </c>
      <c r="BB517" s="49">
        <v>0.90600000000000003</v>
      </c>
      <c r="BC517" s="12">
        <v>84</v>
      </c>
      <c r="BD517" s="12">
        <v>88</v>
      </c>
      <c r="BE517" s="12">
        <v>100</v>
      </c>
      <c r="BF517" s="12">
        <v>84.2</v>
      </c>
      <c r="BG517" s="18" t="s">
        <v>1030</v>
      </c>
      <c r="BH517" s="18" t="s">
        <v>1031</v>
      </c>
    </row>
    <row r="518" spans="1:60" ht="15.75" customHeight="1" x14ac:dyDescent="0.2">
      <c r="A518" s="11">
        <v>521</v>
      </c>
      <c r="B518" s="12">
        <v>4257</v>
      </c>
      <c r="C518" s="13" t="s">
        <v>689</v>
      </c>
      <c r="D518" s="13" t="s">
        <v>38</v>
      </c>
      <c r="E518" s="23">
        <v>2000</v>
      </c>
      <c r="F518" s="23">
        <v>2003</v>
      </c>
      <c r="G518" s="13" t="s">
        <v>49</v>
      </c>
      <c r="H518" s="13"/>
      <c r="I518" s="13" t="s">
        <v>40</v>
      </c>
      <c r="J518" s="13" t="s">
        <v>40</v>
      </c>
      <c r="K518" s="44"/>
      <c r="L518" s="15">
        <v>100</v>
      </c>
      <c r="M518" s="16">
        <v>56.4</v>
      </c>
      <c r="N518" s="13" t="s">
        <v>42</v>
      </c>
      <c r="O518" s="13" t="s">
        <v>90</v>
      </c>
      <c r="P518" s="12">
        <f>IF(Q518="", 0, 1)</f>
        <v>1</v>
      </c>
      <c r="Q518" s="12">
        <v>127</v>
      </c>
      <c r="R518" s="17">
        <v>39.5</v>
      </c>
      <c r="S518" s="17"/>
      <c r="T518" s="17"/>
      <c r="U518" s="17"/>
      <c r="V518" s="17"/>
      <c r="W518" s="17"/>
      <c r="X518" s="17">
        <v>3</v>
      </c>
      <c r="Y518" s="17">
        <v>130</v>
      </c>
      <c r="Z518" s="17" t="str">
        <f>IF(T518="", "mean", "med")</f>
        <v>mean</v>
      </c>
      <c r="AA518" s="17">
        <f>IF(T518="", R518, T518)</f>
        <v>39.5</v>
      </c>
      <c r="AB518" s="12">
        <f>IF(AC518="", 0, 1)</f>
        <v>0</v>
      </c>
      <c r="AC518" s="13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>
        <f>IF(AO518="", 0, 1)</f>
        <v>0</v>
      </c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 t="s">
        <v>52</v>
      </c>
      <c r="BA518" s="12" t="str">
        <f>IF(AZ518="high","high","lower")</f>
        <v>high</v>
      </c>
      <c r="BB518" s="49">
        <v>0.89</v>
      </c>
      <c r="BC518" s="12">
        <v>84</v>
      </c>
      <c r="BD518" s="12">
        <v>88</v>
      </c>
      <c r="BE518" s="12">
        <v>100</v>
      </c>
      <c r="BF518" s="12">
        <v>84.2</v>
      </c>
      <c r="BG518" s="18" t="s">
        <v>1030</v>
      </c>
      <c r="BH518" s="18" t="s">
        <v>1031</v>
      </c>
    </row>
    <row r="519" spans="1:60" ht="15.75" customHeight="1" x14ac:dyDescent="0.2">
      <c r="A519" s="11">
        <v>522</v>
      </c>
      <c r="B519" s="12">
        <v>4263</v>
      </c>
      <c r="C519" s="13" t="s">
        <v>690</v>
      </c>
      <c r="D519" s="13" t="s">
        <v>38</v>
      </c>
      <c r="E519" s="23">
        <v>2009</v>
      </c>
      <c r="F519" s="23">
        <v>2009</v>
      </c>
      <c r="G519" s="13" t="s">
        <v>201</v>
      </c>
      <c r="H519" s="13"/>
      <c r="I519" s="13" t="s">
        <v>57</v>
      </c>
      <c r="J519" s="13" t="s">
        <v>58</v>
      </c>
      <c r="K519" s="13"/>
      <c r="L519" s="15">
        <f>10/101*100</f>
        <v>9.9009900990099009</v>
      </c>
      <c r="M519" s="16">
        <v>60.6</v>
      </c>
      <c r="N519" s="13" t="s">
        <v>42</v>
      </c>
      <c r="O519" s="14" t="s">
        <v>41</v>
      </c>
      <c r="P519" s="12">
        <f>IF(Q519="", 0, 1)</f>
        <v>1</v>
      </c>
      <c r="Q519" s="12">
        <v>101</v>
      </c>
      <c r="R519" s="17">
        <v>24.7</v>
      </c>
      <c r="S519" s="17">
        <v>18.3</v>
      </c>
      <c r="T519" s="17">
        <v>21</v>
      </c>
      <c r="U519" s="17"/>
      <c r="V519" s="17"/>
      <c r="W519" s="17"/>
      <c r="X519" s="17"/>
      <c r="Y519" s="17"/>
      <c r="Z519" s="17" t="str">
        <f>IF(T519="", "mean", "med")</f>
        <v>med</v>
      </c>
      <c r="AA519" s="17">
        <f>IF(T519="", R519, T519)</f>
        <v>21</v>
      </c>
      <c r="AB519" s="12">
        <f>IF(AC519="", 0, 1)</f>
        <v>0</v>
      </c>
      <c r="AC519" s="13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>
        <f>IF(AO519="", 0, 1)</f>
        <v>1</v>
      </c>
      <c r="AO519" s="12">
        <v>99</v>
      </c>
      <c r="AP519" s="12">
        <v>59.9</v>
      </c>
      <c r="AQ519" s="12">
        <v>103</v>
      </c>
      <c r="AR519" s="12">
        <v>25</v>
      </c>
      <c r="AS519" s="12"/>
      <c r="AT519" s="12"/>
      <c r="AU519" s="12"/>
      <c r="AV519" s="12"/>
      <c r="AW519" s="12"/>
      <c r="AX519" s="12" t="str">
        <f>IF(AR519="", "mean", "med")</f>
        <v>med</v>
      </c>
      <c r="AY519" s="12">
        <f>IF(AR519="", AP519, AR519)</f>
        <v>25</v>
      </c>
      <c r="AZ519" s="12" t="s">
        <v>43</v>
      </c>
      <c r="BA519" s="12" t="str">
        <f>IF(AZ519="high","high","lower")</f>
        <v>lower</v>
      </c>
      <c r="BB519" s="49">
        <v>0.72</v>
      </c>
      <c r="BC519" s="12">
        <v>65.5</v>
      </c>
      <c r="BD519" s="12">
        <v>87.4</v>
      </c>
      <c r="BE519" s="12">
        <v>91.7</v>
      </c>
      <c r="BF519" s="12">
        <v>52.6</v>
      </c>
      <c r="BG519" s="18" t="s">
        <v>1032</v>
      </c>
      <c r="BH519" s="18" t="s">
        <v>1033</v>
      </c>
    </row>
    <row r="520" spans="1:60" ht="15.75" customHeight="1" x14ac:dyDescent="0.2">
      <c r="A520" s="11">
        <v>523</v>
      </c>
      <c r="B520" s="12">
        <v>4314</v>
      </c>
      <c r="C520" s="13" t="s">
        <v>691</v>
      </c>
      <c r="D520" s="14" t="s">
        <v>692</v>
      </c>
      <c r="E520" s="23">
        <v>2000</v>
      </c>
      <c r="F520" s="23">
        <v>2002</v>
      </c>
      <c r="G520" s="13" t="s">
        <v>343</v>
      </c>
      <c r="H520" s="13"/>
      <c r="I520" s="13" t="s">
        <v>54</v>
      </c>
      <c r="J520" s="13" t="s">
        <v>55</v>
      </c>
      <c r="K520" s="14"/>
      <c r="L520" s="19" t="s">
        <v>41</v>
      </c>
      <c r="M520" s="20" t="s">
        <v>41</v>
      </c>
      <c r="N520" s="13" t="s">
        <v>42</v>
      </c>
      <c r="O520" s="13" t="s">
        <v>90</v>
      </c>
      <c r="P520" s="12">
        <f>IF(Q520="", 0, 1)</f>
        <v>1</v>
      </c>
      <c r="Q520" s="12">
        <v>51</v>
      </c>
      <c r="R520" s="17">
        <v>18.8</v>
      </c>
      <c r="S520" s="17">
        <v>6.3</v>
      </c>
      <c r="T520" s="17"/>
      <c r="U520" s="17"/>
      <c r="V520" s="17"/>
      <c r="W520" s="17"/>
      <c r="X520" s="17"/>
      <c r="Y520" s="17"/>
      <c r="Z520" s="17" t="str">
        <f>IF(T520="", "mean", "med")</f>
        <v>mean</v>
      </c>
      <c r="AA520" s="17">
        <f>IF(T520="", R520, T520)</f>
        <v>18.8</v>
      </c>
      <c r="AB520" s="12">
        <f>IF(AC520="", 0, 1)</f>
        <v>0</v>
      </c>
      <c r="AC520" s="13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>
        <f>IF(AO520="", 0, 1)</f>
        <v>1</v>
      </c>
      <c r="AO520" s="22">
        <v>51</v>
      </c>
      <c r="AP520" s="12">
        <f>1.23*30</f>
        <v>36.9</v>
      </c>
      <c r="AQ520" s="12">
        <f>0.45*30</f>
        <v>13.5</v>
      </c>
      <c r="AR520" s="22"/>
      <c r="AS520" s="12"/>
      <c r="AT520" s="12"/>
      <c r="AU520" s="12"/>
      <c r="AV520" s="12"/>
      <c r="AW520" s="12"/>
      <c r="AX520" s="12" t="str">
        <f>IF(AR520="", "mean", "med")</f>
        <v>mean</v>
      </c>
      <c r="AY520" s="12">
        <f>IF(AR520="", AP520, AR520)</f>
        <v>36.9</v>
      </c>
      <c r="AZ520" s="49" t="s">
        <v>46</v>
      </c>
      <c r="BA520" s="49" t="str">
        <f>IF(AZ520="high","high","lower")</f>
        <v>lower</v>
      </c>
      <c r="BB520" s="49">
        <v>0.72199999999999998</v>
      </c>
      <c r="BC520" s="49"/>
      <c r="BD520" s="49"/>
      <c r="BE520" s="49"/>
      <c r="BF520" s="49"/>
      <c r="BG520" s="18" t="s">
        <v>1032</v>
      </c>
      <c r="BH520" s="18" t="s">
        <v>1033</v>
      </c>
    </row>
    <row r="521" spans="1:60" ht="15.75" customHeight="1" x14ac:dyDescent="0.2">
      <c r="A521" s="11">
        <v>524</v>
      </c>
      <c r="B521" s="12">
        <v>4314</v>
      </c>
      <c r="C521" s="13" t="s">
        <v>691</v>
      </c>
      <c r="D521" s="14" t="s">
        <v>693</v>
      </c>
      <c r="E521" s="23">
        <v>2000</v>
      </c>
      <c r="F521" s="23">
        <v>2002</v>
      </c>
      <c r="G521" s="13" t="s">
        <v>343</v>
      </c>
      <c r="H521" s="13"/>
      <c r="I521" s="13" t="s">
        <v>54</v>
      </c>
      <c r="J521" s="13" t="s">
        <v>55</v>
      </c>
      <c r="K521" s="14"/>
      <c r="L521" s="19" t="s">
        <v>41</v>
      </c>
      <c r="M521" s="20" t="s">
        <v>41</v>
      </c>
      <c r="N521" s="13" t="s">
        <v>42</v>
      </c>
      <c r="O521" s="13" t="s">
        <v>90</v>
      </c>
      <c r="P521" s="12">
        <f>IF(Q521="", 0, 1)</f>
        <v>1</v>
      </c>
      <c r="Q521" s="12">
        <v>68</v>
      </c>
      <c r="R521" s="17">
        <v>4.42</v>
      </c>
      <c r="S521" s="17">
        <v>3.64</v>
      </c>
      <c r="T521" s="17"/>
      <c r="U521" s="17"/>
      <c r="V521" s="17"/>
      <c r="W521" s="17"/>
      <c r="X521" s="17"/>
      <c r="Y521" s="17"/>
      <c r="Z521" s="17" t="str">
        <f>IF(T521="", "mean", "med")</f>
        <v>mean</v>
      </c>
      <c r="AA521" s="17">
        <f>IF(T521="", R521, T521)</f>
        <v>4.42</v>
      </c>
      <c r="AB521" s="12">
        <f>IF(AC521="", 0, 1)</f>
        <v>0</v>
      </c>
      <c r="AC521" s="13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>
        <f>IF(AO521="", 0, 1)</f>
        <v>1</v>
      </c>
      <c r="AO521" s="22">
        <v>68</v>
      </c>
      <c r="AP521" s="12">
        <f>10.97*30</f>
        <v>329.1</v>
      </c>
      <c r="AQ521" s="12">
        <f>5.76*30</f>
        <v>172.79999999999998</v>
      </c>
      <c r="AR521" s="22"/>
      <c r="AS521" s="12"/>
      <c r="AT521" s="12"/>
      <c r="AU521" s="12"/>
      <c r="AV521" s="12"/>
      <c r="AW521" s="12"/>
      <c r="AX521" s="12" t="str">
        <f>IF(AR521="", "mean", "med")</f>
        <v>mean</v>
      </c>
      <c r="AY521" s="12">
        <f>IF(AR521="", AP521, AR521)</f>
        <v>329.1</v>
      </c>
      <c r="AZ521" s="49" t="s">
        <v>46</v>
      </c>
      <c r="BA521" s="49" t="str">
        <f>IF(AZ521="high","high","lower")</f>
        <v>lower</v>
      </c>
      <c r="BB521" s="49">
        <v>0.72199999999999998</v>
      </c>
      <c r="BC521" s="49"/>
      <c r="BD521" s="49"/>
      <c r="BE521" s="49"/>
      <c r="BF521" s="49"/>
      <c r="BG521" s="18" t="s">
        <v>1032</v>
      </c>
      <c r="BH521" s="18" t="s">
        <v>1033</v>
      </c>
    </row>
    <row r="522" spans="1:60" ht="15.75" customHeight="1" x14ac:dyDescent="0.2">
      <c r="A522" s="11">
        <v>525</v>
      </c>
      <c r="B522" s="22">
        <v>4319</v>
      </c>
      <c r="C522" s="13" t="s">
        <v>694</v>
      </c>
      <c r="D522" s="13" t="s">
        <v>571</v>
      </c>
      <c r="E522" s="23">
        <v>1998</v>
      </c>
      <c r="F522" s="23">
        <v>2010</v>
      </c>
      <c r="G522" s="13" t="s">
        <v>134</v>
      </c>
      <c r="H522" s="13"/>
      <c r="I522" s="13" t="s">
        <v>79</v>
      </c>
      <c r="J522" s="31" t="s">
        <v>236</v>
      </c>
      <c r="K522" s="14"/>
      <c r="L522" s="15">
        <v>42.16</v>
      </c>
      <c r="M522" s="16">
        <v>61.1</v>
      </c>
      <c r="N522" s="13" t="s">
        <v>42</v>
      </c>
      <c r="O522" s="44" t="s">
        <v>695</v>
      </c>
      <c r="P522" s="12">
        <f>IF(Q522="", 0, 1)</f>
        <v>1</v>
      </c>
      <c r="Q522" s="12">
        <v>287</v>
      </c>
      <c r="R522" s="21">
        <v>49.3</v>
      </c>
      <c r="S522" s="17"/>
      <c r="T522" s="17"/>
      <c r="U522" s="17"/>
      <c r="V522" s="17"/>
      <c r="W522" s="17"/>
      <c r="X522" s="17">
        <v>4</v>
      </c>
      <c r="Y522" s="17">
        <v>155</v>
      </c>
      <c r="Z522" s="17" t="str">
        <f>IF(T522="", "mean", "med")</f>
        <v>mean</v>
      </c>
      <c r="AA522" s="17">
        <f>IF(T522="", R522, T522)</f>
        <v>49.3</v>
      </c>
      <c r="AB522" s="12">
        <f>IF(AC522="", 0, 1)</f>
        <v>0</v>
      </c>
      <c r="AC522" s="13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>
        <f>IF(AO522="", 0, 1)</f>
        <v>0</v>
      </c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 t="s">
        <v>52</v>
      </c>
      <c r="BA522" s="12" t="str">
        <f>IF(AZ522="high","high","lower")</f>
        <v>high</v>
      </c>
      <c r="BB522" s="49">
        <v>0.88400000000000001</v>
      </c>
      <c r="BC522" s="12">
        <v>84.8</v>
      </c>
      <c r="BD522" s="12">
        <v>94</v>
      </c>
      <c r="BE522" s="12">
        <v>100</v>
      </c>
      <c r="BF522" s="12">
        <v>82.2</v>
      </c>
      <c r="BG522" s="18" t="s">
        <v>1030</v>
      </c>
      <c r="BH522" s="18" t="s">
        <v>1031</v>
      </c>
    </row>
    <row r="523" spans="1:60" ht="15.75" customHeight="1" x14ac:dyDescent="0.2">
      <c r="A523" s="11">
        <v>526</v>
      </c>
      <c r="B523" s="12">
        <v>4319</v>
      </c>
      <c r="C523" s="13" t="s">
        <v>694</v>
      </c>
      <c r="D523" s="13" t="s">
        <v>572</v>
      </c>
      <c r="E523" s="23">
        <v>1998</v>
      </c>
      <c r="F523" s="23">
        <v>2010</v>
      </c>
      <c r="G523" s="13" t="s">
        <v>134</v>
      </c>
      <c r="H523" s="13"/>
      <c r="I523" s="14" t="s">
        <v>79</v>
      </c>
      <c r="J523" s="31" t="s">
        <v>236</v>
      </c>
      <c r="K523" s="14"/>
      <c r="L523" s="15">
        <v>41.73</v>
      </c>
      <c r="M523" s="16">
        <v>62.1</v>
      </c>
      <c r="N523" s="13" t="s">
        <v>42</v>
      </c>
      <c r="O523" s="44" t="s">
        <v>695</v>
      </c>
      <c r="P523" s="12">
        <f>IF(Q523="", 0, 1)</f>
        <v>1</v>
      </c>
      <c r="Q523" s="12">
        <v>127</v>
      </c>
      <c r="R523" s="17">
        <v>53.4</v>
      </c>
      <c r="S523" s="17"/>
      <c r="T523" s="17"/>
      <c r="U523" s="17"/>
      <c r="V523" s="17"/>
      <c r="W523" s="17"/>
      <c r="X523" s="17">
        <v>4</v>
      </c>
      <c r="Y523" s="17">
        <v>159</v>
      </c>
      <c r="Z523" s="17" t="str">
        <f>IF(T523="", "mean", "med")</f>
        <v>mean</v>
      </c>
      <c r="AA523" s="17">
        <f>IF(T523="", R523, T523)</f>
        <v>53.4</v>
      </c>
      <c r="AB523" s="12">
        <f>IF(AC523="", 0, 1)</f>
        <v>0</v>
      </c>
      <c r="AC523" s="13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>
        <f>IF(AO523="", 0, 1)</f>
        <v>0</v>
      </c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 t="s">
        <v>52</v>
      </c>
      <c r="BA523" s="12" t="str">
        <f>IF(AZ523="high","high","lower")</f>
        <v>high</v>
      </c>
      <c r="BB523" s="49">
        <v>0.88400000000000001</v>
      </c>
      <c r="BC523" s="12">
        <v>84.8</v>
      </c>
      <c r="BD523" s="12">
        <v>94</v>
      </c>
      <c r="BE523" s="12">
        <v>100</v>
      </c>
      <c r="BF523" s="12">
        <v>82.2</v>
      </c>
      <c r="BG523" s="18" t="s">
        <v>1030</v>
      </c>
      <c r="BH523" s="18" t="s">
        <v>1031</v>
      </c>
    </row>
    <row r="524" spans="1:60" ht="15.75" customHeight="1" x14ac:dyDescent="0.2">
      <c r="A524" s="11">
        <v>527</v>
      </c>
      <c r="B524" s="12">
        <v>4319</v>
      </c>
      <c r="C524" s="13" t="s">
        <v>694</v>
      </c>
      <c r="D524" s="13" t="s">
        <v>696</v>
      </c>
      <c r="E524" s="23">
        <v>1998</v>
      </c>
      <c r="F524" s="23">
        <v>2010</v>
      </c>
      <c r="G524" s="13" t="s">
        <v>134</v>
      </c>
      <c r="H524" s="13"/>
      <c r="I524" s="13" t="s">
        <v>79</v>
      </c>
      <c r="J524" s="31" t="s">
        <v>236</v>
      </c>
      <c r="K524" s="14"/>
      <c r="L524" s="15">
        <v>49.29</v>
      </c>
      <c r="M524" s="16">
        <v>62.3</v>
      </c>
      <c r="N524" s="13" t="s">
        <v>42</v>
      </c>
      <c r="O524" s="44" t="s">
        <v>695</v>
      </c>
      <c r="P524" s="12">
        <f>IF(Q524="", 0, 1)</f>
        <v>1</v>
      </c>
      <c r="Q524" s="22">
        <v>140</v>
      </c>
      <c r="R524" s="21">
        <v>53.3</v>
      </c>
      <c r="S524" s="21"/>
      <c r="T524" s="17"/>
      <c r="U524" s="17"/>
      <c r="V524" s="17"/>
      <c r="W524" s="17"/>
      <c r="X524" s="17">
        <v>4</v>
      </c>
      <c r="Y524" s="17">
        <v>152</v>
      </c>
      <c r="Z524" s="17" t="str">
        <f>IF(T524="", "mean", "med")</f>
        <v>mean</v>
      </c>
      <c r="AA524" s="17">
        <f>IF(T524="", R524, T524)</f>
        <v>53.3</v>
      </c>
      <c r="AB524" s="12">
        <f>IF(AC524="", 0, 1)</f>
        <v>0</v>
      </c>
      <c r="AC524" s="13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>
        <f>IF(AO524="", 0, 1)</f>
        <v>0</v>
      </c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 t="s">
        <v>52</v>
      </c>
      <c r="BA524" s="12" t="str">
        <f>IF(AZ524="high","high","lower")</f>
        <v>high</v>
      </c>
      <c r="BB524" s="49">
        <v>0.88400000000000001</v>
      </c>
      <c r="BC524" s="12">
        <v>84.8</v>
      </c>
      <c r="BD524" s="12">
        <v>94</v>
      </c>
      <c r="BE524" s="12">
        <v>100</v>
      </c>
      <c r="BF524" s="12">
        <v>82.2</v>
      </c>
      <c r="BG524" s="18" t="s">
        <v>1030</v>
      </c>
      <c r="BH524" s="18" t="s">
        <v>1031</v>
      </c>
    </row>
    <row r="525" spans="1:60" ht="15.75" customHeight="1" x14ac:dyDescent="0.2">
      <c r="A525" s="11">
        <v>528</v>
      </c>
      <c r="B525" s="12">
        <v>4329</v>
      </c>
      <c r="C525" s="13" t="s">
        <v>694</v>
      </c>
      <c r="D525" s="14" t="s">
        <v>38</v>
      </c>
      <c r="E525" s="23">
        <v>2018</v>
      </c>
      <c r="F525" s="23">
        <v>2019</v>
      </c>
      <c r="G525" s="13" t="s">
        <v>264</v>
      </c>
      <c r="H525" s="13"/>
      <c r="I525" s="13" t="s">
        <v>79</v>
      </c>
      <c r="J525" s="31" t="s">
        <v>236</v>
      </c>
      <c r="K525" s="14"/>
      <c r="L525" s="19">
        <f>40/128*100</f>
        <v>31.25</v>
      </c>
      <c r="M525" s="20" t="s">
        <v>41</v>
      </c>
      <c r="N525" s="13" t="s">
        <v>42</v>
      </c>
      <c r="O525" s="42"/>
      <c r="P525" s="12">
        <f>IF(Q525="", 0, 1)</f>
        <v>0</v>
      </c>
      <c r="Q525" s="12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2">
        <f>IF(AC525="", 0, 1)</f>
        <v>0</v>
      </c>
      <c r="AC525" s="13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>
        <f>IF(AO525="", 0, 1)</f>
        <v>1</v>
      </c>
      <c r="AO525" s="22">
        <v>128</v>
      </c>
      <c r="AP525" s="12"/>
      <c r="AQ525" s="12"/>
      <c r="AR525" s="22">
        <v>30</v>
      </c>
      <c r="AS525" s="12"/>
      <c r="AT525" s="12"/>
      <c r="AU525" s="12"/>
      <c r="AV525" s="12">
        <v>0</v>
      </c>
      <c r="AW525" s="12">
        <v>2333</v>
      </c>
      <c r="AX525" s="12" t="str">
        <f>IF(AR525="", "mean", "med")</f>
        <v>med</v>
      </c>
      <c r="AY525" s="12">
        <f>IF(AR525="", AP525, AR525)</f>
        <v>30</v>
      </c>
      <c r="AZ525" s="12" t="s">
        <v>43</v>
      </c>
      <c r="BA525" s="12" t="str">
        <f>IF(AZ525="high","high","lower")</f>
        <v>lower</v>
      </c>
      <c r="BB525" s="49">
        <v>0.75800000000000001</v>
      </c>
      <c r="BC525" s="12">
        <v>64.5</v>
      </c>
      <c r="BD525" s="12">
        <v>73.099999999999994</v>
      </c>
      <c r="BE525" s="12">
        <v>50</v>
      </c>
      <c r="BF525" s="12">
        <v>61.3</v>
      </c>
      <c r="BG525" s="18" t="s">
        <v>1030</v>
      </c>
      <c r="BH525" s="18" t="s">
        <v>1031</v>
      </c>
    </row>
    <row r="526" spans="1:60" ht="15.75" customHeight="1" x14ac:dyDescent="0.2">
      <c r="A526" s="11">
        <v>529</v>
      </c>
      <c r="B526" s="12">
        <v>4546</v>
      </c>
      <c r="C526" s="13" t="s">
        <v>697</v>
      </c>
      <c r="D526" s="13" t="s">
        <v>698</v>
      </c>
      <c r="E526" s="23">
        <v>2003</v>
      </c>
      <c r="F526" s="23">
        <v>2008</v>
      </c>
      <c r="G526" s="13" t="s">
        <v>140</v>
      </c>
      <c r="H526" s="13"/>
      <c r="I526" s="13" t="s">
        <v>57</v>
      </c>
      <c r="J526" s="14" t="s">
        <v>58</v>
      </c>
      <c r="K526" s="14"/>
      <c r="L526" s="15">
        <f>2/10*100</f>
        <v>20</v>
      </c>
      <c r="M526" s="16" t="s">
        <v>41</v>
      </c>
      <c r="N526" s="13" t="s">
        <v>42</v>
      </c>
      <c r="O526" s="13"/>
      <c r="P526" s="12">
        <f>IF(Q526="", 0, 1)</f>
        <v>0</v>
      </c>
      <c r="Q526" s="12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2">
        <f>IF(AC526="", 0, 1)</f>
        <v>0</v>
      </c>
      <c r="AC526" s="13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>
        <f>IF(AO526="", 0, 1)</f>
        <v>1</v>
      </c>
      <c r="AO526" s="12">
        <v>10</v>
      </c>
      <c r="AP526" s="12">
        <f>2*7</f>
        <v>14</v>
      </c>
      <c r="AQ526" s="12"/>
      <c r="AR526" s="12"/>
      <c r="AS526" s="12"/>
      <c r="AT526" s="12"/>
      <c r="AU526" s="12"/>
      <c r="AV526" s="12"/>
      <c r="AW526" s="12"/>
      <c r="AX526" s="12" t="str">
        <f>IF(AR526="", "mean", "med")</f>
        <v>mean</v>
      </c>
      <c r="AY526" s="12">
        <f>IF(AR526="", AP526, AR526)</f>
        <v>14</v>
      </c>
      <c r="AZ526" s="49" t="s">
        <v>43</v>
      </c>
      <c r="BA526" s="49" t="str">
        <f>IF(AZ526="high","high","lower")</f>
        <v>lower</v>
      </c>
      <c r="BB526" s="49">
        <v>0.81699999999999995</v>
      </c>
      <c r="BC526" s="49"/>
      <c r="BD526" s="49"/>
      <c r="BE526" s="49"/>
      <c r="BF526" s="49"/>
      <c r="BG526" s="18" t="s">
        <v>1030</v>
      </c>
      <c r="BH526" s="18" t="s">
        <v>1031</v>
      </c>
    </row>
    <row r="527" spans="1:60" ht="15.75" customHeight="1" x14ac:dyDescent="0.2">
      <c r="A527" s="11">
        <v>530</v>
      </c>
      <c r="B527" s="12">
        <v>4546</v>
      </c>
      <c r="C527" s="13" t="s">
        <v>697</v>
      </c>
      <c r="D527" s="14" t="s">
        <v>699</v>
      </c>
      <c r="E527" s="23">
        <v>2003</v>
      </c>
      <c r="F527" s="23">
        <v>2008</v>
      </c>
      <c r="G527" s="13" t="s">
        <v>140</v>
      </c>
      <c r="H527" s="13"/>
      <c r="I527" s="13" t="s">
        <v>57</v>
      </c>
      <c r="J527" s="13" t="s">
        <v>58</v>
      </c>
      <c r="K527" s="14"/>
      <c r="L527" s="19">
        <f>12/29*100</f>
        <v>41.379310344827587</v>
      </c>
      <c r="M527" s="20" t="s">
        <v>41</v>
      </c>
      <c r="N527" s="13" t="s">
        <v>42</v>
      </c>
      <c r="O527" s="13"/>
      <c r="P527" s="12">
        <f>IF(Q527="", 0, 1)</f>
        <v>0</v>
      </c>
      <c r="Q527" s="12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2">
        <f>IF(AC527="", 0, 1)</f>
        <v>0</v>
      </c>
      <c r="AC527" s="13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>
        <f>IF(AO527="", 0, 1)</f>
        <v>1</v>
      </c>
      <c r="AO527" s="22">
        <v>32</v>
      </c>
      <c r="AP527" s="12">
        <f>4.5*7</f>
        <v>31.5</v>
      </c>
      <c r="AQ527" s="12"/>
      <c r="AR527" s="22"/>
      <c r="AS527" s="12"/>
      <c r="AT527" s="12"/>
      <c r="AU527" s="12"/>
      <c r="AV527" s="12"/>
      <c r="AW527" s="12"/>
      <c r="AX527" s="12" t="str">
        <f>IF(AR527="", "mean", "med")</f>
        <v>mean</v>
      </c>
      <c r="AY527" s="12">
        <f>IF(AR527="", AP527, AR527)</f>
        <v>31.5</v>
      </c>
      <c r="AZ527" s="49" t="s">
        <v>43</v>
      </c>
      <c r="BA527" s="49" t="str">
        <f>IF(AZ527="high","high","lower")</f>
        <v>lower</v>
      </c>
      <c r="BB527" s="49">
        <v>0.81699999999999995</v>
      </c>
      <c r="BC527" s="49"/>
      <c r="BD527" s="49"/>
      <c r="BE527" s="49"/>
      <c r="BF527" s="49"/>
      <c r="BG527" s="18" t="s">
        <v>1030</v>
      </c>
      <c r="BH527" s="18" t="s">
        <v>1031</v>
      </c>
    </row>
    <row r="528" spans="1:60" ht="15.75" customHeight="1" x14ac:dyDescent="0.2">
      <c r="A528" s="11">
        <v>531</v>
      </c>
      <c r="B528" s="12">
        <v>4559</v>
      </c>
      <c r="C528" s="13" t="s">
        <v>700</v>
      </c>
      <c r="D528" s="31" t="s">
        <v>701</v>
      </c>
      <c r="E528" s="23">
        <v>2004</v>
      </c>
      <c r="F528" s="23">
        <v>2011</v>
      </c>
      <c r="G528" s="13" t="s">
        <v>77</v>
      </c>
      <c r="H528" s="13"/>
      <c r="I528" s="13" t="s">
        <v>94</v>
      </c>
      <c r="J528" s="13" t="s">
        <v>299</v>
      </c>
      <c r="K528" s="13" t="s">
        <v>702</v>
      </c>
      <c r="L528" s="19" t="s">
        <v>41</v>
      </c>
      <c r="M528" s="16" t="s">
        <v>41</v>
      </c>
      <c r="N528" s="13" t="s">
        <v>50</v>
      </c>
      <c r="O528" s="14"/>
      <c r="P528" s="12">
        <f>IF(Q528="", 0, 1)</f>
        <v>0</v>
      </c>
      <c r="Q528" s="15"/>
      <c r="R528" s="17"/>
      <c r="S528" s="17"/>
      <c r="T528" s="17"/>
      <c r="U528" s="17"/>
      <c r="V528" s="17"/>
      <c r="W528" s="21"/>
      <c r="X528" s="17"/>
      <c r="Y528" s="17"/>
      <c r="Z528" s="17"/>
      <c r="AA528" s="17"/>
      <c r="AB528" s="12">
        <f>IF(AC528="", 0, 1)</f>
        <v>1</v>
      </c>
      <c r="AC528" s="13">
        <v>16</v>
      </c>
      <c r="AD528" s="12"/>
      <c r="AE528" s="12"/>
      <c r="AF528" s="12">
        <v>16</v>
      </c>
      <c r="AG528" s="12">
        <v>10</v>
      </c>
      <c r="AH528" s="12">
        <v>32</v>
      </c>
      <c r="AI528" s="12"/>
      <c r="AJ528" s="12"/>
      <c r="AK528" s="12"/>
      <c r="AL528" s="12" t="str">
        <f>IF(AF528="", "mean", "med")</f>
        <v>med</v>
      </c>
      <c r="AM528" s="12">
        <f>IF(AF528="", AD528, AF528)</f>
        <v>16</v>
      </c>
      <c r="AN528" s="12">
        <f>IF(AO528="", 0, 1)</f>
        <v>1</v>
      </c>
      <c r="AO528" s="12">
        <v>16</v>
      </c>
      <c r="AP528" s="12"/>
      <c r="AQ528" s="12"/>
      <c r="AR528" s="12">
        <v>35</v>
      </c>
      <c r="AS528" s="12">
        <v>1</v>
      </c>
      <c r="AT528" s="12">
        <v>138</v>
      </c>
      <c r="AU528" s="12"/>
      <c r="AV528" s="12"/>
      <c r="AW528" s="12"/>
      <c r="AX528" s="12" t="str">
        <f>IF(AR528="", "mean", "med")</f>
        <v>med</v>
      </c>
      <c r="AY528" s="12">
        <f>IF(AR528="", AP528, AR528)</f>
        <v>35</v>
      </c>
      <c r="AZ528" s="12" t="s">
        <v>52</v>
      </c>
      <c r="BA528" s="12" t="str">
        <f>IF(AZ528="high","high","lower")</f>
        <v>high</v>
      </c>
      <c r="BB528" s="49">
        <v>0.90100000000000002</v>
      </c>
      <c r="BC528" s="12">
        <v>85.3</v>
      </c>
      <c r="BD528" s="12">
        <v>96.3</v>
      </c>
      <c r="BE528" s="12">
        <v>91.7</v>
      </c>
      <c r="BF528" s="12">
        <v>80</v>
      </c>
      <c r="BG528" s="18" t="s">
        <v>1030</v>
      </c>
      <c r="BH528" s="18" t="s">
        <v>1031</v>
      </c>
    </row>
    <row r="529" spans="1:60" ht="15.75" customHeight="1" x14ac:dyDescent="0.2">
      <c r="A529" s="11">
        <v>532</v>
      </c>
      <c r="B529" s="12">
        <v>4559</v>
      </c>
      <c r="C529" s="13" t="s">
        <v>700</v>
      </c>
      <c r="D529" s="31" t="s">
        <v>703</v>
      </c>
      <c r="E529" s="23">
        <v>2004</v>
      </c>
      <c r="F529" s="23">
        <v>2011</v>
      </c>
      <c r="G529" s="13" t="s">
        <v>77</v>
      </c>
      <c r="H529" s="13"/>
      <c r="I529" s="13" t="s">
        <v>94</v>
      </c>
      <c r="J529" s="13" t="s">
        <v>299</v>
      </c>
      <c r="K529" s="13" t="s">
        <v>704</v>
      </c>
      <c r="L529" s="19" t="s">
        <v>41</v>
      </c>
      <c r="M529" s="16" t="s">
        <v>41</v>
      </c>
      <c r="N529" s="13" t="s">
        <v>50</v>
      </c>
      <c r="O529" s="14"/>
      <c r="P529" s="12">
        <f>IF(Q529="", 0, 1)</f>
        <v>0</v>
      </c>
      <c r="Q529" s="15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2">
        <f>IF(AC529="", 0, 1)</f>
        <v>1</v>
      </c>
      <c r="AC529" s="13">
        <v>19</v>
      </c>
      <c r="AD529" s="12"/>
      <c r="AE529" s="12"/>
      <c r="AF529" s="12">
        <v>61</v>
      </c>
      <c r="AG529" s="12">
        <v>37</v>
      </c>
      <c r="AH529" s="12">
        <v>367</v>
      </c>
      <c r="AI529" s="12"/>
      <c r="AJ529" s="12"/>
      <c r="AK529" s="12"/>
      <c r="AL529" s="12" t="str">
        <f>IF(AF529="", "mean", "med")</f>
        <v>med</v>
      </c>
      <c r="AM529" s="12">
        <f>IF(AF529="", AD529, AF529)</f>
        <v>61</v>
      </c>
      <c r="AN529" s="12">
        <f>IF(AO529="", 0, 1)</f>
        <v>1</v>
      </c>
      <c r="AO529" s="12">
        <v>19</v>
      </c>
      <c r="AP529" s="12"/>
      <c r="AQ529" s="12"/>
      <c r="AR529" s="12">
        <v>30</v>
      </c>
      <c r="AS529" s="12">
        <v>3</v>
      </c>
      <c r="AT529" s="12">
        <v>153</v>
      </c>
      <c r="AU529" s="12"/>
      <c r="AV529" s="12"/>
      <c r="AW529" s="12"/>
      <c r="AX529" s="12" t="str">
        <f>IF(AR529="", "mean", "med")</f>
        <v>med</v>
      </c>
      <c r="AY529" s="12">
        <f>IF(AR529="", AP529, AR529)</f>
        <v>30</v>
      </c>
      <c r="AZ529" s="12" t="s">
        <v>52</v>
      </c>
      <c r="BA529" s="12" t="str">
        <f>IF(AZ529="high","high","lower")</f>
        <v>high</v>
      </c>
      <c r="BB529" s="49">
        <v>0.90100000000000002</v>
      </c>
      <c r="BC529" s="12">
        <v>85.3</v>
      </c>
      <c r="BD529" s="12">
        <v>96.3</v>
      </c>
      <c r="BE529" s="12">
        <v>91.7</v>
      </c>
      <c r="BF529" s="12">
        <v>80</v>
      </c>
      <c r="BG529" s="18" t="s">
        <v>1030</v>
      </c>
      <c r="BH529" s="18" t="s">
        <v>1031</v>
      </c>
    </row>
    <row r="530" spans="1:60" ht="15.75" customHeight="1" x14ac:dyDescent="0.2">
      <c r="A530" s="11">
        <v>533</v>
      </c>
      <c r="B530" s="22">
        <v>4559</v>
      </c>
      <c r="C530" s="13" t="s">
        <v>700</v>
      </c>
      <c r="D530" s="33" t="s">
        <v>705</v>
      </c>
      <c r="E530" s="23">
        <v>2004</v>
      </c>
      <c r="F530" s="23">
        <v>2011</v>
      </c>
      <c r="G530" s="13" t="s">
        <v>77</v>
      </c>
      <c r="H530" s="13"/>
      <c r="I530" s="13" t="s">
        <v>94</v>
      </c>
      <c r="J530" s="14" t="s">
        <v>299</v>
      </c>
      <c r="K530" s="14" t="s">
        <v>1021</v>
      </c>
      <c r="L530" s="19" t="s">
        <v>41</v>
      </c>
      <c r="M530" s="16" t="s">
        <v>41</v>
      </c>
      <c r="N530" s="13" t="s">
        <v>50</v>
      </c>
      <c r="O530" s="14"/>
      <c r="P530" s="12">
        <f>IF(Q530="", 0, 1)</f>
        <v>0</v>
      </c>
      <c r="Q530" s="15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2">
        <f>IF(AC530="", 0, 1)</f>
        <v>1</v>
      </c>
      <c r="AC530" s="13">
        <v>29</v>
      </c>
      <c r="AD530" s="12"/>
      <c r="AE530" s="12"/>
      <c r="AF530" s="12">
        <v>12.5</v>
      </c>
      <c r="AG530" s="12">
        <v>3</v>
      </c>
      <c r="AH530" s="12">
        <v>32</v>
      </c>
      <c r="AI530" s="12"/>
      <c r="AJ530" s="12"/>
      <c r="AK530" s="12"/>
      <c r="AL530" s="12" t="str">
        <f>IF(AF530="", "mean", "med")</f>
        <v>med</v>
      </c>
      <c r="AM530" s="12">
        <f>IF(AF530="", AD530, AF530)</f>
        <v>12.5</v>
      </c>
      <c r="AN530" s="12">
        <f>IF(AO530="", 0, 1)</f>
        <v>1</v>
      </c>
      <c r="AO530" s="12">
        <v>29</v>
      </c>
      <c r="AP530" s="12"/>
      <c r="AQ530" s="12"/>
      <c r="AR530" s="12">
        <v>16</v>
      </c>
      <c r="AS530" s="12">
        <v>2</v>
      </c>
      <c r="AT530" s="12">
        <v>26</v>
      </c>
      <c r="AU530" s="12"/>
      <c r="AV530" s="12"/>
      <c r="AW530" s="12"/>
      <c r="AX530" s="12" t="str">
        <f>IF(AR530="", "mean", "med")</f>
        <v>med</v>
      </c>
      <c r="AY530" s="12">
        <f>IF(AR530="", AP530, AR530)</f>
        <v>16</v>
      </c>
      <c r="AZ530" s="12" t="s">
        <v>52</v>
      </c>
      <c r="BA530" s="12" t="str">
        <f>IF(AZ530="high","high","lower")</f>
        <v>high</v>
      </c>
      <c r="BB530" s="49">
        <v>0.90100000000000002</v>
      </c>
      <c r="BC530" s="12">
        <v>85.3</v>
      </c>
      <c r="BD530" s="12">
        <v>96.3</v>
      </c>
      <c r="BE530" s="12">
        <v>91.7</v>
      </c>
      <c r="BF530" s="12">
        <v>80</v>
      </c>
      <c r="BG530" s="18" t="s">
        <v>1030</v>
      </c>
      <c r="BH530" s="18" t="s">
        <v>1031</v>
      </c>
    </row>
    <row r="531" spans="1:60" ht="15.75" customHeight="1" x14ac:dyDescent="0.2">
      <c r="A531" s="11">
        <v>534</v>
      </c>
      <c r="B531" s="12">
        <v>4559</v>
      </c>
      <c r="C531" s="13" t="s">
        <v>700</v>
      </c>
      <c r="D531" s="31" t="s">
        <v>706</v>
      </c>
      <c r="E531" s="23">
        <v>2004</v>
      </c>
      <c r="F531" s="23">
        <v>2011</v>
      </c>
      <c r="G531" s="13" t="s">
        <v>77</v>
      </c>
      <c r="H531" s="13"/>
      <c r="I531" s="13" t="s">
        <v>94</v>
      </c>
      <c r="J531" s="13" t="s">
        <v>299</v>
      </c>
      <c r="K531" s="13" t="s">
        <v>1020</v>
      </c>
      <c r="L531" s="19" t="s">
        <v>41</v>
      </c>
      <c r="M531" s="16" t="s">
        <v>41</v>
      </c>
      <c r="N531" s="13" t="s">
        <v>50</v>
      </c>
      <c r="O531" s="14"/>
      <c r="P531" s="12">
        <f>IF(Q531="", 0, 1)</f>
        <v>0</v>
      </c>
      <c r="Q531" s="15"/>
      <c r="R531" s="21"/>
      <c r="S531" s="21"/>
      <c r="T531" s="17"/>
      <c r="U531" s="17"/>
      <c r="V531" s="17"/>
      <c r="W531" s="17"/>
      <c r="X531" s="17"/>
      <c r="Y531" s="17"/>
      <c r="Z531" s="17"/>
      <c r="AA531" s="17"/>
      <c r="AB531" s="12">
        <f>IF(AC531="", 0, 1)</f>
        <v>1</v>
      </c>
      <c r="AC531" s="13">
        <v>67</v>
      </c>
      <c r="AD531" s="12"/>
      <c r="AE531" s="12"/>
      <c r="AF531" s="12">
        <v>9</v>
      </c>
      <c r="AG531" s="12">
        <v>5</v>
      </c>
      <c r="AH531" s="12">
        <v>52</v>
      </c>
      <c r="AI531" s="12"/>
      <c r="AJ531" s="12"/>
      <c r="AK531" s="12"/>
      <c r="AL531" s="12" t="str">
        <f>IF(AF531="", "mean", "med")</f>
        <v>med</v>
      </c>
      <c r="AM531" s="12">
        <f>IF(AF531="", AD531, AF531)</f>
        <v>9</v>
      </c>
      <c r="AN531" s="12">
        <f>IF(AO531="", 0, 1)</f>
        <v>1</v>
      </c>
      <c r="AO531" s="12">
        <v>67</v>
      </c>
      <c r="AP531" s="12"/>
      <c r="AQ531" s="12"/>
      <c r="AR531" s="12">
        <v>33.5</v>
      </c>
      <c r="AS531" s="12">
        <v>4.5</v>
      </c>
      <c r="AT531" s="12">
        <v>127.5</v>
      </c>
      <c r="AU531" s="12"/>
      <c r="AV531" s="12"/>
      <c r="AW531" s="12"/>
      <c r="AX531" s="12" t="str">
        <f>IF(AR531="", "mean", "med")</f>
        <v>med</v>
      </c>
      <c r="AY531" s="12">
        <f>IF(AR531="", AP531, AR531)</f>
        <v>33.5</v>
      </c>
      <c r="AZ531" s="12" t="s">
        <v>52</v>
      </c>
      <c r="BA531" s="12" t="str">
        <f>IF(AZ531="high","high","lower")</f>
        <v>high</v>
      </c>
      <c r="BB531" s="49">
        <v>0.90100000000000002</v>
      </c>
      <c r="BC531" s="12">
        <v>85.3</v>
      </c>
      <c r="BD531" s="12">
        <v>96.3</v>
      </c>
      <c r="BE531" s="12">
        <v>91.7</v>
      </c>
      <c r="BF531" s="12">
        <v>80</v>
      </c>
      <c r="BG531" s="18" t="s">
        <v>1030</v>
      </c>
      <c r="BH531" s="18" t="s">
        <v>1031</v>
      </c>
    </row>
    <row r="532" spans="1:60" ht="15.75" customHeight="1" x14ac:dyDescent="0.2">
      <c r="A532" s="11">
        <v>535</v>
      </c>
      <c r="B532" s="22">
        <v>4559</v>
      </c>
      <c r="C532" s="13" t="s">
        <v>700</v>
      </c>
      <c r="D532" s="31" t="s">
        <v>707</v>
      </c>
      <c r="E532" s="23">
        <v>2004</v>
      </c>
      <c r="F532" s="23">
        <v>2011</v>
      </c>
      <c r="G532" s="13" t="s">
        <v>77</v>
      </c>
      <c r="H532" s="13"/>
      <c r="I532" s="13" t="s">
        <v>94</v>
      </c>
      <c r="J532" s="13" t="s">
        <v>299</v>
      </c>
      <c r="K532" s="13" t="s">
        <v>1020</v>
      </c>
      <c r="L532" s="19" t="s">
        <v>41</v>
      </c>
      <c r="M532" s="20" t="s">
        <v>41</v>
      </c>
      <c r="N532" s="13" t="s">
        <v>50</v>
      </c>
      <c r="O532" s="14"/>
      <c r="P532" s="12">
        <f>IF(Q532="", 0, 1)</f>
        <v>0</v>
      </c>
      <c r="Q532" s="15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2">
        <f>IF(AC532="", 0, 1)</f>
        <v>1</v>
      </c>
      <c r="AC532" s="13">
        <v>124</v>
      </c>
      <c r="AD532" s="12"/>
      <c r="AE532" s="12"/>
      <c r="AF532" s="12">
        <v>10</v>
      </c>
      <c r="AG532" s="12">
        <v>5</v>
      </c>
      <c r="AH532" s="12">
        <v>32</v>
      </c>
      <c r="AI532" s="12"/>
      <c r="AJ532" s="12"/>
      <c r="AK532" s="12"/>
      <c r="AL532" s="12" t="str">
        <f>IF(AF532="", "mean", "med")</f>
        <v>med</v>
      </c>
      <c r="AM532" s="12">
        <f>IF(AF532="", AD532, AF532)</f>
        <v>10</v>
      </c>
      <c r="AN532" s="12">
        <f>IF(AO532="", 0, 1)</f>
        <v>1</v>
      </c>
      <c r="AO532" s="12">
        <v>124</v>
      </c>
      <c r="AP532" s="12"/>
      <c r="AQ532" s="12"/>
      <c r="AR532" s="12">
        <v>13</v>
      </c>
      <c r="AS532" s="12">
        <v>1</v>
      </c>
      <c r="AT532" s="12">
        <v>47</v>
      </c>
      <c r="AU532" s="12"/>
      <c r="AV532" s="12"/>
      <c r="AW532" s="12"/>
      <c r="AX532" s="12" t="str">
        <f>IF(AR532="", "mean", "med")</f>
        <v>med</v>
      </c>
      <c r="AY532" s="12">
        <f>IF(AR532="", AP532, AR532)</f>
        <v>13</v>
      </c>
      <c r="AZ532" s="12" t="s">
        <v>52</v>
      </c>
      <c r="BA532" s="12" t="str">
        <f>IF(AZ532="high","high","lower")</f>
        <v>high</v>
      </c>
      <c r="BB532" s="49">
        <v>0.90100000000000002</v>
      </c>
      <c r="BC532" s="12">
        <v>85.3</v>
      </c>
      <c r="BD532" s="12">
        <v>96.3</v>
      </c>
      <c r="BE532" s="12">
        <v>91.7</v>
      </c>
      <c r="BF532" s="12">
        <v>80</v>
      </c>
      <c r="BG532" s="18" t="s">
        <v>1030</v>
      </c>
      <c r="BH532" s="18" t="s">
        <v>1031</v>
      </c>
    </row>
    <row r="533" spans="1:60" ht="15.75" customHeight="1" x14ac:dyDescent="0.2">
      <c r="A533" s="11">
        <v>536</v>
      </c>
      <c r="B533" s="12">
        <v>4559</v>
      </c>
      <c r="C533" s="13" t="s">
        <v>700</v>
      </c>
      <c r="D533" s="31" t="s">
        <v>708</v>
      </c>
      <c r="E533" s="23">
        <v>2004</v>
      </c>
      <c r="F533" s="23">
        <v>2011</v>
      </c>
      <c r="G533" s="13" t="s">
        <v>77</v>
      </c>
      <c r="H533" s="13"/>
      <c r="I533" s="13" t="s">
        <v>94</v>
      </c>
      <c r="J533" s="14" t="s">
        <v>299</v>
      </c>
      <c r="K533" s="13" t="s">
        <v>1020</v>
      </c>
      <c r="L533" s="19" t="s">
        <v>41</v>
      </c>
      <c r="M533" s="20" t="s">
        <v>41</v>
      </c>
      <c r="N533" s="13" t="s">
        <v>50</v>
      </c>
      <c r="O533" s="13"/>
      <c r="P533" s="12">
        <f>IF(Q533="", 0, 1)</f>
        <v>0</v>
      </c>
      <c r="Q533" s="15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2">
        <f>IF(AC533="", 0, 1)</f>
        <v>1</v>
      </c>
      <c r="AC533" s="13">
        <v>125</v>
      </c>
      <c r="AD533" s="12"/>
      <c r="AE533" s="12"/>
      <c r="AF533" s="12">
        <v>42</v>
      </c>
      <c r="AG533" s="12">
        <v>12</v>
      </c>
      <c r="AH533" s="12">
        <v>88</v>
      </c>
      <c r="AI533" s="12"/>
      <c r="AJ533" s="12"/>
      <c r="AK533" s="12"/>
      <c r="AL533" s="12" t="str">
        <f>IF(AF533="", "mean", "med")</f>
        <v>med</v>
      </c>
      <c r="AM533" s="12">
        <f>IF(AF533="", AD533, AF533)</f>
        <v>42</v>
      </c>
      <c r="AN533" s="12">
        <f>IF(AO533="", 0, 1)</f>
        <v>1</v>
      </c>
      <c r="AO533" s="12">
        <v>125</v>
      </c>
      <c r="AP533" s="12"/>
      <c r="AQ533" s="12"/>
      <c r="AR533" s="12">
        <v>22</v>
      </c>
      <c r="AS533" s="12">
        <v>1</v>
      </c>
      <c r="AT533" s="12">
        <v>85</v>
      </c>
      <c r="AU533" s="12"/>
      <c r="AV533" s="12"/>
      <c r="AW533" s="12"/>
      <c r="AX533" s="12" t="str">
        <f>IF(AR533="", "mean", "med")</f>
        <v>med</v>
      </c>
      <c r="AY533" s="12">
        <f>IF(AR533="", AP533, AR533)</f>
        <v>22</v>
      </c>
      <c r="AZ533" s="12" t="s">
        <v>52</v>
      </c>
      <c r="BA533" s="12" t="str">
        <f>IF(AZ533="high","high","lower")</f>
        <v>high</v>
      </c>
      <c r="BB533" s="49">
        <v>0.90100000000000002</v>
      </c>
      <c r="BC533" s="12">
        <v>85.3</v>
      </c>
      <c r="BD533" s="12">
        <v>96.3</v>
      </c>
      <c r="BE533" s="12">
        <v>91.7</v>
      </c>
      <c r="BF533" s="12">
        <v>80</v>
      </c>
      <c r="BG533" s="18" t="s">
        <v>1030</v>
      </c>
      <c r="BH533" s="18" t="s">
        <v>1031</v>
      </c>
    </row>
    <row r="534" spans="1:60" ht="15.75" customHeight="1" x14ac:dyDescent="0.2">
      <c r="A534" s="11">
        <v>537</v>
      </c>
      <c r="B534" s="12">
        <v>4559</v>
      </c>
      <c r="C534" s="13" t="s">
        <v>700</v>
      </c>
      <c r="D534" s="31" t="s">
        <v>709</v>
      </c>
      <c r="E534" s="23">
        <v>2004</v>
      </c>
      <c r="F534" s="23">
        <v>2011</v>
      </c>
      <c r="G534" s="13" t="s">
        <v>77</v>
      </c>
      <c r="H534" s="13"/>
      <c r="I534" s="13" t="s">
        <v>94</v>
      </c>
      <c r="J534" s="14" t="s">
        <v>95</v>
      </c>
      <c r="K534" s="14" t="s">
        <v>710</v>
      </c>
      <c r="L534" s="15" t="s">
        <v>41</v>
      </c>
      <c r="M534" s="16" t="s">
        <v>41</v>
      </c>
      <c r="N534" s="13" t="s">
        <v>50</v>
      </c>
      <c r="O534" s="14"/>
      <c r="P534" s="12">
        <f>IF(Q534="", 0, 1)</f>
        <v>0</v>
      </c>
      <c r="Q534" s="15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2">
        <f>IF(AC534="", 0, 1)</f>
        <v>1</v>
      </c>
      <c r="AC534" s="13">
        <v>6</v>
      </c>
      <c r="AD534" s="12"/>
      <c r="AE534" s="12"/>
      <c r="AF534" s="12">
        <v>36</v>
      </c>
      <c r="AG534" s="12">
        <v>11</v>
      </c>
      <c r="AH534" s="12">
        <v>82.5</v>
      </c>
      <c r="AI534" s="12"/>
      <c r="AJ534" s="12"/>
      <c r="AK534" s="12"/>
      <c r="AL534" s="12" t="str">
        <f>IF(AF534="", "mean", "med")</f>
        <v>med</v>
      </c>
      <c r="AM534" s="12">
        <f>IF(AF534="", AD534, AF534)</f>
        <v>36</v>
      </c>
      <c r="AN534" s="12">
        <f>IF(AO534="", 0, 1)</f>
        <v>1</v>
      </c>
      <c r="AO534" s="12">
        <v>6</v>
      </c>
      <c r="AP534" s="12"/>
      <c r="AQ534" s="12"/>
      <c r="AR534" s="12">
        <v>19</v>
      </c>
      <c r="AS534" s="12">
        <v>4.5</v>
      </c>
      <c r="AT534" s="12">
        <v>30.5</v>
      </c>
      <c r="AU534" s="12"/>
      <c r="AV534" s="12"/>
      <c r="AW534" s="12"/>
      <c r="AX534" s="12" t="str">
        <f>IF(AR534="", "mean", "med")</f>
        <v>med</v>
      </c>
      <c r="AY534" s="12">
        <f>IF(AR534="", AP534, AR534)</f>
        <v>19</v>
      </c>
      <c r="AZ534" s="12" t="s">
        <v>52</v>
      </c>
      <c r="BA534" s="12" t="str">
        <f>IF(AZ534="high","high","lower")</f>
        <v>high</v>
      </c>
      <c r="BB534" s="49">
        <v>0.90100000000000002</v>
      </c>
      <c r="BC534" s="12">
        <v>85.3</v>
      </c>
      <c r="BD534" s="12">
        <v>96.3</v>
      </c>
      <c r="BE534" s="12">
        <v>91.7</v>
      </c>
      <c r="BF534" s="12">
        <v>80</v>
      </c>
      <c r="BG534" s="18" t="s">
        <v>1030</v>
      </c>
      <c r="BH534" s="18" t="s">
        <v>1031</v>
      </c>
    </row>
    <row r="535" spans="1:60" ht="15.75" customHeight="1" x14ac:dyDescent="0.2">
      <c r="A535" s="11">
        <v>538</v>
      </c>
      <c r="B535" s="22">
        <v>4559</v>
      </c>
      <c r="C535" s="13" t="s">
        <v>700</v>
      </c>
      <c r="D535" s="31" t="s">
        <v>711</v>
      </c>
      <c r="E535" s="23">
        <v>2004</v>
      </c>
      <c r="F535" s="23">
        <v>2011</v>
      </c>
      <c r="G535" s="13" t="s">
        <v>77</v>
      </c>
      <c r="H535" s="13"/>
      <c r="I535" s="13" t="s">
        <v>94</v>
      </c>
      <c r="J535" s="13" t="s">
        <v>95</v>
      </c>
      <c r="K535" s="13" t="s">
        <v>712</v>
      </c>
      <c r="L535" s="15" t="s">
        <v>41</v>
      </c>
      <c r="M535" s="16" t="s">
        <v>41</v>
      </c>
      <c r="N535" s="13" t="s">
        <v>50</v>
      </c>
      <c r="O535" s="13"/>
      <c r="P535" s="12">
        <f>IF(Q535="", 0, 1)</f>
        <v>0</v>
      </c>
      <c r="Q535" s="19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2">
        <f>IF(AC535="", 0, 1)</f>
        <v>1</v>
      </c>
      <c r="AC535" s="13">
        <v>42</v>
      </c>
      <c r="AD535" s="12"/>
      <c r="AE535" s="12"/>
      <c r="AF535" s="12">
        <v>71</v>
      </c>
      <c r="AG535" s="12">
        <v>39</v>
      </c>
      <c r="AH535" s="12">
        <v>167</v>
      </c>
      <c r="AI535" s="12"/>
      <c r="AJ535" s="12"/>
      <c r="AK535" s="12"/>
      <c r="AL535" s="12" t="str">
        <f>IF(AF535="", "mean", "med")</f>
        <v>med</v>
      </c>
      <c r="AM535" s="12">
        <f>IF(AF535="", AD535, AF535)</f>
        <v>71</v>
      </c>
      <c r="AN535" s="12">
        <f>IF(AO535="", 0, 1)</f>
        <v>1</v>
      </c>
      <c r="AO535" s="12">
        <v>42</v>
      </c>
      <c r="AP535" s="12"/>
      <c r="AQ535" s="12"/>
      <c r="AR535" s="12">
        <v>18.5</v>
      </c>
      <c r="AS535" s="12">
        <v>1</v>
      </c>
      <c r="AT535" s="12">
        <v>92</v>
      </c>
      <c r="AU535" s="12"/>
      <c r="AV535" s="12"/>
      <c r="AW535" s="12"/>
      <c r="AX535" s="12" t="str">
        <f>IF(AR535="", "mean", "med")</f>
        <v>med</v>
      </c>
      <c r="AY535" s="12">
        <f>IF(AR535="", AP535, AR535)</f>
        <v>18.5</v>
      </c>
      <c r="AZ535" s="12" t="s">
        <v>52</v>
      </c>
      <c r="BA535" s="12" t="str">
        <f>IF(AZ535="high","high","lower")</f>
        <v>high</v>
      </c>
      <c r="BB535" s="49">
        <v>0.90100000000000002</v>
      </c>
      <c r="BC535" s="12">
        <v>85.3</v>
      </c>
      <c r="BD535" s="12">
        <v>96.300000000000097</v>
      </c>
      <c r="BE535" s="12">
        <v>91.7</v>
      </c>
      <c r="BF535" s="12">
        <v>80</v>
      </c>
      <c r="BG535" s="18" t="s">
        <v>1030</v>
      </c>
      <c r="BH535" s="18" t="s">
        <v>1031</v>
      </c>
    </row>
    <row r="536" spans="1:60" ht="15.75" customHeight="1" x14ac:dyDescent="0.2">
      <c r="A536" s="11">
        <v>539</v>
      </c>
      <c r="B536" s="12">
        <v>4559</v>
      </c>
      <c r="C536" s="13" t="s">
        <v>700</v>
      </c>
      <c r="D536" s="31" t="s">
        <v>713</v>
      </c>
      <c r="E536" s="23">
        <v>2004</v>
      </c>
      <c r="F536" s="23">
        <v>2011</v>
      </c>
      <c r="G536" s="13" t="s">
        <v>77</v>
      </c>
      <c r="H536" s="13"/>
      <c r="I536" s="13" t="s">
        <v>94</v>
      </c>
      <c r="J536" s="13" t="s">
        <v>95</v>
      </c>
      <c r="K536" s="13" t="s">
        <v>714</v>
      </c>
      <c r="L536" s="15" t="s">
        <v>41</v>
      </c>
      <c r="M536" s="16" t="s">
        <v>41</v>
      </c>
      <c r="N536" s="13" t="s">
        <v>50</v>
      </c>
      <c r="O536" s="14"/>
      <c r="P536" s="12">
        <f>IF(Q536="", 0, 1)</f>
        <v>0</v>
      </c>
      <c r="Q536" s="15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2">
        <f>IF(AC536="", 0, 1)</f>
        <v>1</v>
      </c>
      <c r="AC536" s="13">
        <v>52</v>
      </c>
      <c r="AD536" s="12"/>
      <c r="AE536" s="12"/>
      <c r="AF536" s="12">
        <v>61</v>
      </c>
      <c r="AG536" s="12">
        <v>29</v>
      </c>
      <c r="AH536" s="12">
        <v>144</v>
      </c>
      <c r="AI536" s="12"/>
      <c r="AJ536" s="12"/>
      <c r="AK536" s="12"/>
      <c r="AL536" s="12" t="str">
        <f>IF(AF536="", "mean", "med")</f>
        <v>med</v>
      </c>
      <c r="AM536" s="12">
        <f>IF(AF536="", AD536, AF536)</f>
        <v>61</v>
      </c>
      <c r="AN536" s="12">
        <f>IF(AO536="", 0, 1)</f>
        <v>1</v>
      </c>
      <c r="AO536" s="12">
        <v>52</v>
      </c>
      <c r="AP536" s="12"/>
      <c r="AQ536" s="12"/>
      <c r="AR536" s="12">
        <v>21.5</v>
      </c>
      <c r="AS536" s="12">
        <v>1</v>
      </c>
      <c r="AT536" s="12">
        <v>69.5</v>
      </c>
      <c r="AU536" s="12"/>
      <c r="AV536" s="12"/>
      <c r="AW536" s="12"/>
      <c r="AX536" s="12" t="str">
        <f>IF(AR536="", "mean", "med")</f>
        <v>med</v>
      </c>
      <c r="AY536" s="12">
        <f>IF(AR536="", AP536, AR536)</f>
        <v>21.5</v>
      </c>
      <c r="AZ536" s="12" t="s">
        <v>52</v>
      </c>
      <c r="BA536" s="12" t="str">
        <f>IF(AZ536="high","high","lower")</f>
        <v>high</v>
      </c>
      <c r="BB536" s="49">
        <v>0.90100000000000002</v>
      </c>
      <c r="BC536" s="12">
        <v>85.3</v>
      </c>
      <c r="BD536" s="12">
        <v>96.300000000000097</v>
      </c>
      <c r="BE536" s="12">
        <v>91.7</v>
      </c>
      <c r="BF536" s="12">
        <v>80</v>
      </c>
      <c r="BG536" s="18" t="s">
        <v>1030</v>
      </c>
      <c r="BH536" s="18" t="s">
        <v>1031</v>
      </c>
    </row>
    <row r="537" spans="1:60" ht="15.75" customHeight="1" x14ac:dyDescent="0.2">
      <c r="A537" s="11">
        <v>540</v>
      </c>
      <c r="B537" s="12">
        <v>4559</v>
      </c>
      <c r="C537" s="13" t="s">
        <v>700</v>
      </c>
      <c r="D537" s="13" t="s">
        <v>96</v>
      </c>
      <c r="E537" s="23">
        <v>2004</v>
      </c>
      <c r="F537" s="23">
        <v>2011</v>
      </c>
      <c r="G537" s="13" t="s">
        <v>77</v>
      </c>
      <c r="H537" s="13"/>
      <c r="I537" s="13" t="s">
        <v>94</v>
      </c>
      <c r="J537" s="13" t="s">
        <v>95</v>
      </c>
      <c r="K537" s="13" t="s">
        <v>135</v>
      </c>
      <c r="L537" s="15" t="s">
        <v>41</v>
      </c>
      <c r="M537" s="16" t="s">
        <v>41</v>
      </c>
      <c r="N537" s="13" t="s">
        <v>50</v>
      </c>
      <c r="O537" s="14"/>
      <c r="P537" s="12">
        <f>IF(Q537="", 0, 1)</f>
        <v>0</v>
      </c>
      <c r="Q537" s="19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2">
        <f>IF(AC537="", 0, 1)</f>
        <v>1</v>
      </c>
      <c r="AC537" s="13">
        <v>167</v>
      </c>
      <c r="AD537" s="12"/>
      <c r="AE537" s="12"/>
      <c r="AF537" s="12">
        <v>87</v>
      </c>
      <c r="AG537" s="12">
        <v>40</v>
      </c>
      <c r="AH537" s="12">
        <v>166</v>
      </c>
      <c r="AI537" s="12"/>
      <c r="AJ537" s="12"/>
      <c r="AK537" s="12"/>
      <c r="AL537" s="12" t="str">
        <f>IF(AF537="", "mean", "med")</f>
        <v>med</v>
      </c>
      <c r="AM537" s="12">
        <f>IF(AF537="", AD537, AF537)</f>
        <v>87</v>
      </c>
      <c r="AN537" s="12">
        <f>IF(AO537="", 0, 1)</f>
        <v>1</v>
      </c>
      <c r="AO537" s="12">
        <v>167</v>
      </c>
      <c r="AP537" s="12"/>
      <c r="AQ537" s="12"/>
      <c r="AR537" s="12">
        <v>30</v>
      </c>
      <c r="AS537" s="12">
        <v>2</v>
      </c>
      <c r="AT537" s="12">
        <v>77</v>
      </c>
      <c r="AU537" s="12"/>
      <c r="AV537" s="12"/>
      <c r="AW537" s="12"/>
      <c r="AX537" s="12" t="str">
        <f>IF(AR537="", "mean", "med")</f>
        <v>med</v>
      </c>
      <c r="AY537" s="12">
        <f>IF(AR537="", AP537, AR537)</f>
        <v>30</v>
      </c>
      <c r="AZ537" s="12" t="s">
        <v>52</v>
      </c>
      <c r="BA537" s="12" t="str">
        <f>IF(AZ537="high","high","lower")</f>
        <v>high</v>
      </c>
      <c r="BB537" s="49">
        <v>0.90100000000000002</v>
      </c>
      <c r="BC537" s="12">
        <v>85.3</v>
      </c>
      <c r="BD537" s="12">
        <v>96.300000000000097</v>
      </c>
      <c r="BE537" s="12">
        <v>91.7</v>
      </c>
      <c r="BF537" s="12">
        <v>80</v>
      </c>
      <c r="BG537" s="18" t="s">
        <v>1030</v>
      </c>
      <c r="BH537" s="18" t="s">
        <v>1031</v>
      </c>
    </row>
    <row r="538" spans="1:60" ht="15.75" customHeight="1" x14ac:dyDescent="0.2">
      <c r="A538" s="11">
        <v>541</v>
      </c>
      <c r="B538" s="12">
        <v>4559</v>
      </c>
      <c r="C538" s="13" t="s">
        <v>700</v>
      </c>
      <c r="D538" s="31" t="s">
        <v>715</v>
      </c>
      <c r="E538" s="23">
        <v>2004</v>
      </c>
      <c r="F538" s="23">
        <v>2011</v>
      </c>
      <c r="G538" s="13" t="s">
        <v>77</v>
      </c>
      <c r="H538" s="13"/>
      <c r="I538" s="13" t="s">
        <v>94</v>
      </c>
      <c r="J538" s="13" t="s">
        <v>95</v>
      </c>
      <c r="K538" s="13" t="s">
        <v>716</v>
      </c>
      <c r="L538" s="15" t="s">
        <v>41</v>
      </c>
      <c r="M538" s="16" t="s">
        <v>41</v>
      </c>
      <c r="N538" s="13" t="s">
        <v>50</v>
      </c>
      <c r="O538" s="14"/>
      <c r="P538" s="12">
        <f>IF(Q538="", 0, 1)</f>
        <v>0</v>
      </c>
      <c r="Q538" s="15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2">
        <f>IF(AC538="", 0, 1)</f>
        <v>1</v>
      </c>
      <c r="AC538" s="13">
        <v>179</v>
      </c>
      <c r="AD538" s="12"/>
      <c r="AE538" s="12"/>
      <c r="AF538" s="12">
        <v>86.5</v>
      </c>
      <c r="AG538" s="12">
        <v>27</v>
      </c>
      <c r="AH538" s="12">
        <v>193.5</v>
      </c>
      <c r="AI538" s="12"/>
      <c r="AJ538" s="12"/>
      <c r="AK538" s="12"/>
      <c r="AL538" s="12" t="str">
        <f>IF(AF538="", "mean", "med")</f>
        <v>med</v>
      </c>
      <c r="AM538" s="12">
        <f>IF(AF538="", AD538, AF538)</f>
        <v>86.5</v>
      </c>
      <c r="AN538" s="12">
        <f>IF(AO538="", 0, 1)</f>
        <v>1</v>
      </c>
      <c r="AO538" s="12">
        <v>179</v>
      </c>
      <c r="AP538" s="12"/>
      <c r="AQ538" s="12"/>
      <c r="AR538" s="12">
        <v>30</v>
      </c>
      <c r="AS538" s="12">
        <v>1</v>
      </c>
      <c r="AT538" s="12">
        <v>153</v>
      </c>
      <c r="AU538" s="12"/>
      <c r="AV538" s="12"/>
      <c r="AW538" s="12"/>
      <c r="AX538" s="12" t="str">
        <f>IF(AR538="", "mean", "med")</f>
        <v>med</v>
      </c>
      <c r="AY538" s="12">
        <f>IF(AR538="", AP538, AR538)</f>
        <v>30</v>
      </c>
      <c r="AZ538" s="12" t="s">
        <v>52</v>
      </c>
      <c r="BA538" s="12" t="str">
        <f>IF(AZ538="high","high","lower")</f>
        <v>high</v>
      </c>
      <c r="BB538" s="49">
        <v>0.90100000000000002</v>
      </c>
      <c r="BC538" s="12">
        <v>85.3</v>
      </c>
      <c r="BD538" s="12">
        <v>96.300000000000097</v>
      </c>
      <c r="BE538" s="12">
        <v>91.7</v>
      </c>
      <c r="BF538" s="12">
        <v>80</v>
      </c>
      <c r="BG538" s="18" t="s">
        <v>1030</v>
      </c>
      <c r="BH538" s="18" t="s">
        <v>1031</v>
      </c>
    </row>
    <row r="539" spans="1:60" ht="15.75" customHeight="1" x14ac:dyDescent="0.2">
      <c r="A539" s="11">
        <v>542</v>
      </c>
      <c r="B539" s="12">
        <v>4559</v>
      </c>
      <c r="C539" s="13" t="s">
        <v>700</v>
      </c>
      <c r="D539" s="31" t="s">
        <v>717</v>
      </c>
      <c r="E539" s="23">
        <v>2004</v>
      </c>
      <c r="F539" s="23">
        <v>2011</v>
      </c>
      <c r="G539" s="13" t="s">
        <v>77</v>
      </c>
      <c r="H539" s="13"/>
      <c r="I539" s="13" t="s">
        <v>94</v>
      </c>
      <c r="J539" s="13" t="s">
        <v>95</v>
      </c>
      <c r="K539" s="31" t="s">
        <v>718</v>
      </c>
      <c r="L539" s="15" t="s">
        <v>41</v>
      </c>
      <c r="M539" s="16" t="s">
        <v>41</v>
      </c>
      <c r="N539" s="13" t="s">
        <v>50</v>
      </c>
      <c r="O539" s="14"/>
      <c r="P539" s="12">
        <f>IF(Q539="", 0, 1)</f>
        <v>0</v>
      </c>
      <c r="Q539" s="15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2">
        <f>IF(AC539="", 0, 1)</f>
        <v>1</v>
      </c>
      <c r="AC539" s="13">
        <v>233</v>
      </c>
      <c r="AD539" s="12"/>
      <c r="AE539" s="12"/>
      <c r="AF539" s="12">
        <v>65</v>
      </c>
      <c r="AG539" s="12">
        <v>36</v>
      </c>
      <c r="AH539" s="12">
        <v>125.5</v>
      </c>
      <c r="AI539" s="12"/>
      <c r="AJ539" s="12"/>
      <c r="AK539" s="12"/>
      <c r="AL539" s="12" t="str">
        <f>IF(AF539="", "mean", "med")</f>
        <v>med</v>
      </c>
      <c r="AM539" s="12">
        <f>IF(AF539="", AD539, AF539)</f>
        <v>65</v>
      </c>
      <c r="AN539" s="12">
        <f>IF(AO539="", 0, 1)</f>
        <v>1</v>
      </c>
      <c r="AO539" s="12">
        <v>233</v>
      </c>
      <c r="AP539" s="12"/>
      <c r="AQ539" s="12"/>
      <c r="AR539" s="12">
        <v>17</v>
      </c>
      <c r="AS539" s="12">
        <v>1</v>
      </c>
      <c r="AT539" s="12">
        <v>76</v>
      </c>
      <c r="AU539" s="12"/>
      <c r="AV539" s="12"/>
      <c r="AW539" s="12"/>
      <c r="AX539" s="12" t="str">
        <f>IF(AR539="", "mean", "med")</f>
        <v>med</v>
      </c>
      <c r="AY539" s="12">
        <f>IF(AR539="", AP539, AR539)</f>
        <v>17</v>
      </c>
      <c r="AZ539" s="12" t="s">
        <v>52</v>
      </c>
      <c r="BA539" s="12" t="str">
        <f>IF(AZ539="high","high","lower")</f>
        <v>high</v>
      </c>
      <c r="BB539" s="49">
        <v>0.90100000000000002</v>
      </c>
      <c r="BC539" s="12">
        <v>85.3</v>
      </c>
      <c r="BD539" s="12">
        <v>96.300000000000097</v>
      </c>
      <c r="BE539" s="12">
        <v>91.7</v>
      </c>
      <c r="BF539" s="12">
        <v>80</v>
      </c>
      <c r="BG539" s="18" t="s">
        <v>1030</v>
      </c>
      <c r="BH539" s="18" t="s">
        <v>1031</v>
      </c>
    </row>
    <row r="540" spans="1:60" ht="15.75" customHeight="1" x14ac:dyDescent="0.2">
      <c r="A540" s="11">
        <v>543</v>
      </c>
      <c r="B540" s="12">
        <v>4559</v>
      </c>
      <c r="C540" s="13" t="s">
        <v>700</v>
      </c>
      <c r="D540" s="13" t="s">
        <v>719</v>
      </c>
      <c r="E540" s="23">
        <v>2004</v>
      </c>
      <c r="F540" s="23">
        <v>2011</v>
      </c>
      <c r="G540" s="13" t="s">
        <v>77</v>
      </c>
      <c r="H540" s="13"/>
      <c r="I540" s="13" t="s">
        <v>94</v>
      </c>
      <c r="J540" s="14" t="s">
        <v>95</v>
      </c>
      <c r="K540" s="14" t="s">
        <v>485</v>
      </c>
      <c r="L540" s="15" t="s">
        <v>41</v>
      </c>
      <c r="M540" s="20" t="s">
        <v>41</v>
      </c>
      <c r="N540" s="13" t="s">
        <v>50</v>
      </c>
      <c r="O540" s="14"/>
      <c r="P540" s="12">
        <f>IF(Q540="", 0, 1)</f>
        <v>0</v>
      </c>
      <c r="Q540" s="15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2">
        <f>IF(AC540="", 0, 1)</f>
        <v>1</v>
      </c>
      <c r="AC540" s="13">
        <v>451</v>
      </c>
      <c r="AD540" s="12"/>
      <c r="AE540" s="12"/>
      <c r="AF540" s="12">
        <v>69</v>
      </c>
      <c r="AG540" s="12">
        <v>37</v>
      </c>
      <c r="AH540" s="12">
        <v>134</v>
      </c>
      <c r="AI540" s="12"/>
      <c r="AJ540" s="12"/>
      <c r="AK540" s="12"/>
      <c r="AL540" s="12" t="str">
        <f>IF(AF540="", "mean", "med")</f>
        <v>med</v>
      </c>
      <c r="AM540" s="12">
        <f>IF(AF540="", AD540, AF540)</f>
        <v>69</v>
      </c>
      <c r="AN540" s="12">
        <f>IF(AO540="", 0, 1)</f>
        <v>1</v>
      </c>
      <c r="AO540" s="12">
        <v>451</v>
      </c>
      <c r="AP540" s="12"/>
      <c r="AQ540" s="12"/>
      <c r="AR540" s="12">
        <v>9</v>
      </c>
      <c r="AS540" s="12">
        <v>1</v>
      </c>
      <c r="AT540" s="12">
        <v>42</v>
      </c>
      <c r="AU540" s="12"/>
      <c r="AV540" s="12"/>
      <c r="AW540" s="12"/>
      <c r="AX540" s="12" t="str">
        <f>IF(AR540="", "mean", "med")</f>
        <v>med</v>
      </c>
      <c r="AY540" s="12">
        <f>IF(AR540="", AP540, AR540)</f>
        <v>9</v>
      </c>
      <c r="AZ540" s="12" t="s">
        <v>52</v>
      </c>
      <c r="BA540" s="12" t="str">
        <f>IF(AZ540="high","high","lower")</f>
        <v>high</v>
      </c>
      <c r="BB540" s="49">
        <v>0.90100000000000002</v>
      </c>
      <c r="BC540" s="12">
        <v>85.3</v>
      </c>
      <c r="BD540" s="12">
        <v>96.300000000000097</v>
      </c>
      <c r="BE540" s="12">
        <v>91.7</v>
      </c>
      <c r="BF540" s="12">
        <v>80</v>
      </c>
      <c r="BG540" s="18" t="s">
        <v>1030</v>
      </c>
      <c r="BH540" s="18" t="s">
        <v>1031</v>
      </c>
    </row>
    <row r="541" spans="1:60" ht="15.75" customHeight="1" x14ac:dyDescent="0.2">
      <c r="A541" s="11">
        <v>544</v>
      </c>
      <c r="B541" s="22">
        <v>4559</v>
      </c>
      <c r="C541" s="13" t="s">
        <v>700</v>
      </c>
      <c r="D541" s="31" t="s">
        <v>720</v>
      </c>
      <c r="E541" s="23">
        <v>2004</v>
      </c>
      <c r="F541" s="23">
        <v>2011</v>
      </c>
      <c r="G541" s="14" t="s">
        <v>77</v>
      </c>
      <c r="H541" s="14"/>
      <c r="I541" s="13" t="s">
        <v>94</v>
      </c>
      <c r="J541" s="33" t="s">
        <v>721</v>
      </c>
      <c r="K541" s="33" t="s">
        <v>721</v>
      </c>
      <c r="L541" s="15" t="s">
        <v>41</v>
      </c>
      <c r="M541" s="16" t="s">
        <v>41</v>
      </c>
      <c r="N541" s="13" t="s">
        <v>50</v>
      </c>
      <c r="O541" s="13"/>
      <c r="P541" s="12">
        <f>IF(Q541="", 0, 1)</f>
        <v>0</v>
      </c>
      <c r="Q541" s="15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2">
        <f>IF(AC541="", 0, 1)</f>
        <v>1</v>
      </c>
      <c r="AC541" s="14">
        <v>44</v>
      </c>
      <c r="AD541" s="12"/>
      <c r="AE541" s="12"/>
      <c r="AF541" s="12">
        <v>185</v>
      </c>
      <c r="AG541" s="12">
        <v>27</v>
      </c>
      <c r="AH541" s="12">
        <v>417</v>
      </c>
      <c r="AI541" s="12"/>
      <c r="AJ541" s="12"/>
      <c r="AK541" s="12"/>
      <c r="AL541" s="12" t="str">
        <f>IF(AF541="", "mean", "med")</f>
        <v>med</v>
      </c>
      <c r="AM541" s="12">
        <f>IF(AF541="", AD541, AF541)</f>
        <v>185</v>
      </c>
      <c r="AN541" s="12">
        <f>IF(AO541="", 0, 1)</f>
        <v>1</v>
      </c>
      <c r="AO541" s="12">
        <v>44</v>
      </c>
      <c r="AP541" s="12"/>
      <c r="AQ541" s="12"/>
      <c r="AR541" s="12">
        <v>16</v>
      </c>
      <c r="AS541" s="12">
        <v>1</v>
      </c>
      <c r="AT541" s="12">
        <v>30</v>
      </c>
      <c r="AU541" s="12"/>
      <c r="AV541" s="12"/>
      <c r="AW541" s="12"/>
      <c r="AX541" s="12" t="str">
        <f>IF(AR541="", "mean", "med")</f>
        <v>med</v>
      </c>
      <c r="AY541" s="12">
        <f>IF(AR541="", AP541, AR541)</f>
        <v>16</v>
      </c>
      <c r="AZ541" s="12" t="s">
        <v>52</v>
      </c>
      <c r="BA541" s="12" t="str">
        <f>IF(AZ541="high","high","lower")</f>
        <v>high</v>
      </c>
      <c r="BB541" s="49">
        <v>0.90100000000000002</v>
      </c>
      <c r="BC541" s="12">
        <v>85.3</v>
      </c>
      <c r="BD541" s="12">
        <v>96.300000000000097</v>
      </c>
      <c r="BE541" s="12">
        <v>91.7</v>
      </c>
      <c r="BF541" s="12">
        <v>80</v>
      </c>
      <c r="BG541" s="18" t="s">
        <v>1030</v>
      </c>
      <c r="BH541" s="18" t="s">
        <v>1031</v>
      </c>
    </row>
    <row r="542" spans="1:60" ht="15.75" customHeight="1" x14ac:dyDescent="0.2">
      <c r="A542" s="11">
        <v>545</v>
      </c>
      <c r="B542" s="12">
        <v>4559</v>
      </c>
      <c r="C542" s="13" t="s">
        <v>700</v>
      </c>
      <c r="D542" s="31" t="s">
        <v>722</v>
      </c>
      <c r="E542" s="23">
        <v>2004</v>
      </c>
      <c r="F542" s="23">
        <v>2011</v>
      </c>
      <c r="G542" s="13" t="s">
        <v>77</v>
      </c>
      <c r="H542" s="13"/>
      <c r="I542" s="13" t="s">
        <v>94</v>
      </c>
      <c r="J542" s="13" t="s">
        <v>723</v>
      </c>
      <c r="K542" s="13"/>
      <c r="L542" s="15" t="s">
        <v>41</v>
      </c>
      <c r="M542" s="16" t="s">
        <v>41</v>
      </c>
      <c r="N542" s="13" t="s">
        <v>50</v>
      </c>
      <c r="O542" s="13"/>
      <c r="P542" s="12">
        <f>IF(Q542="", 0, 1)</f>
        <v>0</v>
      </c>
      <c r="Q542" s="15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2">
        <f>IF(AC542="", 0, 1)</f>
        <v>1</v>
      </c>
      <c r="AC542" s="13">
        <v>170</v>
      </c>
      <c r="AD542" s="12"/>
      <c r="AE542" s="12"/>
      <c r="AF542" s="12">
        <v>88</v>
      </c>
      <c r="AG542" s="12">
        <v>24</v>
      </c>
      <c r="AH542" s="12">
        <v>249</v>
      </c>
      <c r="AI542" s="12"/>
      <c r="AJ542" s="12"/>
      <c r="AK542" s="12"/>
      <c r="AL542" s="12" t="str">
        <f>IF(AF542="", "mean", "med")</f>
        <v>med</v>
      </c>
      <c r="AM542" s="12">
        <f>IF(AF542="", AD542, AF542)</f>
        <v>88</v>
      </c>
      <c r="AN542" s="12">
        <f>IF(AO542="", 0, 1)</f>
        <v>1</v>
      </c>
      <c r="AO542" s="12">
        <v>170</v>
      </c>
      <c r="AP542" s="12"/>
      <c r="AQ542" s="12"/>
      <c r="AR542" s="12">
        <v>16</v>
      </c>
      <c r="AS542" s="12">
        <v>1</v>
      </c>
      <c r="AT542" s="12">
        <v>89</v>
      </c>
      <c r="AU542" s="12"/>
      <c r="AV542" s="12"/>
      <c r="AW542" s="12"/>
      <c r="AX542" s="12" t="str">
        <f>IF(AR542="", "mean", "med")</f>
        <v>med</v>
      </c>
      <c r="AY542" s="12">
        <f>IF(AR542="", AP542, AR542)</f>
        <v>16</v>
      </c>
      <c r="AZ542" s="12" t="s">
        <v>52</v>
      </c>
      <c r="BA542" s="12" t="str">
        <f>IF(AZ542="high","high","lower")</f>
        <v>high</v>
      </c>
      <c r="BB542" s="49">
        <v>0.90100000000000002</v>
      </c>
      <c r="BC542" s="12">
        <v>85.3</v>
      </c>
      <c r="BD542" s="12">
        <v>96.300000000000097</v>
      </c>
      <c r="BE542" s="12">
        <v>91.7</v>
      </c>
      <c r="BF542" s="12">
        <v>80</v>
      </c>
      <c r="BG542" s="18" t="s">
        <v>1030</v>
      </c>
      <c r="BH542" s="18" t="s">
        <v>1031</v>
      </c>
    </row>
    <row r="543" spans="1:60" ht="15.75" customHeight="1" x14ac:dyDescent="0.2">
      <c r="A543" s="11">
        <v>546</v>
      </c>
      <c r="B543" s="12">
        <v>4559</v>
      </c>
      <c r="C543" s="13" t="s">
        <v>700</v>
      </c>
      <c r="D543" s="31" t="s">
        <v>724</v>
      </c>
      <c r="E543" s="23">
        <v>2004</v>
      </c>
      <c r="F543" s="23">
        <v>2011</v>
      </c>
      <c r="G543" s="13" t="s">
        <v>77</v>
      </c>
      <c r="H543" s="13"/>
      <c r="I543" s="13" t="s">
        <v>94</v>
      </c>
      <c r="J543" s="31" t="s">
        <v>725</v>
      </c>
      <c r="K543" s="31"/>
      <c r="L543" s="15" t="s">
        <v>41</v>
      </c>
      <c r="M543" s="16" t="s">
        <v>41</v>
      </c>
      <c r="N543" s="13" t="s">
        <v>50</v>
      </c>
      <c r="O543" s="13"/>
      <c r="P543" s="12">
        <f>IF(Q543="", 0, 1)</f>
        <v>0</v>
      </c>
      <c r="Q543" s="15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2">
        <f>IF(AC543="", 0, 1)</f>
        <v>1</v>
      </c>
      <c r="AC543" s="13">
        <v>23</v>
      </c>
      <c r="AD543" s="12"/>
      <c r="AE543" s="12"/>
      <c r="AF543" s="12">
        <v>93</v>
      </c>
      <c r="AG543" s="12">
        <v>25</v>
      </c>
      <c r="AH543" s="12">
        <v>320</v>
      </c>
      <c r="AI543" s="12"/>
      <c r="AJ543" s="12"/>
      <c r="AK543" s="12"/>
      <c r="AL543" s="12" t="str">
        <f>IF(AF543="", "mean", "med")</f>
        <v>med</v>
      </c>
      <c r="AM543" s="12">
        <f>IF(AF543="", AD543, AF543)</f>
        <v>93</v>
      </c>
      <c r="AN543" s="12">
        <f>IF(AO543="", 0, 1)</f>
        <v>1</v>
      </c>
      <c r="AO543" s="12">
        <v>23</v>
      </c>
      <c r="AP543" s="12"/>
      <c r="AQ543" s="12"/>
      <c r="AR543" s="12">
        <v>5</v>
      </c>
      <c r="AS543" s="12">
        <v>1</v>
      </c>
      <c r="AT543" s="12">
        <v>66</v>
      </c>
      <c r="AU543" s="12"/>
      <c r="AV543" s="12"/>
      <c r="AW543" s="12"/>
      <c r="AX543" s="12" t="str">
        <f>IF(AR543="", "mean", "med")</f>
        <v>med</v>
      </c>
      <c r="AY543" s="12">
        <f>IF(AR543="", AP543, AR543)</f>
        <v>5</v>
      </c>
      <c r="AZ543" s="12" t="s">
        <v>52</v>
      </c>
      <c r="BA543" s="12" t="str">
        <f>IF(AZ543="high","high","lower")</f>
        <v>high</v>
      </c>
      <c r="BB543" s="49">
        <v>0.90100000000000002</v>
      </c>
      <c r="BC543" s="12">
        <v>85.3</v>
      </c>
      <c r="BD543" s="12">
        <v>96.300000000000097</v>
      </c>
      <c r="BE543" s="12">
        <v>91.7</v>
      </c>
      <c r="BF543" s="12">
        <v>80</v>
      </c>
      <c r="BG543" s="18" t="s">
        <v>1030</v>
      </c>
      <c r="BH543" s="18" t="s">
        <v>1031</v>
      </c>
    </row>
    <row r="544" spans="1:60" ht="15.75" customHeight="1" x14ac:dyDescent="0.2">
      <c r="A544" s="11">
        <v>547</v>
      </c>
      <c r="B544" s="22">
        <v>4559</v>
      </c>
      <c r="C544" s="13" t="s">
        <v>700</v>
      </c>
      <c r="D544" s="13" t="s">
        <v>255</v>
      </c>
      <c r="E544" s="23">
        <v>2004</v>
      </c>
      <c r="F544" s="23">
        <v>2011</v>
      </c>
      <c r="G544" s="13" t="s">
        <v>77</v>
      </c>
      <c r="H544" s="13"/>
      <c r="I544" s="13" t="s">
        <v>94</v>
      </c>
      <c r="J544" s="13" t="s">
        <v>255</v>
      </c>
      <c r="K544" s="13"/>
      <c r="L544" s="15" t="s">
        <v>41</v>
      </c>
      <c r="M544" s="16" t="s">
        <v>41</v>
      </c>
      <c r="N544" s="13" t="s">
        <v>50</v>
      </c>
      <c r="O544" s="13"/>
      <c r="P544" s="12">
        <f>IF(Q544="", 0, 1)</f>
        <v>0</v>
      </c>
      <c r="Q544" s="15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2">
        <f>IF(AC544="", 0, 1)</f>
        <v>1</v>
      </c>
      <c r="AC544" s="13">
        <v>341</v>
      </c>
      <c r="AD544" s="12"/>
      <c r="AE544" s="12"/>
      <c r="AF544" s="12">
        <v>83</v>
      </c>
      <c r="AG544" s="12">
        <v>34</v>
      </c>
      <c r="AH544" s="12">
        <v>167</v>
      </c>
      <c r="AI544" s="12"/>
      <c r="AJ544" s="12"/>
      <c r="AK544" s="12"/>
      <c r="AL544" s="12" t="str">
        <f>IF(AF544="", "mean", "med")</f>
        <v>med</v>
      </c>
      <c r="AM544" s="12">
        <f>IF(AF544="", AD544, AF544)</f>
        <v>83</v>
      </c>
      <c r="AN544" s="12">
        <f>IF(AO544="", 0, 1)</f>
        <v>1</v>
      </c>
      <c r="AO544" s="12">
        <v>341</v>
      </c>
      <c r="AP544" s="12"/>
      <c r="AQ544" s="12"/>
      <c r="AR544" s="12">
        <v>31</v>
      </c>
      <c r="AS544" s="12">
        <v>1</v>
      </c>
      <c r="AT544" s="12">
        <v>122</v>
      </c>
      <c r="AU544" s="12"/>
      <c r="AV544" s="12"/>
      <c r="AW544" s="12"/>
      <c r="AX544" s="12" t="str">
        <f>IF(AR544="", "mean", "med")</f>
        <v>med</v>
      </c>
      <c r="AY544" s="12">
        <f>IF(AR544="", AP544, AR544)</f>
        <v>31</v>
      </c>
      <c r="AZ544" s="12" t="s">
        <v>52</v>
      </c>
      <c r="BA544" s="12" t="str">
        <f>IF(AZ544="high","high","lower")</f>
        <v>high</v>
      </c>
      <c r="BB544" s="49">
        <v>0.90100000000000002</v>
      </c>
      <c r="BC544" s="12">
        <v>85.3</v>
      </c>
      <c r="BD544" s="12">
        <v>96.300000000000097</v>
      </c>
      <c r="BE544" s="12">
        <v>91.7</v>
      </c>
      <c r="BF544" s="12">
        <v>80</v>
      </c>
      <c r="BG544" s="18" t="s">
        <v>1030</v>
      </c>
      <c r="BH544" s="18" t="s">
        <v>1031</v>
      </c>
    </row>
    <row r="545" spans="1:60" ht="15.75" customHeight="1" x14ac:dyDescent="0.2">
      <c r="A545" s="11">
        <v>548</v>
      </c>
      <c r="B545" s="12">
        <v>4559</v>
      </c>
      <c r="C545" s="13" t="s">
        <v>700</v>
      </c>
      <c r="D545" s="31" t="s">
        <v>726</v>
      </c>
      <c r="E545" s="23">
        <v>2004</v>
      </c>
      <c r="F545" s="23">
        <v>2011</v>
      </c>
      <c r="G545" s="13" t="s">
        <v>77</v>
      </c>
      <c r="H545" s="13"/>
      <c r="I545" s="13" t="s">
        <v>94</v>
      </c>
      <c r="J545" s="31" t="s">
        <v>727</v>
      </c>
      <c r="K545" s="31" t="s">
        <v>728</v>
      </c>
      <c r="L545" s="15" t="s">
        <v>41</v>
      </c>
      <c r="M545" s="16" t="s">
        <v>41</v>
      </c>
      <c r="N545" s="13" t="s">
        <v>50</v>
      </c>
      <c r="O545" s="13"/>
      <c r="P545" s="12">
        <f>IF(Q545="", 0, 1)</f>
        <v>0</v>
      </c>
      <c r="Q545" s="19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2">
        <f>IF(AC545="", 0, 1)</f>
        <v>1</v>
      </c>
      <c r="AC545" s="13">
        <v>23</v>
      </c>
      <c r="AD545" s="12"/>
      <c r="AE545" s="12"/>
      <c r="AF545" s="12">
        <v>128</v>
      </c>
      <c r="AG545" s="12">
        <v>27</v>
      </c>
      <c r="AH545" s="12">
        <v>840</v>
      </c>
      <c r="AI545" s="12"/>
      <c r="AJ545" s="12"/>
      <c r="AK545" s="12"/>
      <c r="AL545" s="12" t="str">
        <f>IF(AF545="", "mean", "med")</f>
        <v>med</v>
      </c>
      <c r="AM545" s="12">
        <f>IF(AF545="", AD545, AF545)</f>
        <v>128</v>
      </c>
      <c r="AN545" s="12">
        <f>IF(AO545="", 0, 1)</f>
        <v>1</v>
      </c>
      <c r="AO545" s="12">
        <v>23</v>
      </c>
      <c r="AP545" s="12"/>
      <c r="AQ545" s="12"/>
      <c r="AR545" s="12">
        <v>31</v>
      </c>
      <c r="AS545" s="12">
        <v>16</v>
      </c>
      <c r="AT545" s="12">
        <v>308</v>
      </c>
      <c r="AU545" s="12"/>
      <c r="AV545" s="12"/>
      <c r="AW545" s="12"/>
      <c r="AX545" s="12" t="str">
        <f>IF(AR545="", "mean", "med")</f>
        <v>med</v>
      </c>
      <c r="AY545" s="12">
        <f>IF(AR545="", AP545, AR545)</f>
        <v>31</v>
      </c>
      <c r="AZ545" s="12" t="s">
        <v>52</v>
      </c>
      <c r="BA545" s="12" t="str">
        <f>IF(AZ545="high","high","lower")</f>
        <v>high</v>
      </c>
      <c r="BB545" s="49">
        <v>0.90100000000000002</v>
      </c>
      <c r="BC545" s="12">
        <v>85.3</v>
      </c>
      <c r="BD545" s="12">
        <v>96.300000000000196</v>
      </c>
      <c r="BE545" s="12">
        <v>91.7</v>
      </c>
      <c r="BF545" s="12">
        <v>80</v>
      </c>
      <c r="BG545" s="18" t="s">
        <v>1030</v>
      </c>
      <c r="BH545" s="18" t="s">
        <v>1031</v>
      </c>
    </row>
    <row r="546" spans="1:60" ht="15.75" customHeight="1" x14ac:dyDescent="0.2">
      <c r="A546" s="11">
        <v>549</v>
      </c>
      <c r="B546" s="12">
        <v>4559</v>
      </c>
      <c r="C546" s="13" t="s">
        <v>700</v>
      </c>
      <c r="D546" s="31" t="s">
        <v>729</v>
      </c>
      <c r="E546" s="23">
        <v>2004</v>
      </c>
      <c r="F546" s="23">
        <v>2011</v>
      </c>
      <c r="G546" s="13" t="s">
        <v>77</v>
      </c>
      <c r="H546" s="13"/>
      <c r="I546" s="13" t="s">
        <v>94</v>
      </c>
      <c r="J546" s="31" t="s">
        <v>727</v>
      </c>
      <c r="K546" s="31"/>
      <c r="L546" s="15" t="s">
        <v>41</v>
      </c>
      <c r="M546" s="16" t="s">
        <v>41</v>
      </c>
      <c r="N546" s="13" t="s">
        <v>50</v>
      </c>
      <c r="O546" s="14"/>
      <c r="P546" s="12">
        <f>IF(Q546="", 0, 1)</f>
        <v>0</v>
      </c>
      <c r="Q546" s="15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2">
        <f>IF(AC546="", 0, 1)</f>
        <v>1</v>
      </c>
      <c r="AC546" s="13">
        <v>225</v>
      </c>
      <c r="AD546" s="12"/>
      <c r="AE546" s="12"/>
      <c r="AF546" s="12">
        <v>77</v>
      </c>
      <c r="AG546" s="12">
        <v>27</v>
      </c>
      <c r="AH546" s="12">
        <v>239</v>
      </c>
      <c r="AI546" s="12"/>
      <c r="AJ546" s="12"/>
      <c r="AK546" s="12"/>
      <c r="AL546" s="12" t="str">
        <f>IF(AF546="", "mean", "med")</f>
        <v>med</v>
      </c>
      <c r="AM546" s="12">
        <f>IF(AF546="", AD546, AF546)</f>
        <v>77</v>
      </c>
      <c r="AN546" s="12">
        <f>IF(AO546="", 0, 1)</f>
        <v>1</v>
      </c>
      <c r="AO546" s="12">
        <v>225</v>
      </c>
      <c r="AP546" s="12"/>
      <c r="AQ546" s="12"/>
      <c r="AR546" s="12">
        <v>31</v>
      </c>
      <c r="AS546" s="12">
        <v>1</v>
      </c>
      <c r="AT546" s="12">
        <v>168</v>
      </c>
      <c r="AU546" s="12"/>
      <c r="AV546" s="12"/>
      <c r="AW546" s="12"/>
      <c r="AX546" s="12" t="str">
        <f>IF(AR546="", "mean", "med")</f>
        <v>med</v>
      </c>
      <c r="AY546" s="12">
        <f>IF(AR546="", AP546, AR546)</f>
        <v>31</v>
      </c>
      <c r="AZ546" s="12" t="s">
        <v>52</v>
      </c>
      <c r="BA546" s="12" t="str">
        <f>IF(AZ546="high","high","lower")</f>
        <v>high</v>
      </c>
      <c r="BB546" s="49">
        <v>0.90100000000000002</v>
      </c>
      <c r="BC546" s="12">
        <v>85.3</v>
      </c>
      <c r="BD546" s="12">
        <v>96.300000000000196</v>
      </c>
      <c r="BE546" s="12">
        <v>91.699999999999903</v>
      </c>
      <c r="BF546" s="12">
        <v>80</v>
      </c>
      <c r="BG546" s="18" t="s">
        <v>1030</v>
      </c>
      <c r="BH546" s="18" t="s">
        <v>1031</v>
      </c>
    </row>
    <row r="547" spans="1:60" ht="15.75" customHeight="1" x14ac:dyDescent="0.2">
      <c r="A547" s="11">
        <v>550</v>
      </c>
      <c r="B547" s="22">
        <v>4842</v>
      </c>
      <c r="C547" s="13" t="s">
        <v>730</v>
      </c>
      <c r="D547" s="13" t="s">
        <v>38</v>
      </c>
      <c r="E547" s="23">
        <v>2003</v>
      </c>
      <c r="F547" s="23">
        <v>2009</v>
      </c>
      <c r="G547" s="13" t="s">
        <v>370</v>
      </c>
      <c r="H547" s="13"/>
      <c r="I547" s="31" t="s">
        <v>467</v>
      </c>
      <c r="J547" s="13" t="s">
        <v>731</v>
      </c>
      <c r="K547" s="13"/>
      <c r="L547" s="15">
        <f>(16/33)*100</f>
        <v>48.484848484848484</v>
      </c>
      <c r="M547" s="16">
        <v>66</v>
      </c>
      <c r="N547" s="13" t="s">
        <v>42</v>
      </c>
      <c r="O547" s="13"/>
      <c r="P547" s="12">
        <f>IF(Q547="", 0, 1)</f>
        <v>0</v>
      </c>
      <c r="Q547" s="12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2">
        <f>IF(AC547="", 0, 1)</f>
        <v>0</v>
      </c>
      <c r="AC547" s="13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>
        <f>IF(AO547="", 0, 1)</f>
        <v>1</v>
      </c>
      <c r="AO547" s="12">
        <v>33</v>
      </c>
      <c r="AP547" s="12"/>
      <c r="AQ547" s="12"/>
      <c r="AR547" s="12">
        <v>23</v>
      </c>
      <c r="AS547" s="12"/>
      <c r="AT547" s="12"/>
      <c r="AU547" s="12"/>
      <c r="AV547" s="12">
        <v>0</v>
      </c>
      <c r="AW547" s="12">
        <f>17*30</f>
        <v>510</v>
      </c>
      <c r="AX547" s="12" t="str">
        <f>IF(AR547="", "mean", "med")</f>
        <v>med</v>
      </c>
      <c r="AY547" s="12">
        <f>IF(AR547="", AP547, AR547)</f>
        <v>23</v>
      </c>
      <c r="AZ547" s="12" t="s">
        <v>52</v>
      </c>
      <c r="BA547" s="12" t="str">
        <f>IF(AZ547="high","high","lower")</f>
        <v>high</v>
      </c>
      <c r="BB547" s="49">
        <v>0.90700000000000003</v>
      </c>
      <c r="BC547" s="12">
        <v>82.5</v>
      </c>
      <c r="BD547" s="12">
        <v>77.3</v>
      </c>
      <c r="BE547" s="12">
        <v>83.3</v>
      </c>
      <c r="BF547" s="12">
        <v>85.6</v>
      </c>
      <c r="BG547" s="18" t="s">
        <v>1030</v>
      </c>
      <c r="BH547" s="18" t="s">
        <v>1031</v>
      </c>
    </row>
    <row r="548" spans="1:60" ht="15.75" customHeight="1" x14ac:dyDescent="0.2">
      <c r="A548" s="11">
        <v>551</v>
      </c>
      <c r="B548" s="22">
        <v>5225</v>
      </c>
      <c r="C548" s="13" t="s">
        <v>732</v>
      </c>
      <c r="D548" s="14" t="s">
        <v>38</v>
      </c>
      <c r="E548" s="23">
        <v>2000</v>
      </c>
      <c r="F548" s="23">
        <v>2009</v>
      </c>
      <c r="G548" s="13" t="s">
        <v>49</v>
      </c>
      <c r="H548" s="13"/>
      <c r="I548" s="13" t="s">
        <v>79</v>
      </c>
      <c r="J548" s="13" t="s">
        <v>79</v>
      </c>
      <c r="K548" s="13"/>
      <c r="L548" s="15">
        <v>1.5</v>
      </c>
      <c r="M548" s="16">
        <v>59.4</v>
      </c>
      <c r="N548" s="13" t="s">
        <v>42</v>
      </c>
      <c r="O548" s="14" t="s">
        <v>733</v>
      </c>
      <c r="P548" s="12">
        <f>IF(Q548="", 0, 1)</f>
        <v>1</v>
      </c>
      <c r="Q548" s="15">
        <v>135</v>
      </c>
      <c r="R548" s="17"/>
      <c r="S548" s="17"/>
      <c r="T548" s="17">
        <v>44</v>
      </c>
      <c r="U548" s="17">
        <v>6</v>
      </c>
      <c r="V548" s="17">
        <v>180</v>
      </c>
      <c r="W548" s="17"/>
      <c r="X548" s="17"/>
      <c r="Y548" s="17"/>
      <c r="Z548" s="17" t="str">
        <f>IF(T548="", "mean", "med")</f>
        <v>med</v>
      </c>
      <c r="AA548" s="17">
        <f>IF(T548="", R548, T548)</f>
        <v>44</v>
      </c>
      <c r="AB548" s="12">
        <f>IF(AC548="", 0, 1)</f>
        <v>0</v>
      </c>
      <c r="AC548" s="13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>
        <f>IF(AO548="", 0, 1)</f>
        <v>0</v>
      </c>
      <c r="AO548" s="12"/>
      <c r="AP548" s="12"/>
      <c r="AQ548" s="12"/>
      <c r="AR548" s="12"/>
      <c r="AS548" s="12"/>
      <c r="AT548" s="12"/>
      <c r="AU548" s="12"/>
      <c r="AV548" s="12"/>
      <c r="AW548" s="49"/>
      <c r="AX548" s="12"/>
      <c r="AY548" s="12"/>
      <c r="AZ548" s="12" t="s">
        <v>52</v>
      </c>
      <c r="BA548" s="12" t="str">
        <f>IF(AZ548="high","high","lower")</f>
        <v>high</v>
      </c>
      <c r="BB548" s="49">
        <v>0.89900000000000002</v>
      </c>
      <c r="BC548" s="12">
        <v>84</v>
      </c>
      <c r="BD548" s="12">
        <v>88</v>
      </c>
      <c r="BE548" s="12">
        <v>100</v>
      </c>
      <c r="BF548" s="12">
        <v>84.2</v>
      </c>
      <c r="BG548" s="18" t="s">
        <v>1030</v>
      </c>
      <c r="BH548" s="18" t="s">
        <v>1031</v>
      </c>
    </row>
    <row r="549" spans="1:60" ht="15.75" customHeight="1" x14ac:dyDescent="0.2">
      <c r="A549" s="11">
        <v>552</v>
      </c>
      <c r="B549" s="22">
        <v>5898</v>
      </c>
      <c r="C549" s="13" t="s">
        <v>734</v>
      </c>
      <c r="D549" s="13" t="s">
        <v>735</v>
      </c>
      <c r="E549" s="23">
        <v>2007</v>
      </c>
      <c r="F549" s="23">
        <v>2011</v>
      </c>
      <c r="G549" s="13" t="s">
        <v>49</v>
      </c>
      <c r="H549" s="13"/>
      <c r="I549" s="13" t="s">
        <v>40</v>
      </c>
      <c r="J549" s="13" t="s">
        <v>40</v>
      </c>
      <c r="K549" s="13"/>
      <c r="L549" s="15">
        <v>100</v>
      </c>
      <c r="M549" s="16">
        <v>55.4</v>
      </c>
      <c r="N549" s="13" t="s">
        <v>42</v>
      </c>
      <c r="O549" s="14" t="s">
        <v>736</v>
      </c>
      <c r="P549" s="12">
        <f>IF(Q549="", 0, 1)</f>
        <v>1</v>
      </c>
      <c r="Q549" s="19">
        <v>240</v>
      </c>
      <c r="R549" s="21">
        <v>34.5</v>
      </c>
      <c r="S549" s="17">
        <v>36.1</v>
      </c>
      <c r="T549" s="17">
        <v>29</v>
      </c>
      <c r="U549" s="17">
        <v>8</v>
      </c>
      <c r="V549" s="17">
        <v>51</v>
      </c>
      <c r="W549" s="17"/>
      <c r="X549" s="17"/>
      <c r="Y549" s="17"/>
      <c r="Z549" s="17" t="str">
        <f>IF(T549="", "mean", "med")</f>
        <v>med</v>
      </c>
      <c r="AA549" s="17">
        <f>IF(T549="", R549, T549)</f>
        <v>29</v>
      </c>
      <c r="AB549" s="12">
        <f>IF(AC549="", 0, 1)</f>
        <v>0</v>
      </c>
      <c r="AC549" s="13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>
        <f>IF(AO549="", 0, 1)</f>
        <v>0</v>
      </c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 t="s">
        <v>52</v>
      </c>
      <c r="BA549" s="12" t="str">
        <f>IF(AZ549="high","high","lower")</f>
        <v>high</v>
      </c>
      <c r="BB549" s="49">
        <v>0.91300000000000003</v>
      </c>
      <c r="BC549" s="12">
        <v>84</v>
      </c>
      <c r="BD549" s="12">
        <v>88</v>
      </c>
      <c r="BE549" s="12">
        <v>100</v>
      </c>
      <c r="BF549" s="12">
        <v>84.2</v>
      </c>
      <c r="BG549" s="18" t="s">
        <v>1030</v>
      </c>
      <c r="BH549" s="18" t="s">
        <v>1031</v>
      </c>
    </row>
    <row r="550" spans="1:60" ht="15.75" customHeight="1" x14ac:dyDescent="0.2">
      <c r="A550" s="11">
        <v>553</v>
      </c>
      <c r="B550" s="22">
        <v>5898</v>
      </c>
      <c r="C550" s="13" t="s">
        <v>734</v>
      </c>
      <c r="D550" s="13" t="s">
        <v>270</v>
      </c>
      <c r="E550" s="23">
        <v>2007</v>
      </c>
      <c r="F550" s="23">
        <v>2011</v>
      </c>
      <c r="G550" s="13" t="s">
        <v>49</v>
      </c>
      <c r="H550" s="13"/>
      <c r="I550" s="13" t="s">
        <v>40</v>
      </c>
      <c r="J550" s="13" t="s">
        <v>40</v>
      </c>
      <c r="K550" s="13"/>
      <c r="L550" s="15">
        <v>100</v>
      </c>
      <c r="M550" s="16">
        <v>57.7</v>
      </c>
      <c r="N550" s="13" t="s">
        <v>42</v>
      </c>
      <c r="O550" s="14" t="s">
        <v>736</v>
      </c>
      <c r="P550" s="12">
        <f>IF(Q550="", 0, 1)</f>
        <v>1</v>
      </c>
      <c r="Q550" s="15">
        <v>185</v>
      </c>
      <c r="R550" s="17">
        <v>37.299999999999997</v>
      </c>
      <c r="S550" s="17">
        <v>30.8</v>
      </c>
      <c r="T550" s="17">
        <v>34</v>
      </c>
      <c r="U550" s="17">
        <v>16</v>
      </c>
      <c r="V550" s="17">
        <v>61</v>
      </c>
      <c r="W550" s="17"/>
      <c r="X550" s="17"/>
      <c r="Y550" s="17"/>
      <c r="Z550" s="17" t="str">
        <f>IF(T550="", "mean", "med")</f>
        <v>med</v>
      </c>
      <c r="AA550" s="17">
        <f>IF(T550="", R550, T550)</f>
        <v>34</v>
      </c>
      <c r="AB550" s="12">
        <f>IF(AC550="", 0, 1)</f>
        <v>0</v>
      </c>
      <c r="AC550" s="13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>
        <f>IF(AO550="", 0, 1)</f>
        <v>0</v>
      </c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 t="s">
        <v>52</v>
      </c>
      <c r="BA550" s="12" t="str">
        <f>IF(AZ550="high","high","lower")</f>
        <v>high</v>
      </c>
      <c r="BB550" s="49">
        <v>0.91300000000000003</v>
      </c>
      <c r="BC550" s="12">
        <v>84</v>
      </c>
      <c r="BD550" s="12">
        <v>88</v>
      </c>
      <c r="BE550" s="12">
        <v>100</v>
      </c>
      <c r="BF550" s="12">
        <v>84.2</v>
      </c>
      <c r="BG550" s="18" t="s">
        <v>1030</v>
      </c>
      <c r="BH550" s="18" t="s">
        <v>1031</v>
      </c>
    </row>
    <row r="551" spans="1:60" ht="15.75" customHeight="1" x14ac:dyDescent="0.2">
      <c r="A551" s="11">
        <v>554</v>
      </c>
      <c r="B551" s="12">
        <v>5898</v>
      </c>
      <c r="C551" s="13" t="s">
        <v>734</v>
      </c>
      <c r="D551" s="13" t="s">
        <v>272</v>
      </c>
      <c r="E551" s="23">
        <v>2007</v>
      </c>
      <c r="F551" s="23">
        <v>2011</v>
      </c>
      <c r="G551" s="13" t="s">
        <v>49</v>
      </c>
      <c r="H551" s="13"/>
      <c r="I551" s="13" t="s">
        <v>40</v>
      </c>
      <c r="J551" s="13" t="s">
        <v>40</v>
      </c>
      <c r="K551" s="13"/>
      <c r="L551" s="19">
        <v>100</v>
      </c>
      <c r="M551" s="20">
        <v>59.7</v>
      </c>
      <c r="N551" s="13" t="s">
        <v>42</v>
      </c>
      <c r="O551" s="14" t="s">
        <v>736</v>
      </c>
      <c r="P551" s="12">
        <f>IF(Q551="", 0, 1)</f>
        <v>1</v>
      </c>
      <c r="Q551" s="19">
        <v>2446</v>
      </c>
      <c r="R551" s="21">
        <v>31.8</v>
      </c>
      <c r="S551" s="21">
        <v>30.5</v>
      </c>
      <c r="T551" s="17">
        <v>28</v>
      </c>
      <c r="U551" s="17">
        <v>12</v>
      </c>
      <c r="V551" s="17">
        <v>48</v>
      </c>
      <c r="W551" s="17"/>
      <c r="X551" s="17"/>
      <c r="Y551" s="17"/>
      <c r="Z551" s="17" t="str">
        <f>IF(T551="", "mean", "med")</f>
        <v>med</v>
      </c>
      <c r="AA551" s="17">
        <f>IF(T551="", R551, T551)</f>
        <v>28</v>
      </c>
      <c r="AB551" s="12">
        <f>IF(AC551="", 0, 1)</f>
        <v>0</v>
      </c>
      <c r="AC551" s="13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>
        <f>IF(AO551="", 0, 1)</f>
        <v>0</v>
      </c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 t="s">
        <v>52</v>
      </c>
      <c r="BA551" s="12" t="str">
        <f>IF(AZ551="high","high","lower")</f>
        <v>high</v>
      </c>
      <c r="BB551" s="49">
        <v>0.91300000000000003</v>
      </c>
      <c r="BC551" s="12">
        <v>84</v>
      </c>
      <c r="BD551" s="12">
        <v>88</v>
      </c>
      <c r="BE551" s="12">
        <v>100</v>
      </c>
      <c r="BF551" s="12">
        <v>84.2</v>
      </c>
      <c r="BG551" s="18" t="s">
        <v>1030</v>
      </c>
      <c r="BH551" s="18" t="s">
        <v>1031</v>
      </c>
    </row>
    <row r="552" spans="1:60" ht="15.75" customHeight="1" x14ac:dyDescent="0.2">
      <c r="A552" s="11">
        <v>555</v>
      </c>
      <c r="B552" s="12">
        <v>6004</v>
      </c>
      <c r="C552" s="13" t="s">
        <v>737</v>
      </c>
      <c r="D552" s="13" t="s">
        <v>38</v>
      </c>
      <c r="E552" s="23">
        <v>2010</v>
      </c>
      <c r="F552" s="23">
        <v>2011</v>
      </c>
      <c r="G552" s="13" t="s">
        <v>93</v>
      </c>
      <c r="H552" s="13"/>
      <c r="I552" s="31" t="s">
        <v>104</v>
      </c>
      <c r="J552" s="13" t="s">
        <v>105</v>
      </c>
      <c r="K552" s="13"/>
      <c r="L552" s="15">
        <v>100</v>
      </c>
      <c r="M552" s="16" t="s">
        <v>41</v>
      </c>
      <c r="N552" s="13" t="s">
        <v>50</v>
      </c>
      <c r="O552" s="14" t="s">
        <v>142</v>
      </c>
      <c r="P552" s="12">
        <f>IF(Q552="", 0, 1)</f>
        <v>1</v>
      </c>
      <c r="Q552" s="22">
        <v>81</v>
      </c>
      <c r="R552" s="21">
        <v>119</v>
      </c>
      <c r="S552" s="21">
        <v>39</v>
      </c>
      <c r="T552" s="17">
        <v>108</v>
      </c>
      <c r="U552" s="17"/>
      <c r="V552" s="17"/>
      <c r="W552" s="17"/>
      <c r="X552" s="17">
        <v>65</v>
      </c>
      <c r="Y552" s="17">
        <v>324</v>
      </c>
      <c r="Z552" s="17" t="str">
        <f>IF(T552="", "mean", "med")</f>
        <v>med</v>
      </c>
      <c r="AA552" s="17">
        <f>IF(T552="", R552, T552)</f>
        <v>108</v>
      </c>
      <c r="AB552" s="12">
        <f>IF(AC552="", 0, 1)</f>
        <v>0</v>
      </c>
      <c r="AC552" s="13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>
        <f>IF(AO552="", 0, 1)</f>
        <v>0</v>
      </c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 t="s">
        <v>43</v>
      </c>
      <c r="BA552" s="12" t="str">
        <f>IF(AZ552="high","high","lower")</f>
        <v>lower</v>
      </c>
      <c r="BB552" s="49">
        <v>0.66500000000000004</v>
      </c>
      <c r="BC552" s="12">
        <v>61.2</v>
      </c>
      <c r="BD552" s="12">
        <v>72.2</v>
      </c>
      <c r="BE552" s="12">
        <v>66.7</v>
      </c>
      <c r="BF552" s="12">
        <v>56.7</v>
      </c>
      <c r="BG552" s="18" t="s">
        <v>1032</v>
      </c>
      <c r="BH552" s="18" t="s">
        <v>1033</v>
      </c>
    </row>
    <row r="553" spans="1:60" ht="15.75" customHeight="1" x14ac:dyDescent="0.2">
      <c r="A553" s="11">
        <v>556</v>
      </c>
      <c r="B553" s="12">
        <v>6213</v>
      </c>
      <c r="C553" s="13" t="s">
        <v>452</v>
      </c>
      <c r="D553" s="13" t="s">
        <v>38</v>
      </c>
      <c r="E553" s="23">
        <v>2009</v>
      </c>
      <c r="F553" s="23">
        <v>2009</v>
      </c>
      <c r="G553" s="13" t="s">
        <v>264</v>
      </c>
      <c r="H553" s="13"/>
      <c r="I553" s="13" t="s">
        <v>57</v>
      </c>
      <c r="J553" s="42" t="s">
        <v>58</v>
      </c>
      <c r="K553" s="42"/>
      <c r="L553" s="15">
        <v>34.9</v>
      </c>
      <c r="M553" s="16">
        <v>59</v>
      </c>
      <c r="N553" s="13" t="s">
        <v>42</v>
      </c>
      <c r="O553" s="14"/>
      <c r="P553" s="12">
        <f>IF(Q553="", 0, 1)</f>
        <v>0</v>
      </c>
      <c r="Q553" s="12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2">
        <f>IF(AC553="", 0, 1)</f>
        <v>0</v>
      </c>
      <c r="AC553" s="13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>
        <f>IF(AO553="", 0, 1)</f>
        <v>1</v>
      </c>
      <c r="AO553" s="12">
        <v>539</v>
      </c>
      <c r="AP553" s="12">
        <f>2.36*30</f>
        <v>70.8</v>
      </c>
      <c r="AQ553" s="12"/>
      <c r="AR553" s="12">
        <v>60</v>
      </c>
      <c r="AS553" s="12"/>
      <c r="AT553" s="12"/>
      <c r="AU553" s="12"/>
      <c r="AV553" s="12">
        <v>3</v>
      </c>
      <c r="AW553" s="12">
        <v>720</v>
      </c>
      <c r="AX553" s="12" t="str">
        <f>IF(AR553="", "mean", "med")</f>
        <v>med</v>
      </c>
      <c r="AY553" s="12">
        <f>IF(AR553="", AP553, AR553)</f>
        <v>60</v>
      </c>
      <c r="AZ553" s="12" t="s">
        <v>46</v>
      </c>
      <c r="BA553" s="12" t="str">
        <f>IF(AZ553="high","high","lower")</f>
        <v>lower</v>
      </c>
      <c r="BB553" s="49">
        <v>0.68700000000000006</v>
      </c>
      <c r="BC553" s="12">
        <v>64.5</v>
      </c>
      <c r="BD553" s="12">
        <v>73.099999999999994</v>
      </c>
      <c r="BE553" s="12">
        <v>50</v>
      </c>
      <c r="BF553" s="12">
        <v>61.3</v>
      </c>
      <c r="BG553" s="18" t="s">
        <v>1032</v>
      </c>
      <c r="BH553" s="18" t="s">
        <v>1033</v>
      </c>
    </row>
    <row r="554" spans="1:60" ht="15.75" customHeight="1" x14ac:dyDescent="0.2">
      <c r="A554" s="11">
        <v>557</v>
      </c>
      <c r="B554" s="12">
        <v>6695</v>
      </c>
      <c r="C554" s="13" t="s">
        <v>738</v>
      </c>
      <c r="D554" s="13" t="s">
        <v>38</v>
      </c>
      <c r="E554" s="23">
        <v>2014</v>
      </c>
      <c r="F554" s="23">
        <v>2015</v>
      </c>
      <c r="G554" s="13" t="s">
        <v>205</v>
      </c>
      <c r="H554" s="13"/>
      <c r="I554" s="31" t="s">
        <v>467</v>
      </c>
      <c r="J554" s="13" t="s">
        <v>466</v>
      </c>
      <c r="K554" s="13"/>
      <c r="L554" s="15">
        <v>47.1</v>
      </c>
      <c r="M554" s="16">
        <v>55</v>
      </c>
      <c r="N554" s="13" t="s">
        <v>42</v>
      </c>
      <c r="O554" s="14"/>
      <c r="P554" s="12">
        <f>IF(Q554="", 0, 1)</f>
        <v>0</v>
      </c>
      <c r="Q554" s="15"/>
      <c r="R554" s="21"/>
      <c r="S554" s="17"/>
      <c r="T554" s="17"/>
      <c r="U554" s="17"/>
      <c r="V554" s="17"/>
      <c r="W554" s="17"/>
      <c r="X554" s="17"/>
      <c r="Y554" s="17"/>
      <c r="Z554" s="17"/>
      <c r="AA554" s="17"/>
      <c r="AB554" s="12">
        <f>IF(AC554="", 0, 1)</f>
        <v>1</v>
      </c>
      <c r="AC554" s="13">
        <v>102</v>
      </c>
      <c r="AD554" s="12"/>
      <c r="AE554" s="12"/>
      <c r="AF554" s="12">
        <v>65</v>
      </c>
      <c r="AG554" s="12">
        <v>42</v>
      </c>
      <c r="AH554" s="12">
        <v>133</v>
      </c>
      <c r="AI554" s="12"/>
      <c r="AJ554" s="12"/>
      <c r="AK554" s="12"/>
      <c r="AL554" s="12" t="str">
        <f>IF(AF554="", "mean", "med")</f>
        <v>med</v>
      </c>
      <c r="AM554" s="12">
        <f>IF(AF554="", AD554, AF554)</f>
        <v>65</v>
      </c>
      <c r="AN554" s="12">
        <f>IF(AO554="", 0, 1)</f>
        <v>1</v>
      </c>
      <c r="AO554" s="12">
        <v>102</v>
      </c>
      <c r="AP554" s="12"/>
      <c r="AQ554" s="12"/>
      <c r="AR554" s="12">
        <v>77</v>
      </c>
      <c r="AS554" s="12">
        <v>11</v>
      </c>
      <c r="AT554" s="12">
        <v>261</v>
      </c>
      <c r="AU554" s="12"/>
      <c r="AV554" s="12"/>
      <c r="AW554" s="12"/>
      <c r="AX554" s="12" t="str">
        <f>IF(AR554="", "mean", "med")</f>
        <v>med</v>
      </c>
      <c r="AY554" s="12">
        <f>IF(AR554="", AP554, AR554)</f>
        <v>77</v>
      </c>
      <c r="AZ554" s="49" t="s">
        <v>52</v>
      </c>
      <c r="BA554" s="49" t="str">
        <f>IF(AZ554="high","high","lower")</f>
        <v>high</v>
      </c>
      <c r="BB554" s="49">
        <v>0.93400000000000005</v>
      </c>
      <c r="BC554" s="49"/>
      <c r="BD554" s="49"/>
      <c r="BE554" s="49"/>
      <c r="BF554" s="49"/>
      <c r="BG554" s="18" t="s">
        <v>1034</v>
      </c>
      <c r="BH554" s="18" t="s">
        <v>1031</v>
      </c>
    </row>
    <row r="555" spans="1:60" ht="15.75" customHeight="1" x14ac:dyDescent="0.2">
      <c r="A555" s="11">
        <v>558</v>
      </c>
      <c r="B555" s="12">
        <v>6741</v>
      </c>
      <c r="C555" s="13" t="s">
        <v>739</v>
      </c>
      <c r="D555" s="13" t="s">
        <v>38</v>
      </c>
      <c r="E555" s="23">
        <v>2005</v>
      </c>
      <c r="F555" s="23">
        <v>2012</v>
      </c>
      <c r="G555" s="13" t="s">
        <v>49</v>
      </c>
      <c r="H555" s="13"/>
      <c r="I555" s="31" t="s">
        <v>104</v>
      </c>
      <c r="J555" s="13" t="s">
        <v>298</v>
      </c>
      <c r="K555" s="14"/>
      <c r="L555" s="15">
        <v>100</v>
      </c>
      <c r="M555" s="16">
        <v>62</v>
      </c>
      <c r="N555" s="14" t="s">
        <v>42</v>
      </c>
      <c r="O555" s="14" t="s">
        <v>609</v>
      </c>
      <c r="P555" s="12">
        <f>IF(Q555="", 0, 1)</f>
        <v>1</v>
      </c>
      <c r="Q555" s="15">
        <v>889</v>
      </c>
      <c r="R555" s="17">
        <v>47.9</v>
      </c>
      <c r="S555" s="17"/>
      <c r="T555" s="17"/>
      <c r="U555" s="17"/>
      <c r="V555" s="17"/>
      <c r="W555" s="17"/>
      <c r="X555" s="17">
        <v>0</v>
      </c>
      <c r="Y555" s="17">
        <v>363</v>
      </c>
      <c r="Z555" s="17" t="str">
        <f>IF(T555="", "mean", "med")</f>
        <v>mean</v>
      </c>
      <c r="AA555" s="17">
        <f>IF(T555="", R555, T555)</f>
        <v>47.9</v>
      </c>
      <c r="AB555" s="12">
        <f>IF(AC555="", 0, 1)</f>
        <v>0</v>
      </c>
      <c r="AC555" s="13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>
        <f>IF(AO555="", 0, 1)</f>
        <v>0</v>
      </c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 t="s">
        <v>52</v>
      </c>
      <c r="BA555" s="12" t="str">
        <f>IF(AZ555="high","high","lower")</f>
        <v>high</v>
      </c>
      <c r="BB555" s="49">
        <v>0.91200000000000003</v>
      </c>
      <c r="BC555" s="12">
        <v>84</v>
      </c>
      <c r="BD555" s="12">
        <v>88</v>
      </c>
      <c r="BE555" s="12">
        <v>100</v>
      </c>
      <c r="BF555" s="12">
        <v>84.2</v>
      </c>
      <c r="BG555" s="18" t="s">
        <v>1034</v>
      </c>
      <c r="BH555" s="18" t="s">
        <v>1031</v>
      </c>
    </row>
    <row r="556" spans="1:60" ht="15.75" customHeight="1" x14ac:dyDescent="0.2">
      <c r="A556" s="11">
        <v>559</v>
      </c>
      <c r="B556" s="12">
        <v>7126</v>
      </c>
      <c r="C556" s="13" t="s">
        <v>740</v>
      </c>
      <c r="D556" s="13" t="s">
        <v>741</v>
      </c>
      <c r="E556" s="23">
        <v>2006</v>
      </c>
      <c r="F556" s="23">
        <v>2015</v>
      </c>
      <c r="G556" s="13" t="s">
        <v>134</v>
      </c>
      <c r="H556" s="13"/>
      <c r="I556" s="13" t="s">
        <v>59</v>
      </c>
      <c r="J556" s="13" t="s">
        <v>60</v>
      </c>
      <c r="K556" s="13"/>
      <c r="L556" s="15">
        <v>0</v>
      </c>
      <c r="M556" s="16">
        <v>58.62</v>
      </c>
      <c r="N556" s="13" t="s">
        <v>42</v>
      </c>
      <c r="O556" s="13" t="s">
        <v>90</v>
      </c>
      <c r="P556" s="12">
        <f>IF(Q556="", 0, 1)</f>
        <v>1</v>
      </c>
      <c r="Q556" s="12">
        <v>240</v>
      </c>
      <c r="R556" s="17">
        <v>180.22</v>
      </c>
      <c r="S556" s="17"/>
      <c r="T556" s="17"/>
      <c r="U556" s="17"/>
      <c r="V556" s="17"/>
      <c r="W556" s="17"/>
      <c r="X556" s="17"/>
      <c r="Y556" s="17"/>
      <c r="Z556" s="17" t="str">
        <f>IF(T556="", "mean", "med")</f>
        <v>mean</v>
      </c>
      <c r="AA556" s="17">
        <f>IF(T556="", R556, T556)</f>
        <v>180.22</v>
      </c>
      <c r="AB556" s="12">
        <f>IF(AC556="", 0, 1)</f>
        <v>0</v>
      </c>
      <c r="AC556" s="13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>
        <f>IF(AO556="", 0, 1)</f>
        <v>0</v>
      </c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 t="s">
        <v>52</v>
      </c>
      <c r="BA556" s="12" t="str">
        <f>IF(AZ556="high","high","lower")</f>
        <v>high</v>
      </c>
      <c r="BB556" s="49">
        <v>0.90500000000000003</v>
      </c>
      <c r="BC556" s="12">
        <v>84.8</v>
      </c>
      <c r="BD556" s="12">
        <v>94</v>
      </c>
      <c r="BE556" s="12">
        <v>100</v>
      </c>
      <c r="BF556" s="12">
        <v>82.2</v>
      </c>
      <c r="BG556" s="18" t="s">
        <v>1032</v>
      </c>
      <c r="BH556" s="18" t="s">
        <v>1033</v>
      </c>
    </row>
    <row r="557" spans="1:60" ht="15.75" customHeight="1" x14ac:dyDescent="0.2">
      <c r="A557" s="11">
        <v>560</v>
      </c>
      <c r="B557" s="22">
        <v>7126</v>
      </c>
      <c r="C557" s="13" t="s">
        <v>740</v>
      </c>
      <c r="D557" s="13" t="s">
        <v>742</v>
      </c>
      <c r="E557" s="23">
        <v>2006</v>
      </c>
      <c r="F557" s="23">
        <v>2015</v>
      </c>
      <c r="G557" s="13" t="s">
        <v>134</v>
      </c>
      <c r="H557" s="13"/>
      <c r="I557" s="13" t="s">
        <v>59</v>
      </c>
      <c r="J557" s="13" t="s">
        <v>60</v>
      </c>
      <c r="K557" s="14"/>
      <c r="L557" s="15">
        <v>0</v>
      </c>
      <c r="M557" s="16">
        <v>61.18</v>
      </c>
      <c r="N557" s="13" t="s">
        <v>42</v>
      </c>
      <c r="O557" s="13" t="s">
        <v>90</v>
      </c>
      <c r="P557" s="12">
        <f>IF(Q557="", 0, 1)</f>
        <v>1</v>
      </c>
      <c r="Q557" s="12">
        <v>494</v>
      </c>
      <c r="R557" s="17">
        <v>159.13999999999999</v>
      </c>
      <c r="S557" s="17"/>
      <c r="T557" s="17"/>
      <c r="U557" s="17"/>
      <c r="V557" s="17"/>
      <c r="W557" s="17"/>
      <c r="X557" s="17"/>
      <c r="Y557" s="17"/>
      <c r="Z557" s="17" t="str">
        <f>IF(T557="", "mean", "med")</f>
        <v>mean</v>
      </c>
      <c r="AA557" s="17">
        <f>IF(T557="", R557, T557)</f>
        <v>159.13999999999999</v>
      </c>
      <c r="AB557" s="12">
        <f>IF(AC557="", 0, 1)</f>
        <v>0</v>
      </c>
      <c r="AC557" s="13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>
        <f>IF(AO557="", 0, 1)</f>
        <v>0</v>
      </c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 t="s">
        <v>52</v>
      </c>
      <c r="BA557" s="12" t="str">
        <f>IF(AZ557="high","high","lower")</f>
        <v>high</v>
      </c>
      <c r="BB557" s="49">
        <v>0.90500000000000003</v>
      </c>
      <c r="BC557" s="12">
        <v>84.8</v>
      </c>
      <c r="BD557" s="12">
        <v>94</v>
      </c>
      <c r="BE557" s="12">
        <v>100</v>
      </c>
      <c r="BF557" s="12">
        <v>82.2</v>
      </c>
      <c r="BG557" s="18" t="s">
        <v>1032</v>
      </c>
      <c r="BH557" s="18" t="s">
        <v>1033</v>
      </c>
    </row>
    <row r="558" spans="1:60" ht="15.75" customHeight="1" x14ac:dyDescent="0.2">
      <c r="A558" s="11">
        <v>561</v>
      </c>
      <c r="B558" s="22">
        <v>7126</v>
      </c>
      <c r="C558" s="13" t="s">
        <v>740</v>
      </c>
      <c r="D558" s="13" t="s">
        <v>743</v>
      </c>
      <c r="E558" s="23">
        <v>2006</v>
      </c>
      <c r="F558" s="23">
        <v>2015</v>
      </c>
      <c r="G558" s="13" t="s">
        <v>134</v>
      </c>
      <c r="H558" s="13"/>
      <c r="I558" s="13" t="s">
        <v>59</v>
      </c>
      <c r="J558" s="13" t="s">
        <v>60</v>
      </c>
      <c r="K558" s="13"/>
      <c r="L558" s="15">
        <v>0</v>
      </c>
      <c r="M558" s="16">
        <v>63.71</v>
      </c>
      <c r="N558" s="13" t="s">
        <v>42</v>
      </c>
      <c r="O558" s="14" t="s">
        <v>90</v>
      </c>
      <c r="P558" s="12">
        <f>IF(Q558="", 0, 1)</f>
        <v>1</v>
      </c>
      <c r="Q558" s="12">
        <v>99</v>
      </c>
      <c r="R558" s="17">
        <v>138.96</v>
      </c>
      <c r="S558" s="17"/>
      <c r="T558" s="17"/>
      <c r="U558" s="17"/>
      <c r="V558" s="17"/>
      <c r="W558" s="17"/>
      <c r="X558" s="17"/>
      <c r="Y558" s="17"/>
      <c r="Z558" s="17" t="str">
        <f>IF(T558="", "mean", "med")</f>
        <v>mean</v>
      </c>
      <c r="AA558" s="17">
        <f>IF(T558="", R558, T558)</f>
        <v>138.96</v>
      </c>
      <c r="AB558" s="12">
        <f>IF(AC558="", 0, 1)</f>
        <v>0</v>
      </c>
      <c r="AC558" s="13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>
        <f>IF(AO558="", 0, 1)</f>
        <v>0</v>
      </c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 t="s">
        <v>52</v>
      </c>
      <c r="BA558" s="12" t="str">
        <f>IF(AZ558="high","high","lower")</f>
        <v>high</v>
      </c>
      <c r="BB558" s="49">
        <v>0.90500000000000003</v>
      </c>
      <c r="BC558" s="12">
        <v>84.8</v>
      </c>
      <c r="BD558" s="12">
        <v>94</v>
      </c>
      <c r="BE558" s="12">
        <v>100</v>
      </c>
      <c r="BF558" s="12">
        <v>82.2</v>
      </c>
      <c r="BG558" s="18" t="s">
        <v>1032</v>
      </c>
      <c r="BH558" s="18" t="s">
        <v>1033</v>
      </c>
    </row>
    <row r="559" spans="1:60" ht="15.75" customHeight="1" x14ac:dyDescent="0.2">
      <c r="A559" s="11">
        <v>562</v>
      </c>
      <c r="B559" s="12">
        <v>7474</v>
      </c>
      <c r="C559" s="13" t="s">
        <v>744</v>
      </c>
      <c r="D559" s="14" t="s">
        <v>38</v>
      </c>
      <c r="E559" s="23">
        <v>2010</v>
      </c>
      <c r="F559" s="23">
        <v>2011</v>
      </c>
      <c r="G559" s="13" t="s">
        <v>264</v>
      </c>
      <c r="H559" s="13"/>
      <c r="I559" s="13" t="s">
        <v>54</v>
      </c>
      <c r="J559" s="14" t="s">
        <v>55</v>
      </c>
      <c r="K559" s="14"/>
      <c r="L559" s="15">
        <f>86/(568)*100</f>
        <v>15.140845070422534</v>
      </c>
      <c r="M559" s="16">
        <v>57.5</v>
      </c>
      <c r="N559" s="13" t="s">
        <v>42</v>
      </c>
      <c r="O559" s="14"/>
      <c r="P559" s="12">
        <f>IF(Q559="", 0, 1)</f>
        <v>0</v>
      </c>
      <c r="Q559" s="12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2">
        <f>IF(AC559="", 0, 1)</f>
        <v>0</v>
      </c>
      <c r="AC559" s="13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>
        <f>IF(AO559="", 0, 1)</f>
        <v>1</v>
      </c>
      <c r="AO559" s="12">
        <v>568</v>
      </c>
      <c r="AP559" s="12"/>
      <c r="AQ559" s="12"/>
      <c r="AR559" s="12">
        <f>3*30</f>
        <v>90</v>
      </c>
      <c r="AS559" s="12"/>
      <c r="AT559" s="12"/>
      <c r="AU559" s="12"/>
      <c r="AV559" s="12"/>
      <c r="AW559" s="12"/>
      <c r="AX559" s="12" t="str">
        <f>IF(AR559="", "mean", "med")</f>
        <v>med</v>
      </c>
      <c r="AY559" s="12">
        <f>IF(AR559="", AP559, AR559)</f>
        <v>90</v>
      </c>
      <c r="AZ559" s="12" t="s">
        <v>43</v>
      </c>
      <c r="BA559" s="12" t="str">
        <f>IF(AZ559="high","high","lower")</f>
        <v>lower</v>
      </c>
      <c r="BB559" s="49">
        <v>0.70299999999999996</v>
      </c>
      <c r="BC559" s="12">
        <v>64.5</v>
      </c>
      <c r="BD559" s="12">
        <v>73.099999999999994</v>
      </c>
      <c r="BE559" s="12">
        <v>50</v>
      </c>
      <c r="BF559" s="12">
        <v>61.3</v>
      </c>
      <c r="BG559" s="18" t="s">
        <v>1032</v>
      </c>
      <c r="BH559" s="18" t="s">
        <v>1033</v>
      </c>
    </row>
    <row r="560" spans="1:60" ht="15.75" customHeight="1" x14ac:dyDescent="0.2">
      <c r="A560" s="11">
        <v>563</v>
      </c>
      <c r="B560" s="12">
        <v>7716</v>
      </c>
      <c r="C560" s="13" t="s">
        <v>745</v>
      </c>
      <c r="D560" s="14">
        <v>2004</v>
      </c>
      <c r="E560" s="23">
        <v>2004</v>
      </c>
      <c r="F560" s="23">
        <v>2004</v>
      </c>
      <c r="G560" s="13" t="s">
        <v>49</v>
      </c>
      <c r="H560" s="13"/>
      <c r="I560" s="31" t="s">
        <v>467</v>
      </c>
      <c r="J560" s="13" t="s">
        <v>476</v>
      </c>
      <c r="K560" s="14"/>
      <c r="L560" s="19" t="s">
        <v>41</v>
      </c>
      <c r="M560" s="20" t="s">
        <v>41</v>
      </c>
      <c r="N560" s="13" t="s">
        <v>99</v>
      </c>
      <c r="O560" s="44" t="s">
        <v>746</v>
      </c>
      <c r="P560" s="12">
        <f>IF(Q560="", 0, 1)</f>
        <v>1</v>
      </c>
      <c r="Q560" s="15">
        <v>1189</v>
      </c>
      <c r="R560" s="17"/>
      <c r="S560" s="17"/>
      <c r="T560" s="17">
        <v>22</v>
      </c>
      <c r="U560" s="17">
        <v>3</v>
      </c>
      <c r="V560" s="17">
        <v>43</v>
      </c>
      <c r="W560" s="17"/>
      <c r="X560" s="17"/>
      <c r="Y560" s="17"/>
      <c r="Z560" s="17" t="str">
        <f>IF(T560="", "mean", "med")</f>
        <v>med</v>
      </c>
      <c r="AA560" s="17">
        <f>IF(T560="", R560, T560)</f>
        <v>22</v>
      </c>
      <c r="AB560" s="12">
        <f>IF(AC560="", 0, 1)</f>
        <v>0</v>
      </c>
      <c r="AC560" s="13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>
        <f>IF(AO560="", 0, 1)</f>
        <v>0</v>
      </c>
      <c r="AO560" s="22"/>
      <c r="AP560" s="12"/>
      <c r="AQ560" s="12"/>
      <c r="AR560" s="22"/>
      <c r="AS560" s="12"/>
      <c r="AT560" s="12"/>
      <c r="AU560" s="12"/>
      <c r="AV560" s="12"/>
      <c r="AW560" s="12"/>
      <c r="AX560" s="12"/>
      <c r="AY560" s="12"/>
      <c r="AZ560" s="12" t="s">
        <v>52</v>
      </c>
      <c r="BA560" s="12" t="str">
        <f>IF(AZ560="high","high","lower")</f>
        <v>high</v>
      </c>
      <c r="BB560" s="49">
        <v>0.9</v>
      </c>
      <c r="BC560" s="12">
        <v>84</v>
      </c>
      <c r="BD560" s="12">
        <v>88</v>
      </c>
      <c r="BE560" s="12">
        <v>100</v>
      </c>
      <c r="BF560" s="12">
        <v>84.2</v>
      </c>
      <c r="BG560" s="18" t="s">
        <v>1030</v>
      </c>
      <c r="BH560" s="18" t="s">
        <v>1031</v>
      </c>
    </row>
    <row r="561" spans="1:60" ht="15.75" customHeight="1" x14ac:dyDescent="0.2">
      <c r="A561" s="11">
        <v>564</v>
      </c>
      <c r="B561" s="22">
        <v>7716</v>
      </c>
      <c r="C561" s="13" t="s">
        <v>745</v>
      </c>
      <c r="D561" s="13">
        <v>2006</v>
      </c>
      <c r="E561" s="23">
        <v>2006</v>
      </c>
      <c r="F561" s="23">
        <v>2006</v>
      </c>
      <c r="G561" s="13" t="s">
        <v>49</v>
      </c>
      <c r="H561" s="13"/>
      <c r="I561" s="31" t="s">
        <v>467</v>
      </c>
      <c r="J561" s="13" t="s">
        <v>476</v>
      </c>
      <c r="K561" s="13"/>
      <c r="L561" s="15" t="s">
        <v>41</v>
      </c>
      <c r="M561" s="16" t="s">
        <v>41</v>
      </c>
      <c r="N561" s="13" t="s">
        <v>99</v>
      </c>
      <c r="O561" s="44" t="s">
        <v>746</v>
      </c>
      <c r="P561" s="12">
        <f>IF(Q561="", 0, 1)</f>
        <v>1</v>
      </c>
      <c r="Q561" s="19">
        <v>1258</v>
      </c>
      <c r="R561" s="17"/>
      <c r="S561" s="17"/>
      <c r="T561" s="17">
        <v>20</v>
      </c>
      <c r="U561" s="17">
        <v>2</v>
      </c>
      <c r="V561" s="17">
        <v>41</v>
      </c>
      <c r="W561" s="17"/>
      <c r="X561" s="17"/>
      <c r="Y561" s="17"/>
      <c r="Z561" s="17" t="str">
        <f>IF(T561="", "mean", "med")</f>
        <v>med</v>
      </c>
      <c r="AA561" s="17">
        <f>IF(T561="", R561, T561)</f>
        <v>20</v>
      </c>
      <c r="AB561" s="12">
        <f>IF(AC561="", 0, 1)</f>
        <v>0</v>
      </c>
      <c r="AC561" s="13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>
        <f>IF(AO561="", 0, 1)</f>
        <v>0</v>
      </c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 t="s">
        <v>52</v>
      </c>
      <c r="BA561" s="12" t="str">
        <f>IF(AZ561="high","high","lower")</f>
        <v>high</v>
      </c>
      <c r="BB561" s="49">
        <v>0.9</v>
      </c>
      <c r="BC561" s="12">
        <v>84</v>
      </c>
      <c r="BD561" s="12">
        <v>88</v>
      </c>
      <c r="BE561" s="12">
        <v>100</v>
      </c>
      <c r="BF561" s="12">
        <v>84.2</v>
      </c>
      <c r="BG561" s="18" t="s">
        <v>1030</v>
      </c>
      <c r="BH561" s="18" t="s">
        <v>1031</v>
      </c>
    </row>
    <row r="562" spans="1:60" ht="15.75" customHeight="1" x14ac:dyDescent="0.2">
      <c r="A562" s="11">
        <v>565</v>
      </c>
      <c r="B562" s="12">
        <v>7716</v>
      </c>
      <c r="C562" s="13" t="s">
        <v>745</v>
      </c>
      <c r="D562" s="14">
        <v>2008</v>
      </c>
      <c r="E562" s="23">
        <v>2008</v>
      </c>
      <c r="F562" s="23">
        <v>2008</v>
      </c>
      <c r="G562" s="13" t="s">
        <v>49</v>
      </c>
      <c r="H562" s="13"/>
      <c r="I562" s="31" t="s">
        <v>467</v>
      </c>
      <c r="J562" s="13" t="s">
        <v>476</v>
      </c>
      <c r="K562" s="14"/>
      <c r="L562" s="19" t="s">
        <v>41</v>
      </c>
      <c r="M562" s="20" t="s">
        <v>41</v>
      </c>
      <c r="N562" s="13" t="s">
        <v>99</v>
      </c>
      <c r="O562" s="44" t="s">
        <v>746</v>
      </c>
      <c r="P562" s="12">
        <f>IF(Q562="", 0, 1)</f>
        <v>1</v>
      </c>
      <c r="Q562" s="15">
        <v>1290</v>
      </c>
      <c r="R562" s="17"/>
      <c r="S562" s="17"/>
      <c r="T562" s="17">
        <v>21</v>
      </c>
      <c r="U562" s="17">
        <v>3.75</v>
      </c>
      <c r="V562" s="17">
        <v>42</v>
      </c>
      <c r="W562" s="17"/>
      <c r="X562" s="17"/>
      <c r="Y562" s="17"/>
      <c r="Z562" s="17" t="str">
        <f>IF(T562="", "mean", "med")</f>
        <v>med</v>
      </c>
      <c r="AA562" s="17">
        <f>IF(T562="", R562, T562)</f>
        <v>21</v>
      </c>
      <c r="AB562" s="12">
        <f>IF(AC562="", 0, 1)</f>
        <v>0</v>
      </c>
      <c r="AC562" s="14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>
        <f>IF(AO562="", 0, 1)</f>
        <v>0</v>
      </c>
      <c r="AO562" s="22"/>
      <c r="AP562" s="12"/>
      <c r="AQ562" s="12"/>
      <c r="AR562" s="22"/>
      <c r="AS562" s="12"/>
      <c r="AT562" s="12"/>
      <c r="AU562" s="12"/>
      <c r="AV562" s="12"/>
      <c r="AW562" s="12"/>
      <c r="AX562" s="12"/>
      <c r="AY562" s="12"/>
      <c r="AZ562" s="12" t="s">
        <v>52</v>
      </c>
      <c r="BA562" s="12" t="str">
        <f>IF(AZ562="high","high","lower")</f>
        <v>high</v>
      </c>
      <c r="BB562" s="49">
        <v>0.91</v>
      </c>
      <c r="BC562" s="12">
        <v>84</v>
      </c>
      <c r="BD562" s="12">
        <v>88</v>
      </c>
      <c r="BE562" s="12">
        <v>100</v>
      </c>
      <c r="BF562" s="12">
        <v>84.2</v>
      </c>
      <c r="BG562" s="18" t="s">
        <v>1030</v>
      </c>
      <c r="BH562" s="18" t="s">
        <v>1031</v>
      </c>
    </row>
    <row r="563" spans="1:60" ht="15.75" customHeight="1" x14ac:dyDescent="0.2">
      <c r="A563" s="11">
        <v>566</v>
      </c>
      <c r="B563" s="12">
        <v>7716</v>
      </c>
      <c r="C563" s="13" t="s">
        <v>745</v>
      </c>
      <c r="D563" s="13">
        <v>2007</v>
      </c>
      <c r="E563" s="23">
        <v>2007</v>
      </c>
      <c r="F563" s="23">
        <v>2007</v>
      </c>
      <c r="G563" s="13" t="s">
        <v>49</v>
      </c>
      <c r="H563" s="13"/>
      <c r="I563" s="31" t="s">
        <v>467</v>
      </c>
      <c r="J563" s="13" t="s">
        <v>476</v>
      </c>
      <c r="K563" s="13"/>
      <c r="L563" s="15" t="s">
        <v>41</v>
      </c>
      <c r="M563" s="16" t="s">
        <v>41</v>
      </c>
      <c r="N563" s="13" t="s">
        <v>99</v>
      </c>
      <c r="O563" s="44" t="s">
        <v>746</v>
      </c>
      <c r="P563" s="12">
        <f>IF(Q563="", 0, 1)</f>
        <v>1</v>
      </c>
      <c r="Q563" s="15">
        <v>1307</v>
      </c>
      <c r="R563" s="17"/>
      <c r="S563" s="17"/>
      <c r="T563" s="17">
        <v>21</v>
      </c>
      <c r="U563" s="17">
        <v>2</v>
      </c>
      <c r="V563" s="17">
        <v>45</v>
      </c>
      <c r="W563" s="17"/>
      <c r="X563" s="17"/>
      <c r="Y563" s="17"/>
      <c r="Z563" s="17" t="str">
        <f>IF(T563="", "mean", "med")</f>
        <v>med</v>
      </c>
      <c r="AA563" s="17">
        <f>IF(T563="", R563, T563)</f>
        <v>21</v>
      </c>
      <c r="AB563" s="12">
        <f>IF(AC563="", 0, 1)</f>
        <v>0</v>
      </c>
      <c r="AC563" s="13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>
        <f>IF(AO563="", 0, 1)</f>
        <v>0</v>
      </c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 t="s">
        <v>52</v>
      </c>
      <c r="BA563" s="12" t="str">
        <f>IF(AZ563="high","high","lower")</f>
        <v>high</v>
      </c>
      <c r="BB563" s="49">
        <v>0.91</v>
      </c>
      <c r="BC563" s="12">
        <v>84</v>
      </c>
      <c r="BD563" s="12">
        <v>88</v>
      </c>
      <c r="BE563" s="12">
        <v>100</v>
      </c>
      <c r="BF563" s="12">
        <v>84.2</v>
      </c>
      <c r="BG563" s="18" t="s">
        <v>1030</v>
      </c>
      <c r="BH563" s="18" t="s">
        <v>1031</v>
      </c>
    </row>
    <row r="564" spans="1:60" ht="15.75" customHeight="1" x14ac:dyDescent="0.2">
      <c r="A564" s="11">
        <v>567</v>
      </c>
      <c r="B564" s="12">
        <v>7716</v>
      </c>
      <c r="C564" s="13" t="s">
        <v>745</v>
      </c>
      <c r="D564" s="13">
        <v>2005</v>
      </c>
      <c r="E564" s="23">
        <v>2005</v>
      </c>
      <c r="F564" s="23">
        <v>2005</v>
      </c>
      <c r="G564" s="13" t="s">
        <v>49</v>
      </c>
      <c r="H564" s="13"/>
      <c r="I564" s="31" t="s">
        <v>467</v>
      </c>
      <c r="J564" s="13" t="s">
        <v>476</v>
      </c>
      <c r="K564" s="13"/>
      <c r="L564" s="15" t="s">
        <v>41</v>
      </c>
      <c r="M564" s="16" t="s">
        <v>41</v>
      </c>
      <c r="N564" s="13" t="s">
        <v>99</v>
      </c>
      <c r="O564" s="44" t="s">
        <v>746</v>
      </c>
      <c r="P564" s="12">
        <f>IF(Q564="", 0, 1)</f>
        <v>1</v>
      </c>
      <c r="Q564" s="15">
        <v>1339</v>
      </c>
      <c r="R564" s="17"/>
      <c r="S564" s="17"/>
      <c r="T564" s="17">
        <v>20</v>
      </c>
      <c r="U564" s="17">
        <v>0</v>
      </c>
      <c r="V564" s="17">
        <v>42</v>
      </c>
      <c r="W564" s="17"/>
      <c r="X564" s="17"/>
      <c r="Y564" s="17"/>
      <c r="Z564" s="17" t="str">
        <f>IF(T564="", "mean", "med")</f>
        <v>med</v>
      </c>
      <c r="AA564" s="17">
        <f>IF(T564="", R564, T564)</f>
        <v>20</v>
      </c>
      <c r="AB564" s="12">
        <f>IF(AC564="", 0, 1)</f>
        <v>0</v>
      </c>
      <c r="AC564" s="13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>
        <f>IF(AO564="", 0, 1)</f>
        <v>0</v>
      </c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 t="s">
        <v>52</v>
      </c>
      <c r="BA564" s="12" t="str">
        <f>IF(AZ564="high","high","lower")</f>
        <v>high</v>
      </c>
      <c r="BB564" s="49">
        <v>0.9</v>
      </c>
      <c r="BC564" s="12">
        <v>84</v>
      </c>
      <c r="BD564" s="12">
        <v>88</v>
      </c>
      <c r="BE564" s="12">
        <v>100</v>
      </c>
      <c r="BF564" s="12">
        <v>84.2</v>
      </c>
      <c r="BG564" s="18" t="s">
        <v>1030</v>
      </c>
      <c r="BH564" s="18" t="s">
        <v>1031</v>
      </c>
    </row>
    <row r="565" spans="1:60" ht="15.75" customHeight="1" x14ac:dyDescent="0.2">
      <c r="A565" s="11">
        <v>568</v>
      </c>
      <c r="B565" s="12">
        <v>7716</v>
      </c>
      <c r="C565" s="13" t="s">
        <v>745</v>
      </c>
      <c r="D565" s="14">
        <v>2011</v>
      </c>
      <c r="E565" s="23">
        <v>2011</v>
      </c>
      <c r="F565" s="23">
        <v>2011</v>
      </c>
      <c r="G565" s="13" t="s">
        <v>49</v>
      </c>
      <c r="H565" s="13"/>
      <c r="I565" s="31" t="s">
        <v>467</v>
      </c>
      <c r="J565" s="13" t="s">
        <v>476</v>
      </c>
      <c r="K565" s="14"/>
      <c r="L565" s="19" t="s">
        <v>41</v>
      </c>
      <c r="M565" s="20" t="s">
        <v>41</v>
      </c>
      <c r="N565" s="13" t="s">
        <v>99</v>
      </c>
      <c r="O565" s="44" t="s">
        <v>746</v>
      </c>
      <c r="P565" s="12">
        <f>IF(Q565="", 0, 1)</f>
        <v>1</v>
      </c>
      <c r="Q565" s="15">
        <v>1349</v>
      </c>
      <c r="R565" s="17"/>
      <c r="S565" s="17"/>
      <c r="T565" s="17">
        <v>21</v>
      </c>
      <c r="U565" s="17">
        <v>4</v>
      </c>
      <c r="V565" s="17">
        <v>43</v>
      </c>
      <c r="W565" s="17"/>
      <c r="X565" s="17"/>
      <c r="Y565" s="17"/>
      <c r="Z565" s="17" t="str">
        <f>IF(T565="", "mean", "med")</f>
        <v>med</v>
      </c>
      <c r="AA565" s="17">
        <f>IF(T565="", R565, T565)</f>
        <v>21</v>
      </c>
      <c r="AB565" s="12">
        <f>IF(AC565="", 0, 1)</f>
        <v>0</v>
      </c>
      <c r="AC565" s="13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>
        <f>IF(AO565="", 0, 1)</f>
        <v>0</v>
      </c>
      <c r="AO565" s="22"/>
      <c r="AP565" s="12"/>
      <c r="AQ565" s="12"/>
      <c r="AR565" s="22"/>
      <c r="AS565" s="12"/>
      <c r="AT565" s="12"/>
      <c r="AU565" s="12"/>
      <c r="AV565" s="12"/>
      <c r="AW565" s="12"/>
      <c r="AX565" s="12"/>
      <c r="AY565" s="12"/>
      <c r="AZ565" s="12" t="s">
        <v>52</v>
      </c>
      <c r="BA565" s="12" t="str">
        <f>IF(AZ565="high","high","lower")</f>
        <v>high</v>
      </c>
      <c r="BB565" s="49">
        <v>0.92</v>
      </c>
      <c r="BC565" s="12">
        <v>84</v>
      </c>
      <c r="BD565" s="12">
        <v>88</v>
      </c>
      <c r="BE565" s="12">
        <v>100</v>
      </c>
      <c r="BF565" s="12">
        <v>84.2</v>
      </c>
      <c r="BG565" s="18" t="s">
        <v>1030</v>
      </c>
      <c r="BH565" s="18" t="s">
        <v>1031</v>
      </c>
    </row>
    <row r="566" spans="1:60" ht="15.75" customHeight="1" x14ac:dyDescent="0.2">
      <c r="A566" s="11">
        <v>569</v>
      </c>
      <c r="B566" s="12">
        <v>7716</v>
      </c>
      <c r="C566" s="13" t="s">
        <v>745</v>
      </c>
      <c r="D566" s="14">
        <v>2010</v>
      </c>
      <c r="E566" s="23">
        <v>2010</v>
      </c>
      <c r="F566" s="23">
        <v>2010</v>
      </c>
      <c r="G566" s="13" t="s">
        <v>49</v>
      </c>
      <c r="H566" s="13"/>
      <c r="I566" s="31" t="s">
        <v>467</v>
      </c>
      <c r="J566" s="13" t="s">
        <v>476</v>
      </c>
      <c r="K566" s="14"/>
      <c r="L566" s="19" t="s">
        <v>41</v>
      </c>
      <c r="M566" s="20" t="s">
        <v>41</v>
      </c>
      <c r="N566" s="13" t="s">
        <v>99</v>
      </c>
      <c r="O566" s="44" t="s">
        <v>746</v>
      </c>
      <c r="P566" s="12">
        <f>IF(Q566="", 0, 1)</f>
        <v>1</v>
      </c>
      <c r="Q566" s="15">
        <v>1370</v>
      </c>
      <c r="R566" s="17"/>
      <c r="S566" s="17"/>
      <c r="T566" s="17">
        <v>22</v>
      </c>
      <c r="U566" s="17">
        <v>5</v>
      </c>
      <c r="V566" s="17">
        <v>46</v>
      </c>
      <c r="W566" s="17"/>
      <c r="X566" s="17"/>
      <c r="Y566" s="17"/>
      <c r="Z566" s="17" t="str">
        <f>IF(T566="", "mean", "med")</f>
        <v>med</v>
      </c>
      <c r="AA566" s="17">
        <f>IF(T566="", R566, T566)</f>
        <v>22</v>
      </c>
      <c r="AB566" s="12">
        <f>IF(AC566="", 0, 1)</f>
        <v>0</v>
      </c>
      <c r="AC566" s="13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>
        <f>IF(AO566="", 0, 1)</f>
        <v>0</v>
      </c>
      <c r="AO566" s="22"/>
      <c r="AP566" s="12"/>
      <c r="AQ566" s="12"/>
      <c r="AR566" s="22"/>
      <c r="AS566" s="12"/>
      <c r="AT566" s="12"/>
      <c r="AU566" s="12"/>
      <c r="AV566" s="12"/>
      <c r="AW566" s="12"/>
      <c r="AX566" s="12"/>
      <c r="AY566" s="12"/>
      <c r="AZ566" s="12" t="s">
        <v>52</v>
      </c>
      <c r="BA566" s="12" t="str">
        <f>IF(AZ566="high","high","lower")</f>
        <v>high</v>
      </c>
      <c r="BB566" s="49">
        <v>0.92</v>
      </c>
      <c r="BC566" s="12">
        <v>84</v>
      </c>
      <c r="BD566" s="12">
        <v>88</v>
      </c>
      <c r="BE566" s="12">
        <v>100</v>
      </c>
      <c r="BF566" s="12">
        <v>84.2</v>
      </c>
      <c r="BG566" s="18" t="s">
        <v>1030</v>
      </c>
      <c r="BH566" s="18" t="s">
        <v>1031</v>
      </c>
    </row>
    <row r="567" spans="1:60" ht="15.75" customHeight="1" x14ac:dyDescent="0.2">
      <c r="A567" s="11">
        <v>570</v>
      </c>
      <c r="B567" s="12">
        <v>7716</v>
      </c>
      <c r="C567" s="13" t="s">
        <v>745</v>
      </c>
      <c r="D567" s="14">
        <v>2013</v>
      </c>
      <c r="E567" s="23">
        <v>2013</v>
      </c>
      <c r="F567" s="23">
        <v>2013</v>
      </c>
      <c r="G567" s="13" t="s">
        <v>49</v>
      </c>
      <c r="H567" s="13"/>
      <c r="I567" s="31" t="s">
        <v>467</v>
      </c>
      <c r="J567" s="14" t="s">
        <v>476</v>
      </c>
      <c r="K567" s="14"/>
      <c r="L567" s="19" t="s">
        <v>41</v>
      </c>
      <c r="M567" s="20" t="s">
        <v>41</v>
      </c>
      <c r="N567" s="13" t="s">
        <v>99</v>
      </c>
      <c r="O567" s="44" t="s">
        <v>746</v>
      </c>
      <c r="P567" s="12">
        <f>IF(Q567="", 0, 1)</f>
        <v>1</v>
      </c>
      <c r="Q567" s="15">
        <v>1383</v>
      </c>
      <c r="R567" s="17"/>
      <c r="S567" s="17"/>
      <c r="T567" s="17">
        <v>26</v>
      </c>
      <c r="U567" s="17">
        <v>7</v>
      </c>
      <c r="V567" s="17">
        <v>48</v>
      </c>
      <c r="W567" s="17"/>
      <c r="X567" s="17"/>
      <c r="Y567" s="17"/>
      <c r="Z567" s="17" t="str">
        <f>IF(T567="", "mean", "med")</f>
        <v>med</v>
      </c>
      <c r="AA567" s="17">
        <f>IF(T567="", R567, T567)</f>
        <v>26</v>
      </c>
      <c r="AB567" s="12">
        <f>IF(AC567="", 0, 1)</f>
        <v>0</v>
      </c>
      <c r="AC567" s="13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>
        <f>IF(AO567="", 0, 1)</f>
        <v>0</v>
      </c>
      <c r="AO567" s="22"/>
      <c r="AP567" s="12"/>
      <c r="AQ567" s="12"/>
      <c r="AR567" s="22"/>
      <c r="AS567" s="12"/>
      <c r="AT567" s="12"/>
      <c r="AU567" s="12"/>
      <c r="AV567" s="12"/>
      <c r="AW567" s="12"/>
      <c r="AX567" s="12"/>
      <c r="AY567" s="12"/>
      <c r="AZ567" s="12" t="s">
        <v>52</v>
      </c>
      <c r="BA567" s="12" t="str">
        <f>IF(AZ567="high","high","lower")</f>
        <v>high</v>
      </c>
      <c r="BB567" s="49">
        <v>0.92</v>
      </c>
      <c r="BC567" s="12">
        <v>84</v>
      </c>
      <c r="BD567" s="12">
        <v>88</v>
      </c>
      <c r="BE567" s="12">
        <v>100</v>
      </c>
      <c r="BF567" s="12">
        <v>84.2</v>
      </c>
      <c r="BG567" s="18" t="s">
        <v>1030</v>
      </c>
      <c r="BH567" s="18" t="s">
        <v>1031</v>
      </c>
    </row>
    <row r="568" spans="1:60" ht="15.75" customHeight="1" x14ac:dyDescent="0.2">
      <c r="A568" s="11">
        <v>571</v>
      </c>
      <c r="B568" s="12">
        <v>7716</v>
      </c>
      <c r="C568" s="13" t="s">
        <v>745</v>
      </c>
      <c r="D568" s="14">
        <v>2009</v>
      </c>
      <c r="E568" s="23">
        <v>2009</v>
      </c>
      <c r="F568" s="23">
        <v>2009</v>
      </c>
      <c r="G568" s="13" t="s">
        <v>49</v>
      </c>
      <c r="H568" s="13"/>
      <c r="I568" s="31" t="s">
        <v>467</v>
      </c>
      <c r="J568" s="13" t="s">
        <v>476</v>
      </c>
      <c r="K568" s="14"/>
      <c r="L568" s="19" t="s">
        <v>41</v>
      </c>
      <c r="M568" s="20" t="s">
        <v>41</v>
      </c>
      <c r="N568" s="13" t="s">
        <v>99</v>
      </c>
      <c r="O568" s="44" t="s">
        <v>746</v>
      </c>
      <c r="P568" s="12">
        <f>IF(Q568="", 0, 1)</f>
        <v>1</v>
      </c>
      <c r="Q568" s="15">
        <v>1393</v>
      </c>
      <c r="R568" s="17"/>
      <c r="S568" s="17"/>
      <c r="T568" s="17">
        <v>21</v>
      </c>
      <c r="U568" s="17">
        <v>2</v>
      </c>
      <c r="V568" s="17">
        <v>43</v>
      </c>
      <c r="W568" s="17"/>
      <c r="X568" s="17"/>
      <c r="Y568" s="17"/>
      <c r="Z568" s="17" t="str">
        <f>IF(T568="", "mean", "med")</f>
        <v>med</v>
      </c>
      <c r="AA568" s="17">
        <f>IF(T568="", R568, T568)</f>
        <v>21</v>
      </c>
      <c r="AB568" s="12">
        <f>IF(AC568="", 0, 1)</f>
        <v>0</v>
      </c>
      <c r="AC568" s="13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>
        <f>IF(AO568="", 0, 1)</f>
        <v>0</v>
      </c>
      <c r="AO568" s="22"/>
      <c r="AP568" s="12"/>
      <c r="AQ568" s="12"/>
      <c r="AR568" s="22"/>
      <c r="AS568" s="12"/>
      <c r="AT568" s="12"/>
      <c r="AU568" s="12"/>
      <c r="AV568" s="12"/>
      <c r="AW568" s="12"/>
      <c r="AX568" s="12"/>
      <c r="AY568" s="12"/>
      <c r="AZ568" s="12" t="s">
        <v>52</v>
      </c>
      <c r="BA568" s="12" t="str">
        <f>IF(AZ568="high","high","lower")</f>
        <v>high</v>
      </c>
      <c r="BB568" s="49">
        <v>0.91</v>
      </c>
      <c r="BC568" s="12">
        <v>84</v>
      </c>
      <c r="BD568" s="12">
        <v>88</v>
      </c>
      <c r="BE568" s="12">
        <v>100</v>
      </c>
      <c r="BF568" s="12">
        <v>84.2</v>
      </c>
      <c r="BG568" s="18" t="s">
        <v>1030</v>
      </c>
      <c r="BH568" s="18" t="s">
        <v>1031</v>
      </c>
    </row>
    <row r="569" spans="1:60" ht="15.75" customHeight="1" x14ac:dyDescent="0.2">
      <c r="A569" s="11">
        <v>572</v>
      </c>
      <c r="B569" s="12">
        <v>7716</v>
      </c>
      <c r="C569" s="13" t="s">
        <v>745</v>
      </c>
      <c r="D569" s="14">
        <v>2012</v>
      </c>
      <c r="E569" s="23">
        <v>2012</v>
      </c>
      <c r="F569" s="23">
        <v>2012</v>
      </c>
      <c r="G569" s="13" t="s">
        <v>49</v>
      </c>
      <c r="H569" s="13"/>
      <c r="I569" s="31" t="s">
        <v>467</v>
      </c>
      <c r="J569" s="13" t="s">
        <v>476</v>
      </c>
      <c r="K569" s="14"/>
      <c r="L569" s="19" t="s">
        <v>41</v>
      </c>
      <c r="M569" s="20" t="s">
        <v>41</v>
      </c>
      <c r="N569" s="13" t="s">
        <v>99</v>
      </c>
      <c r="O569" s="44" t="s">
        <v>746</v>
      </c>
      <c r="P569" s="12">
        <f>IF(Q569="", 0, 1)</f>
        <v>1</v>
      </c>
      <c r="Q569" s="15">
        <v>1451</v>
      </c>
      <c r="R569" s="17"/>
      <c r="S569" s="17"/>
      <c r="T569" s="17">
        <v>22</v>
      </c>
      <c r="U569" s="17">
        <v>4</v>
      </c>
      <c r="V569" s="17">
        <v>43</v>
      </c>
      <c r="W569" s="17"/>
      <c r="X569" s="17"/>
      <c r="Y569" s="17"/>
      <c r="Z569" s="17" t="str">
        <f>IF(T569="", "mean", "med")</f>
        <v>med</v>
      </c>
      <c r="AA569" s="17">
        <f>IF(T569="", R569, T569)</f>
        <v>22</v>
      </c>
      <c r="AB569" s="12">
        <f>IF(AC569="", 0, 1)</f>
        <v>0</v>
      </c>
      <c r="AC569" s="13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>
        <f>IF(AO569="", 0, 1)</f>
        <v>0</v>
      </c>
      <c r="AO569" s="22"/>
      <c r="AP569" s="12"/>
      <c r="AQ569" s="12"/>
      <c r="AR569" s="22"/>
      <c r="AS569" s="12"/>
      <c r="AT569" s="12"/>
      <c r="AU569" s="12"/>
      <c r="AV569" s="12"/>
      <c r="AW569" s="12"/>
      <c r="AX569" s="12"/>
      <c r="AY569" s="12"/>
      <c r="AZ569" s="12" t="s">
        <v>52</v>
      </c>
      <c r="BA569" s="12" t="str">
        <f>IF(AZ569="high","high","lower")</f>
        <v>high</v>
      </c>
      <c r="BB569" s="49">
        <v>0.92</v>
      </c>
      <c r="BC569" s="12">
        <v>84</v>
      </c>
      <c r="BD569" s="12">
        <v>88</v>
      </c>
      <c r="BE569" s="12">
        <v>100</v>
      </c>
      <c r="BF569" s="12">
        <v>84.2</v>
      </c>
      <c r="BG569" s="18" t="s">
        <v>1030</v>
      </c>
      <c r="BH569" s="18" t="s">
        <v>1031</v>
      </c>
    </row>
    <row r="570" spans="1:60" ht="15.75" customHeight="1" x14ac:dyDescent="0.2">
      <c r="A570" s="11">
        <v>573</v>
      </c>
      <c r="B570" s="12">
        <v>7823</v>
      </c>
      <c r="C570" s="13" t="s">
        <v>747</v>
      </c>
      <c r="D570" s="14" t="s">
        <v>38</v>
      </c>
      <c r="E570" s="23">
        <v>2005</v>
      </c>
      <c r="F570" s="23">
        <v>2013</v>
      </c>
      <c r="G570" s="13" t="s">
        <v>49</v>
      </c>
      <c r="H570" s="13"/>
      <c r="I570" s="13" t="s">
        <v>59</v>
      </c>
      <c r="J570" s="13" t="s">
        <v>60</v>
      </c>
      <c r="K570" s="14"/>
      <c r="L570" s="19">
        <v>0</v>
      </c>
      <c r="M570" s="20">
        <v>63</v>
      </c>
      <c r="N570" s="13" t="s">
        <v>42</v>
      </c>
      <c r="O570" s="14" t="s">
        <v>748</v>
      </c>
      <c r="P570" s="12">
        <f>IF(Q570="", 0, 1)</f>
        <v>1</v>
      </c>
      <c r="Q570" s="19">
        <v>842</v>
      </c>
      <c r="R570" s="17"/>
      <c r="S570" s="17"/>
      <c r="T570" s="17">
        <v>75</v>
      </c>
      <c r="U570" s="17"/>
      <c r="V570" s="17"/>
      <c r="W570" s="17">
        <v>60</v>
      </c>
      <c r="X570" s="17"/>
      <c r="Y570" s="17"/>
      <c r="Z570" s="17" t="str">
        <f>IF(T570="", "mean", "med")</f>
        <v>med</v>
      </c>
      <c r="AA570" s="17">
        <f>IF(T570="", R570, T570)</f>
        <v>75</v>
      </c>
      <c r="AB570" s="12">
        <f>IF(AC570="", 0, 1)</f>
        <v>0</v>
      </c>
      <c r="AC570" s="13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>
        <f>IF(AO570="", 0, 1)</f>
        <v>0</v>
      </c>
      <c r="AO570" s="22"/>
      <c r="AP570" s="12"/>
      <c r="AQ570" s="12"/>
      <c r="AR570" s="22"/>
      <c r="AS570" s="12"/>
      <c r="AT570" s="12"/>
      <c r="AU570" s="12"/>
      <c r="AV570" s="12"/>
      <c r="AW570" s="12"/>
      <c r="AX570" s="12"/>
      <c r="AY570" s="12"/>
      <c r="AZ570" s="12" t="s">
        <v>52</v>
      </c>
      <c r="BA570" s="12" t="str">
        <f>IF(AZ570="high","high","lower")</f>
        <v>high</v>
      </c>
      <c r="BB570" s="49">
        <v>0.91200000000000003</v>
      </c>
      <c r="BC570" s="12">
        <v>84</v>
      </c>
      <c r="BD570" s="12">
        <v>88</v>
      </c>
      <c r="BE570" s="12">
        <v>100</v>
      </c>
      <c r="BF570" s="12">
        <v>84.2</v>
      </c>
      <c r="BG570" s="18" t="s">
        <v>1030</v>
      </c>
      <c r="BH570" s="18" t="s">
        <v>1031</v>
      </c>
    </row>
    <row r="571" spans="1:60" ht="15.75" customHeight="1" x14ac:dyDescent="0.2">
      <c r="A571" s="11">
        <v>574</v>
      </c>
      <c r="B571" s="12">
        <v>8303</v>
      </c>
      <c r="C571" s="13" t="s">
        <v>521</v>
      </c>
      <c r="D571" s="14" t="s">
        <v>38</v>
      </c>
      <c r="E571" s="23">
        <v>2005</v>
      </c>
      <c r="F571" s="23">
        <v>2014</v>
      </c>
      <c r="G571" s="13" t="s">
        <v>134</v>
      </c>
      <c r="H571" s="13"/>
      <c r="I571" s="13" t="s">
        <v>59</v>
      </c>
      <c r="J571" s="13" t="s">
        <v>60</v>
      </c>
      <c r="K571" s="14"/>
      <c r="L571" s="19">
        <v>0</v>
      </c>
      <c r="M571" s="20">
        <v>60.2</v>
      </c>
      <c r="N571" s="13" t="s">
        <v>42</v>
      </c>
      <c r="O571" s="14" t="s">
        <v>250</v>
      </c>
      <c r="P571" s="12">
        <f>IF(Q571="", 0, 1)</f>
        <v>1</v>
      </c>
      <c r="Q571" s="12">
        <v>2310</v>
      </c>
      <c r="R571" s="17"/>
      <c r="S571" s="17"/>
      <c r="T571" s="17">
        <v>83</v>
      </c>
      <c r="U571" s="17"/>
      <c r="V571" s="17"/>
      <c r="W571" s="17" t="s">
        <v>749</v>
      </c>
      <c r="X571" s="17">
        <v>21</v>
      </c>
      <c r="Y571" s="17">
        <v>180</v>
      </c>
      <c r="Z571" s="17" t="str">
        <f>IF(T571="", "mean", "med")</f>
        <v>med</v>
      </c>
      <c r="AA571" s="17">
        <f>IF(T571="", R571, T571)</f>
        <v>83</v>
      </c>
      <c r="AB571" s="12">
        <f>IF(AC571="", 0, 1)</f>
        <v>0</v>
      </c>
      <c r="AC571" s="13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>
        <f>IF(AO571="", 0, 1)</f>
        <v>0</v>
      </c>
      <c r="AO571" s="22"/>
      <c r="AP571" s="12"/>
      <c r="AQ571" s="12"/>
      <c r="AR571" s="22"/>
      <c r="AS571" s="12"/>
      <c r="AT571" s="12"/>
      <c r="AU571" s="12"/>
      <c r="AV571" s="12"/>
      <c r="AW571" s="12"/>
      <c r="AX571" s="12"/>
      <c r="AY571" s="12"/>
      <c r="AZ571" s="12" t="s">
        <v>52</v>
      </c>
      <c r="BA571" s="12" t="str">
        <f>IF(AZ571="high","high","lower")</f>
        <v>high</v>
      </c>
      <c r="BB571" s="49">
        <v>0.90300000000000002</v>
      </c>
      <c r="BC571" s="12">
        <v>84.8</v>
      </c>
      <c r="BD571" s="12">
        <v>94</v>
      </c>
      <c r="BE571" s="12">
        <v>100</v>
      </c>
      <c r="BF571" s="12">
        <v>82.2</v>
      </c>
      <c r="BG571" s="18" t="s">
        <v>1030</v>
      </c>
      <c r="BH571" s="18" t="s">
        <v>1031</v>
      </c>
    </row>
    <row r="572" spans="1:60" ht="15.75" customHeight="1" x14ac:dyDescent="0.2">
      <c r="A572" s="11">
        <v>575</v>
      </c>
      <c r="B572" s="12">
        <v>8320</v>
      </c>
      <c r="C572" s="13" t="s">
        <v>750</v>
      </c>
      <c r="D572" s="44" t="s">
        <v>751</v>
      </c>
      <c r="E572" s="23">
        <v>2001</v>
      </c>
      <c r="F572" s="23">
        <v>2018</v>
      </c>
      <c r="G572" s="13" t="s">
        <v>49</v>
      </c>
      <c r="H572" s="13"/>
      <c r="I572" s="13" t="s">
        <v>40</v>
      </c>
      <c r="J572" s="13" t="s">
        <v>40</v>
      </c>
      <c r="K572" s="14"/>
      <c r="L572" s="19">
        <v>100</v>
      </c>
      <c r="M572" s="20">
        <v>57.1</v>
      </c>
      <c r="N572" s="13" t="s">
        <v>42</v>
      </c>
      <c r="O572" s="14" t="s">
        <v>752</v>
      </c>
      <c r="P572" s="12">
        <f>IF(Q572="", 0, 1)</f>
        <v>1</v>
      </c>
      <c r="Q572" s="12">
        <v>271</v>
      </c>
      <c r="R572" s="17">
        <v>36.299999999999997</v>
      </c>
      <c r="S572" s="17"/>
      <c r="T572" s="17"/>
      <c r="U572" s="17"/>
      <c r="V572" s="17"/>
      <c r="W572" s="17"/>
      <c r="X572" s="21"/>
      <c r="Y572" s="21"/>
      <c r="Z572" s="17" t="str">
        <f>IF(T572="", "mean", "med")</f>
        <v>mean</v>
      </c>
      <c r="AA572" s="17">
        <f>IF(T572="", R572, T572)</f>
        <v>36.299999999999997</v>
      </c>
      <c r="AB572" s="12">
        <f>IF(AC572="", 0, 1)</f>
        <v>0</v>
      </c>
      <c r="AC572" s="13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>
        <f>IF(AO572="", 0, 1)</f>
        <v>0</v>
      </c>
      <c r="AO572" s="22"/>
      <c r="AP572" s="12"/>
      <c r="AQ572" s="12"/>
      <c r="AR572" s="22"/>
      <c r="AS572" s="12"/>
      <c r="AT572" s="12"/>
      <c r="AU572" s="12"/>
      <c r="AV572" s="12"/>
      <c r="AW572" s="12"/>
      <c r="AX572" s="12"/>
      <c r="AY572" s="12"/>
      <c r="AZ572" s="12" t="s">
        <v>52</v>
      </c>
      <c r="BA572" s="12" t="str">
        <f>IF(AZ572="high","high","lower")</f>
        <v>high</v>
      </c>
      <c r="BB572" s="49">
        <v>0.91</v>
      </c>
      <c r="BC572" s="12">
        <v>84</v>
      </c>
      <c r="BD572" s="12">
        <v>88</v>
      </c>
      <c r="BE572" s="12">
        <v>100</v>
      </c>
      <c r="BF572" s="12">
        <v>84.2</v>
      </c>
      <c r="BG572" s="18" t="s">
        <v>1030</v>
      </c>
      <c r="BH572" s="18" t="s">
        <v>1031</v>
      </c>
    </row>
    <row r="573" spans="1:60" ht="15.75" customHeight="1" x14ac:dyDescent="0.2">
      <c r="A573" s="11">
        <v>576</v>
      </c>
      <c r="B573" s="22">
        <v>8320</v>
      </c>
      <c r="C573" s="13" t="s">
        <v>750</v>
      </c>
      <c r="D573" s="44" t="s">
        <v>753</v>
      </c>
      <c r="E573" s="23">
        <v>2001</v>
      </c>
      <c r="F573" s="23">
        <v>2018</v>
      </c>
      <c r="G573" s="13" t="s">
        <v>49</v>
      </c>
      <c r="H573" s="13"/>
      <c r="I573" s="13" t="s">
        <v>40</v>
      </c>
      <c r="J573" s="13" t="s">
        <v>40</v>
      </c>
      <c r="K573" s="13"/>
      <c r="L573" s="15">
        <v>100</v>
      </c>
      <c r="M573" s="16">
        <v>59.1</v>
      </c>
      <c r="N573" s="13" t="s">
        <v>42</v>
      </c>
      <c r="O573" s="14" t="s">
        <v>752</v>
      </c>
      <c r="P573" s="12">
        <f>IF(Q573="", 0, 1)</f>
        <v>1</v>
      </c>
      <c r="Q573" s="12">
        <v>628</v>
      </c>
      <c r="R573" s="17">
        <v>33.9</v>
      </c>
      <c r="S573" s="17"/>
      <c r="T573" s="17"/>
      <c r="U573" s="17"/>
      <c r="V573" s="17"/>
      <c r="W573" s="17"/>
      <c r="X573" s="17"/>
      <c r="Y573" s="17"/>
      <c r="Z573" s="17" t="str">
        <f>IF(T573="", "mean", "med")</f>
        <v>mean</v>
      </c>
      <c r="AA573" s="17">
        <f>IF(T573="", R573, T573)</f>
        <v>33.9</v>
      </c>
      <c r="AB573" s="12">
        <f>IF(AC573="", 0, 1)</f>
        <v>0</v>
      </c>
      <c r="AC573" s="13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>
        <f>IF(AO573="", 0, 1)</f>
        <v>0</v>
      </c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 t="s">
        <v>52</v>
      </c>
      <c r="BA573" s="12" t="str">
        <f>IF(AZ573="high","high","lower")</f>
        <v>high</v>
      </c>
      <c r="BB573" s="49">
        <v>0.91</v>
      </c>
      <c r="BC573" s="12">
        <v>84</v>
      </c>
      <c r="BD573" s="12">
        <v>88</v>
      </c>
      <c r="BE573" s="12">
        <v>100</v>
      </c>
      <c r="BF573" s="12">
        <v>84.2</v>
      </c>
      <c r="BG573" s="18" t="s">
        <v>1030</v>
      </c>
      <c r="BH573" s="18" t="s">
        <v>1031</v>
      </c>
    </row>
    <row r="574" spans="1:60" ht="15.75" customHeight="1" x14ac:dyDescent="0.2">
      <c r="A574" s="11">
        <v>577</v>
      </c>
      <c r="B574" s="12">
        <v>8373</v>
      </c>
      <c r="C574" s="13" t="s">
        <v>754</v>
      </c>
      <c r="D574" s="14" t="s">
        <v>41</v>
      </c>
      <c r="E574" s="23">
        <v>2016</v>
      </c>
      <c r="F574" s="23">
        <v>2017</v>
      </c>
      <c r="G574" s="13" t="s">
        <v>77</v>
      </c>
      <c r="H574" s="13" t="s">
        <v>78</v>
      </c>
      <c r="I574" s="13" t="s">
        <v>54</v>
      </c>
      <c r="J574" s="13" t="s">
        <v>229</v>
      </c>
      <c r="K574" s="14" t="s">
        <v>224</v>
      </c>
      <c r="L574" s="19">
        <f>25/127*100</f>
        <v>19.685039370078741</v>
      </c>
      <c r="M574" s="20" t="s">
        <v>41</v>
      </c>
      <c r="N574" s="13" t="s">
        <v>42</v>
      </c>
      <c r="O574" s="14"/>
      <c r="P574" s="12">
        <f>IF(Q574="", 0, 1)</f>
        <v>0</v>
      </c>
      <c r="Q574" s="15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2">
        <f>IF(AC574="", 0, 1)</f>
        <v>0</v>
      </c>
      <c r="AC574" s="13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>
        <f>IF(AO574="", 0, 1)</f>
        <v>1</v>
      </c>
      <c r="AO574" s="22">
        <v>127</v>
      </c>
      <c r="AP574" s="12"/>
      <c r="AQ574" s="12"/>
      <c r="AR574" s="22">
        <v>79.5</v>
      </c>
      <c r="AS574" s="12"/>
      <c r="AT574" s="12"/>
      <c r="AU574" s="12"/>
      <c r="AV574" s="12">
        <v>1</v>
      </c>
      <c r="AW574" s="12">
        <v>712</v>
      </c>
      <c r="AX574" s="12" t="str">
        <f>IF(AR574="", "mean", "med")</f>
        <v>med</v>
      </c>
      <c r="AY574" s="12">
        <f>IF(AR574="", AP574, AR574)</f>
        <v>79.5</v>
      </c>
      <c r="AZ574" s="12" t="s">
        <v>52</v>
      </c>
      <c r="BA574" s="12" t="str">
        <f>IF(AZ574="high","high","lower")</f>
        <v>high</v>
      </c>
      <c r="BB574" s="49">
        <v>0.92500000000000004</v>
      </c>
      <c r="BC574" s="12">
        <v>85.3</v>
      </c>
      <c r="BD574" s="12">
        <v>96.3</v>
      </c>
      <c r="BE574" s="12">
        <v>91.7</v>
      </c>
      <c r="BF574" s="12">
        <v>80</v>
      </c>
      <c r="BG574" s="18" t="s">
        <v>1034</v>
      </c>
      <c r="BH574" s="18" t="s">
        <v>1031</v>
      </c>
    </row>
    <row r="575" spans="1:60" ht="15.75" customHeight="1" x14ac:dyDescent="0.2">
      <c r="A575" s="11">
        <v>578</v>
      </c>
      <c r="B575" s="12">
        <v>8419</v>
      </c>
      <c r="C575" s="13" t="s">
        <v>755</v>
      </c>
      <c r="D575" s="13" t="s">
        <v>756</v>
      </c>
      <c r="E575" s="23">
        <v>2013</v>
      </c>
      <c r="F575" s="23">
        <v>2019</v>
      </c>
      <c r="G575" s="13" t="s">
        <v>264</v>
      </c>
      <c r="H575" s="13"/>
      <c r="I575" s="13" t="s">
        <v>57</v>
      </c>
      <c r="J575" s="13" t="s">
        <v>58</v>
      </c>
      <c r="K575" s="13"/>
      <c r="L575" s="15">
        <v>50</v>
      </c>
      <c r="M575" s="16">
        <v>44.5</v>
      </c>
      <c r="N575" s="13" t="s">
        <v>42</v>
      </c>
      <c r="O575" s="13"/>
      <c r="P575" s="12">
        <f>IF(Q575="", 0, 1)</f>
        <v>0</v>
      </c>
      <c r="Q575" s="15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2">
        <f>IF(AC575="", 0, 1)</f>
        <v>0</v>
      </c>
      <c r="AC575" s="13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>
        <f>IF(AO575="", 0, 1)</f>
        <v>1</v>
      </c>
      <c r="AO575" s="12">
        <v>52</v>
      </c>
      <c r="AP575" s="12">
        <f>3.23*30</f>
        <v>96.9</v>
      </c>
      <c r="AQ575" s="12">
        <f>6.95*30</f>
        <v>208.5</v>
      </c>
      <c r="AR575" s="12"/>
      <c r="AS575" s="12"/>
      <c r="AT575" s="12"/>
      <c r="AU575" s="12"/>
      <c r="AV575" s="12"/>
      <c r="AW575" s="12"/>
      <c r="AX575" s="12" t="str">
        <f>IF(AR575="", "mean", "med")</f>
        <v>mean</v>
      </c>
      <c r="AY575" s="12">
        <f>IF(AR575="", AP575, AR575)</f>
        <v>96.9</v>
      </c>
      <c r="AZ575" s="12" t="s">
        <v>43</v>
      </c>
      <c r="BA575" s="12" t="str">
        <f>IF(AZ575="high","high","lower")</f>
        <v>lower</v>
      </c>
      <c r="BB575" s="49">
        <v>0.74399999999999999</v>
      </c>
      <c r="BC575" s="12">
        <v>64.5</v>
      </c>
      <c r="BD575" s="12">
        <v>73.099999999999994</v>
      </c>
      <c r="BE575" s="12">
        <v>50</v>
      </c>
      <c r="BF575" s="12">
        <v>61.3</v>
      </c>
      <c r="BG575" s="18" t="s">
        <v>1032</v>
      </c>
      <c r="BH575" s="18" t="s">
        <v>1033</v>
      </c>
    </row>
    <row r="576" spans="1:60" ht="15.75" customHeight="1" x14ac:dyDescent="0.2">
      <c r="A576" s="11">
        <v>579</v>
      </c>
      <c r="B576" s="12">
        <v>8419</v>
      </c>
      <c r="C576" s="13" t="s">
        <v>755</v>
      </c>
      <c r="D576" s="14" t="s">
        <v>757</v>
      </c>
      <c r="E576" s="23">
        <v>2013</v>
      </c>
      <c r="F576" s="23">
        <v>2019</v>
      </c>
      <c r="G576" s="13" t="s">
        <v>264</v>
      </c>
      <c r="H576" s="13"/>
      <c r="I576" s="13" t="s">
        <v>57</v>
      </c>
      <c r="J576" s="13" t="s">
        <v>58</v>
      </c>
      <c r="K576" s="14"/>
      <c r="L576" s="15">
        <v>38.81</v>
      </c>
      <c r="M576" s="20">
        <v>68</v>
      </c>
      <c r="N576" s="13" t="s">
        <v>42</v>
      </c>
      <c r="O576" s="13"/>
      <c r="P576" s="12">
        <f>IF(Q576="", 0, 1)</f>
        <v>0</v>
      </c>
      <c r="Q576" s="15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2">
        <f>IF(AC576="", 0, 1)</f>
        <v>0</v>
      </c>
      <c r="AC576" s="13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>
        <f>IF(AO576="", 0, 1)</f>
        <v>1</v>
      </c>
      <c r="AO576" s="12">
        <v>67</v>
      </c>
      <c r="AP576" s="12">
        <f>1.72*30</f>
        <v>51.6</v>
      </c>
      <c r="AQ576" s="12">
        <f>2.87*30</f>
        <v>86.100000000000009</v>
      </c>
      <c r="AR576" s="12"/>
      <c r="AS576" s="12"/>
      <c r="AT576" s="12"/>
      <c r="AU576" s="12"/>
      <c r="AV576" s="12"/>
      <c r="AW576" s="12"/>
      <c r="AX576" s="12" t="str">
        <f>IF(AR576="", "mean", "med")</f>
        <v>mean</v>
      </c>
      <c r="AY576" s="12">
        <f>IF(AR576="", AP576, AR576)</f>
        <v>51.6</v>
      </c>
      <c r="AZ576" s="12" t="s">
        <v>43</v>
      </c>
      <c r="BA576" s="12" t="str">
        <f>IF(AZ576="high","high","lower")</f>
        <v>lower</v>
      </c>
      <c r="BB576" s="49">
        <v>0.74399999999999999</v>
      </c>
      <c r="BC576" s="12">
        <v>64.5</v>
      </c>
      <c r="BD576" s="12">
        <v>73.099999999999994</v>
      </c>
      <c r="BE576" s="12">
        <v>50</v>
      </c>
      <c r="BF576" s="12">
        <v>61.3</v>
      </c>
      <c r="BG576" s="18" t="s">
        <v>1032</v>
      </c>
      <c r="BH576" s="18" t="s">
        <v>1033</v>
      </c>
    </row>
    <row r="577" spans="1:60" ht="15.75" customHeight="1" x14ac:dyDescent="0.2">
      <c r="A577" s="11">
        <v>580</v>
      </c>
      <c r="B577" s="12">
        <v>8425</v>
      </c>
      <c r="C577" s="13" t="s">
        <v>758</v>
      </c>
      <c r="D577" s="13" t="s">
        <v>38</v>
      </c>
      <c r="E577" s="23">
        <v>2017</v>
      </c>
      <c r="F577" s="23">
        <v>2019</v>
      </c>
      <c r="G577" s="13" t="s">
        <v>140</v>
      </c>
      <c r="H577" s="13"/>
      <c r="I577" s="13" t="s">
        <v>59</v>
      </c>
      <c r="J577" s="13" t="s">
        <v>82</v>
      </c>
      <c r="K577" s="13"/>
      <c r="L577" s="15">
        <v>31.9</v>
      </c>
      <c r="M577" s="16">
        <v>66.5</v>
      </c>
      <c r="N577" s="13" t="s">
        <v>42</v>
      </c>
      <c r="O577" s="13" t="s">
        <v>759</v>
      </c>
      <c r="P577" s="12">
        <f>IF(Q577="", 0, 1)</f>
        <v>1</v>
      </c>
      <c r="Q577" s="12">
        <v>144</v>
      </c>
      <c r="R577" s="17"/>
      <c r="S577" s="17"/>
      <c r="T577" s="17">
        <v>42</v>
      </c>
      <c r="U577" s="17">
        <v>23</v>
      </c>
      <c r="V577" s="17">
        <v>79</v>
      </c>
      <c r="W577" s="17"/>
      <c r="X577" s="17"/>
      <c r="Y577" s="17"/>
      <c r="Z577" s="17" t="str">
        <f>IF(T577="", "mean", "med")</f>
        <v>med</v>
      </c>
      <c r="AA577" s="17">
        <f>IF(T577="", R577, T577)</f>
        <v>42</v>
      </c>
      <c r="AB577" s="12">
        <f>IF(AC577="", 0, 1)</f>
        <v>1</v>
      </c>
      <c r="AC577" s="13">
        <v>144</v>
      </c>
      <c r="AD577" s="12"/>
      <c r="AE577" s="12"/>
      <c r="AF577" s="12">
        <v>14</v>
      </c>
      <c r="AG577" s="12">
        <v>0</v>
      </c>
      <c r="AH577" s="12">
        <v>33</v>
      </c>
      <c r="AI577" s="12"/>
      <c r="AJ577" s="12"/>
      <c r="AK577" s="12"/>
      <c r="AL577" s="12" t="str">
        <f>IF(AF577="", "mean", "med")</f>
        <v>med</v>
      </c>
      <c r="AM577" s="12">
        <f>IF(AF577="", AD577, AF577)</f>
        <v>14</v>
      </c>
      <c r="AN577" s="12">
        <f>IF(AO577="", 0, 1)</f>
        <v>1</v>
      </c>
      <c r="AO577" s="12">
        <v>144</v>
      </c>
      <c r="AP577" s="12"/>
      <c r="AQ577" s="12"/>
      <c r="AR577" s="12">
        <v>13</v>
      </c>
      <c r="AS577" s="12">
        <v>2</v>
      </c>
      <c r="AT577" s="12">
        <v>92</v>
      </c>
      <c r="AU577" s="12"/>
      <c r="AV577" s="12"/>
      <c r="AW577" s="22"/>
      <c r="AX577" s="12" t="str">
        <f>IF(AR577="", "mean", "med")</f>
        <v>med</v>
      </c>
      <c r="AY577" s="12">
        <f>IF(AR577="", AP577, AR577)</f>
        <v>13</v>
      </c>
      <c r="AZ577" s="49" t="s">
        <v>52</v>
      </c>
      <c r="BA577" s="49" t="str">
        <f>IF(AZ577="high","high","lower")</f>
        <v>high</v>
      </c>
      <c r="BB577" s="49">
        <v>0.877</v>
      </c>
      <c r="BC577" s="49"/>
      <c r="BD577" s="49"/>
      <c r="BE577" s="49"/>
      <c r="BF577" s="49"/>
      <c r="BG577" s="18" t="s">
        <v>1030</v>
      </c>
      <c r="BH577" s="18" t="s">
        <v>1031</v>
      </c>
    </row>
    <row r="578" spans="1:60" ht="15.75" customHeight="1" x14ac:dyDescent="0.2">
      <c r="A578" s="11">
        <v>581</v>
      </c>
      <c r="B578" s="12">
        <v>8469</v>
      </c>
      <c r="C578" s="13" t="s">
        <v>760</v>
      </c>
      <c r="D578" s="13" t="s">
        <v>761</v>
      </c>
      <c r="E578" s="23">
        <v>2006</v>
      </c>
      <c r="F578" s="23">
        <v>2016</v>
      </c>
      <c r="G578" s="14" t="s">
        <v>151</v>
      </c>
      <c r="H578" s="14"/>
      <c r="I578" s="13" t="s">
        <v>57</v>
      </c>
      <c r="J578" s="13" t="s">
        <v>58</v>
      </c>
      <c r="K578" s="13"/>
      <c r="L578" s="19">
        <f>100-(((146+108)/(321+240))*100)</f>
        <v>54.723707664884138</v>
      </c>
      <c r="M578" s="45">
        <v>63.4</v>
      </c>
      <c r="N578" s="13" t="s">
        <v>42</v>
      </c>
      <c r="O578" s="13" t="s">
        <v>90</v>
      </c>
      <c r="P578" s="12">
        <f>IF(Q578="", 0, 1)</f>
        <v>1</v>
      </c>
      <c r="Q578" s="19">
        <f>321+240</f>
        <v>561</v>
      </c>
      <c r="R578" s="17"/>
      <c r="S578" s="17"/>
      <c r="T578" s="17">
        <v>20</v>
      </c>
      <c r="U578" s="17">
        <v>13</v>
      </c>
      <c r="V578" s="17">
        <v>29</v>
      </c>
      <c r="W578" s="17"/>
      <c r="X578" s="55">
        <v>2</v>
      </c>
      <c r="Y578" s="55">
        <v>267</v>
      </c>
      <c r="Z578" s="17" t="str">
        <f>IF(T578="", "mean", "med")</f>
        <v>med</v>
      </c>
      <c r="AA578" s="17">
        <f>IF(T578="", R578, T578)</f>
        <v>20</v>
      </c>
      <c r="AB578" s="12">
        <f>IF(AC578="", 0, 1)</f>
        <v>0</v>
      </c>
      <c r="AC578" s="13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>
        <f>IF(AO578="", 0, 1)</f>
        <v>0</v>
      </c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49" t="s">
        <v>52</v>
      </c>
      <c r="BA578" s="49" t="str">
        <f>IF(AZ578="high","high","lower")</f>
        <v>high</v>
      </c>
      <c r="BB578" s="47"/>
      <c r="BC578" s="49"/>
      <c r="BD578" s="49"/>
      <c r="BE578" s="49"/>
      <c r="BF578" s="49"/>
      <c r="BG578" s="18" t="s">
        <v>1030</v>
      </c>
      <c r="BH578" s="18" t="s">
        <v>1031</v>
      </c>
    </row>
    <row r="579" spans="1:60" ht="15.75" customHeight="1" x14ac:dyDescent="0.2">
      <c r="A579" s="11">
        <v>582</v>
      </c>
      <c r="B579" s="12">
        <v>8475</v>
      </c>
      <c r="C579" s="13" t="s">
        <v>762</v>
      </c>
      <c r="D579" s="13" t="s">
        <v>270</v>
      </c>
      <c r="E579" s="13">
        <v>2020</v>
      </c>
      <c r="F579" s="13">
        <v>2020</v>
      </c>
      <c r="G579" s="13" t="s">
        <v>49</v>
      </c>
      <c r="H579" s="13"/>
      <c r="I579" s="13" t="s">
        <v>79</v>
      </c>
      <c r="J579" s="13" t="s">
        <v>79</v>
      </c>
      <c r="K579" s="13"/>
      <c r="L579" s="15">
        <v>21</v>
      </c>
      <c r="M579" s="16">
        <v>58.3</v>
      </c>
      <c r="N579" s="13" t="s">
        <v>50</v>
      </c>
      <c r="O579" s="44" t="s">
        <v>41</v>
      </c>
      <c r="P579" s="12">
        <f>IF(Q579="", 0, 1)</f>
        <v>1</v>
      </c>
      <c r="Q579" s="12">
        <v>15</v>
      </c>
      <c r="R579" s="17"/>
      <c r="S579" s="17"/>
      <c r="T579" s="17">
        <v>55</v>
      </c>
      <c r="U579" s="17">
        <v>25</v>
      </c>
      <c r="V579" s="17">
        <v>74</v>
      </c>
      <c r="W579" s="17"/>
      <c r="X579" s="17"/>
      <c r="Y579" s="17"/>
      <c r="Z579" s="17" t="str">
        <f>IF(T579="", "mean", "med")</f>
        <v>med</v>
      </c>
      <c r="AA579" s="17">
        <f>IF(T579="", R579, T579)</f>
        <v>55</v>
      </c>
      <c r="AB579" s="12">
        <f>IF(AC579="", 0, 1)</f>
        <v>0</v>
      </c>
      <c r="AC579" s="13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>
        <f>IF(AO579="", 0, 1)</f>
        <v>0</v>
      </c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 t="s">
        <v>52</v>
      </c>
      <c r="BA579" s="12" t="str">
        <f>IF(AZ579="high","high","lower")</f>
        <v>high</v>
      </c>
      <c r="BB579" s="47"/>
      <c r="BC579" s="12">
        <v>84</v>
      </c>
      <c r="BD579" s="12">
        <v>88</v>
      </c>
      <c r="BE579" s="12">
        <v>100</v>
      </c>
      <c r="BF579" s="12">
        <v>84.2</v>
      </c>
      <c r="BG579" s="18" t="s">
        <v>1032</v>
      </c>
      <c r="BH579" s="18" t="s">
        <v>1033</v>
      </c>
    </row>
    <row r="580" spans="1:60" ht="15.75" customHeight="1" x14ac:dyDescent="0.2">
      <c r="A580" s="11">
        <v>583</v>
      </c>
      <c r="B580" s="12">
        <v>8475</v>
      </c>
      <c r="C580" s="13" t="s">
        <v>762</v>
      </c>
      <c r="D580" s="13" t="s">
        <v>763</v>
      </c>
      <c r="E580" s="13">
        <v>2020</v>
      </c>
      <c r="F580" s="13">
        <v>2020</v>
      </c>
      <c r="G580" s="13" t="s">
        <v>49</v>
      </c>
      <c r="H580" s="13"/>
      <c r="I580" s="13" t="s">
        <v>79</v>
      </c>
      <c r="J580" s="13" t="s">
        <v>79</v>
      </c>
      <c r="K580" s="13"/>
      <c r="L580" s="15">
        <v>35</v>
      </c>
      <c r="M580" s="16">
        <v>60.7</v>
      </c>
      <c r="N580" s="13" t="s">
        <v>50</v>
      </c>
      <c r="O580" s="44" t="s">
        <v>41</v>
      </c>
      <c r="P580" s="12">
        <f>IF(Q580="", 0, 1)</f>
        <v>1</v>
      </c>
      <c r="Q580" s="12">
        <v>24</v>
      </c>
      <c r="R580" s="17"/>
      <c r="S580" s="17"/>
      <c r="T580" s="17">
        <v>33</v>
      </c>
      <c r="U580" s="17">
        <v>20</v>
      </c>
      <c r="V580" s="17">
        <v>42</v>
      </c>
      <c r="W580" s="17"/>
      <c r="X580" s="17"/>
      <c r="Y580" s="17"/>
      <c r="Z580" s="17" t="str">
        <f>IF(T580="", "mean", "med")</f>
        <v>med</v>
      </c>
      <c r="AA580" s="17">
        <f>IF(T580="", R580, T580)</f>
        <v>33</v>
      </c>
      <c r="AB580" s="12">
        <f>IF(AC580="", 0, 1)</f>
        <v>0</v>
      </c>
      <c r="AC580" s="13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>
        <f>IF(AO580="", 0, 1)</f>
        <v>0</v>
      </c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 t="s">
        <v>52</v>
      </c>
      <c r="BA580" s="12" t="str">
        <f>IF(AZ580="high","high","lower")</f>
        <v>high</v>
      </c>
      <c r="BB580" s="47"/>
      <c r="BC580" s="12">
        <v>84</v>
      </c>
      <c r="BD580" s="12">
        <v>88</v>
      </c>
      <c r="BE580" s="12">
        <v>100</v>
      </c>
      <c r="BF580" s="12">
        <v>84.2</v>
      </c>
      <c r="BG580" s="18" t="s">
        <v>1032</v>
      </c>
      <c r="BH580" s="18" t="s">
        <v>1033</v>
      </c>
    </row>
    <row r="581" spans="1:60" ht="15.75" customHeight="1" x14ac:dyDescent="0.2">
      <c r="A581" s="11">
        <v>584</v>
      </c>
      <c r="B581" s="12">
        <v>8649</v>
      </c>
      <c r="C581" s="13" t="s">
        <v>764</v>
      </c>
      <c r="D581" s="14" t="s">
        <v>38</v>
      </c>
      <c r="E581" s="23">
        <v>2018</v>
      </c>
      <c r="F581" s="23">
        <v>2018</v>
      </c>
      <c r="G581" s="13" t="s">
        <v>615</v>
      </c>
      <c r="H581" s="13"/>
      <c r="I581" s="13" t="s">
        <v>54</v>
      </c>
      <c r="J581" s="13" t="s">
        <v>55</v>
      </c>
      <c r="K581" s="14"/>
      <c r="L581" s="15">
        <f>100-61.78</f>
        <v>38.22</v>
      </c>
      <c r="M581" s="16">
        <v>62</v>
      </c>
      <c r="N581" s="13" t="s">
        <v>42</v>
      </c>
      <c r="O581" s="13"/>
      <c r="P581" s="12">
        <f>IF(Q581="", 0, 1)</f>
        <v>0</v>
      </c>
      <c r="Q581" s="12"/>
      <c r="R581" s="17"/>
      <c r="S581" s="17"/>
      <c r="T581" s="17"/>
      <c r="U581" s="21"/>
      <c r="V581" s="17"/>
      <c r="W581" s="17"/>
      <c r="X581" s="17"/>
      <c r="Y581" s="17"/>
      <c r="Z581" s="17"/>
      <c r="AA581" s="17"/>
      <c r="AB581" s="12">
        <f>IF(AC581="", 0, 1)</f>
        <v>1</v>
      </c>
      <c r="AC581" s="13">
        <v>183</v>
      </c>
      <c r="AD581" s="12">
        <v>98.3</v>
      </c>
      <c r="AE581" s="12"/>
      <c r="AF581" s="12">
        <v>91</v>
      </c>
      <c r="AG581" s="12"/>
      <c r="AH581" s="12"/>
      <c r="AI581" s="12"/>
      <c r="AJ581" s="12"/>
      <c r="AK581" s="12"/>
      <c r="AL581" s="12" t="str">
        <f>IF(AF581="", "mean", "med")</f>
        <v>med</v>
      </c>
      <c r="AM581" s="12">
        <f>IF(AF581="", AD581, AF581)</f>
        <v>91</v>
      </c>
      <c r="AN581" s="12">
        <f>IF(AO581="", 0, 1)</f>
        <v>1</v>
      </c>
      <c r="AO581" s="12">
        <v>189</v>
      </c>
      <c r="AP581" s="12">
        <v>74.040000000000006</v>
      </c>
      <c r="AQ581" s="12"/>
      <c r="AR581" s="12">
        <v>61</v>
      </c>
      <c r="AS581" s="12"/>
      <c r="AT581" s="12"/>
      <c r="AU581" s="12"/>
      <c r="AV581" s="12"/>
      <c r="AW581" s="12"/>
      <c r="AX581" s="12" t="str">
        <f>IF(AR581="", "mean", "med")</f>
        <v>med</v>
      </c>
      <c r="AY581" s="12">
        <f>IF(AR581="", AP581, AR581)</f>
        <v>61</v>
      </c>
      <c r="AZ581" s="12" t="s">
        <v>43</v>
      </c>
      <c r="BA581" s="12" t="str">
        <f>IF(AZ581="high","high","lower")</f>
        <v>lower</v>
      </c>
      <c r="BB581" s="49">
        <v>0.77200000000000002</v>
      </c>
      <c r="BC581" s="12">
        <v>69.400000000000006</v>
      </c>
      <c r="BD581" s="12">
        <v>86.4</v>
      </c>
      <c r="BE581" s="12">
        <v>83.3</v>
      </c>
      <c r="BF581" s="12">
        <v>64.400000000000006</v>
      </c>
      <c r="BG581" s="18" t="s">
        <v>1030</v>
      </c>
      <c r="BH581" s="18" t="s">
        <v>1031</v>
      </c>
    </row>
    <row r="582" spans="1:60" ht="15.75" customHeight="1" x14ac:dyDescent="0.2">
      <c r="A582" s="11">
        <v>585</v>
      </c>
      <c r="B582" s="12">
        <v>8680</v>
      </c>
      <c r="C582" s="13" t="s">
        <v>765</v>
      </c>
      <c r="D582" s="13" t="s">
        <v>38</v>
      </c>
      <c r="E582" s="23">
        <v>2009</v>
      </c>
      <c r="F582" s="23">
        <v>2009</v>
      </c>
      <c r="G582" s="13" t="s">
        <v>766</v>
      </c>
      <c r="H582" s="13"/>
      <c r="I582" s="13" t="s">
        <v>57</v>
      </c>
      <c r="J582" s="13" t="s">
        <v>58</v>
      </c>
      <c r="K582" s="14"/>
      <c r="L582" s="15">
        <f>35/206*100</f>
        <v>16.990291262135923</v>
      </c>
      <c r="M582" s="16">
        <v>66</v>
      </c>
      <c r="N582" s="13" t="s">
        <v>42</v>
      </c>
      <c r="O582" s="14"/>
      <c r="P582" s="12">
        <f>IF(Q582="", 0, 1)</f>
        <v>0</v>
      </c>
      <c r="Q582" s="12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2">
        <f>IF(AC582="", 0, 1)</f>
        <v>1</v>
      </c>
      <c r="AC582" s="13">
        <v>206</v>
      </c>
      <c r="AD582" s="12">
        <f>4.22*7</f>
        <v>29.54</v>
      </c>
      <c r="AE582" s="12"/>
      <c r="AF582" s="12"/>
      <c r="AG582" s="12"/>
      <c r="AH582" s="12"/>
      <c r="AI582" s="12"/>
      <c r="AJ582" s="12"/>
      <c r="AK582" s="12"/>
      <c r="AL582" s="12" t="str">
        <f>IF(AF582="", "mean", "med")</f>
        <v>mean</v>
      </c>
      <c r="AM582" s="12">
        <f>IF(AF582="", AD582, AF582)</f>
        <v>29.54</v>
      </c>
      <c r="AN582" s="12">
        <f>IF(AO582="", 0, 1)</f>
        <v>1</v>
      </c>
      <c r="AO582" s="12">
        <v>206</v>
      </c>
      <c r="AP582" s="12">
        <f>6.2*7</f>
        <v>43.4</v>
      </c>
      <c r="AQ582" s="12"/>
      <c r="AR582" s="12">
        <f>4*7</f>
        <v>28</v>
      </c>
      <c r="AS582" s="12"/>
      <c r="AT582" s="12"/>
      <c r="AU582" s="12"/>
      <c r="AV582" s="12">
        <v>2</v>
      </c>
      <c r="AW582" s="12">
        <f>33*7</f>
        <v>231</v>
      </c>
      <c r="AX582" s="12" t="str">
        <f>IF(AR582="", "mean", "med")</f>
        <v>med</v>
      </c>
      <c r="AY582" s="12">
        <f>IF(AR582="", AP582, AR582)</f>
        <v>28</v>
      </c>
      <c r="AZ582" s="49" t="s">
        <v>43</v>
      </c>
      <c r="BA582" s="49" t="str">
        <f>IF(AZ582="high","high","lower")</f>
        <v>lower</v>
      </c>
      <c r="BB582" s="49">
        <v>0.79700000000000004</v>
      </c>
      <c r="BC582" s="49"/>
      <c r="BD582" s="49"/>
      <c r="BE582" s="49"/>
      <c r="BF582" s="49"/>
      <c r="BG582" s="18" t="s">
        <v>1032</v>
      </c>
      <c r="BH582" s="18" t="s">
        <v>1033</v>
      </c>
    </row>
    <row r="583" spans="1:60" ht="15.75" customHeight="1" x14ac:dyDescent="0.2">
      <c r="A583" s="11">
        <v>586</v>
      </c>
      <c r="B583" s="22">
        <v>8847</v>
      </c>
      <c r="C583" s="13" t="s">
        <v>638</v>
      </c>
      <c r="D583" s="42" t="s">
        <v>38</v>
      </c>
      <c r="E583" s="23">
        <v>2007</v>
      </c>
      <c r="F583" s="23">
        <v>2010</v>
      </c>
      <c r="G583" s="13" t="s">
        <v>49</v>
      </c>
      <c r="H583" s="13"/>
      <c r="I583" s="13" t="s">
        <v>79</v>
      </c>
      <c r="J583" s="31" t="s">
        <v>236</v>
      </c>
      <c r="K583" s="13"/>
      <c r="L583" s="15">
        <f>115/247*100</f>
        <v>46.558704453441294</v>
      </c>
      <c r="M583" s="20">
        <v>64.2</v>
      </c>
      <c r="N583" s="13" t="s">
        <v>99</v>
      </c>
      <c r="O583" s="13" t="s">
        <v>605</v>
      </c>
      <c r="P583" s="12">
        <f>IF(Q583="", 0, 1)</f>
        <v>1</v>
      </c>
      <c r="Q583" s="12">
        <v>247</v>
      </c>
      <c r="R583" s="17"/>
      <c r="S583" s="17"/>
      <c r="T583" s="17">
        <f>3.9*7</f>
        <v>27.3</v>
      </c>
      <c r="U583" s="55">
        <f>2.6*7</f>
        <v>18.2</v>
      </c>
      <c r="V583" s="17">
        <f>5.9*7</f>
        <v>41.300000000000004</v>
      </c>
      <c r="W583" s="17"/>
      <c r="X583" s="17"/>
      <c r="Y583" s="17"/>
      <c r="Z583" s="17" t="str">
        <f>IF(T583="", "mean", "med")</f>
        <v>med</v>
      </c>
      <c r="AA583" s="17">
        <f>IF(T583="", R583, T583)</f>
        <v>27.3</v>
      </c>
      <c r="AB583" s="12">
        <f>IF(AC583="", 0, 1)</f>
        <v>1</v>
      </c>
      <c r="AC583" s="13">
        <v>247</v>
      </c>
      <c r="AD583" s="12"/>
      <c r="AE583" s="12"/>
      <c r="AF583" s="12">
        <f>2*7</f>
        <v>14</v>
      </c>
      <c r="AG583" s="12">
        <f>0.6*7</f>
        <v>4.2</v>
      </c>
      <c r="AH583" s="12">
        <f>8.6*7</f>
        <v>60.199999999999996</v>
      </c>
      <c r="AI583" s="12"/>
      <c r="AJ583" s="12"/>
      <c r="AK583" s="12"/>
      <c r="AL583" s="12" t="str">
        <f>IF(AF583="", "mean", "med")</f>
        <v>med</v>
      </c>
      <c r="AM583" s="12">
        <f>IF(AF583="", AD583, AF583)</f>
        <v>14</v>
      </c>
      <c r="AN583" s="12">
        <f>IF(AO583="", 0, 1)</f>
        <v>1</v>
      </c>
      <c r="AO583" s="12">
        <v>247</v>
      </c>
      <c r="AP583" s="12"/>
      <c r="AQ583" s="12"/>
      <c r="AR583" s="12">
        <f>8.6*7</f>
        <v>60.199999999999996</v>
      </c>
      <c r="AS583" s="12">
        <f>4*7</f>
        <v>28</v>
      </c>
      <c r="AT583" s="12">
        <f>25.8*7</f>
        <v>180.6</v>
      </c>
      <c r="AU583" s="12"/>
      <c r="AV583" s="12">
        <v>0</v>
      </c>
      <c r="AW583" s="12">
        <f>520*7</f>
        <v>3640</v>
      </c>
      <c r="AX583" s="12" t="str">
        <f>IF(AR583="", "mean", "med")</f>
        <v>med</v>
      </c>
      <c r="AY583" s="12">
        <f>IF(AR583="", AP583, AR583)</f>
        <v>60.199999999999996</v>
      </c>
      <c r="AZ583" s="12" t="s">
        <v>52</v>
      </c>
      <c r="BA583" s="12" t="str">
        <f>IF(AZ583="high","high","lower")</f>
        <v>high</v>
      </c>
      <c r="BB583" s="49">
        <v>0.91100000000000003</v>
      </c>
      <c r="BC583" s="12">
        <v>84</v>
      </c>
      <c r="BD583" s="12">
        <v>88</v>
      </c>
      <c r="BE583" s="12">
        <v>100</v>
      </c>
      <c r="BF583" s="12">
        <v>84.2</v>
      </c>
      <c r="BG583" s="18" t="s">
        <v>1030</v>
      </c>
      <c r="BH583" s="18" t="s">
        <v>1031</v>
      </c>
    </row>
    <row r="584" spans="1:60" ht="15.75" customHeight="1" x14ac:dyDescent="0.2">
      <c r="A584" s="11">
        <v>587</v>
      </c>
      <c r="B584" s="12">
        <v>8848</v>
      </c>
      <c r="C584" s="13" t="s">
        <v>638</v>
      </c>
      <c r="D584" s="14" t="s">
        <v>38</v>
      </c>
      <c r="E584" s="23">
        <v>2007</v>
      </c>
      <c r="F584" s="23">
        <v>2010</v>
      </c>
      <c r="G584" s="13" t="s">
        <v>49</v>
      </c>
      <c r="H584" s="13"/>
      <c r="I584" s="13" t="s">
        <v>79</v>
      </c>
      <c r="J584" s="13" t="s">
        <v>767</v>
      </c>
      <c r="K584" s="13"/>
      <c r="L584" s="15">
        <f>31/101*100</f>
        <v>30.693069306930692</v>
      </c>
      <c r="M584" s="16">
        <v>52</v>
      </c>
      <c r="N584" s="13" t="s">
        <v>42</v>
      </c>
      <c r="O584" s="13" t="s">
        <v>41</v>
      </c>
      <c r="P584" s="12">
        <f>IF(Q584="", 0, 1)</f>
        <v>1</v>
      </c>
      <c r="Q584" s="12">
        <v>101</v>
      </c>
      <c r="R584" s="17"/>
      <c r="S584" s="17"/>
      <c r="T584" s="17">
        <f>5.5*7</f>
        <v>38.5</v>
      </c>
      <c r="U584" s="17">
        <f>3.9*7</f>
        <v>27.3</v>
      </c>
      <c r="V584" s="17">
        <f>7*7.6</f>
        <v>53.199999999999996</v>
      </c>
      <c r="W584" s="17"/>
      <c r="X584" s="17"/>
      <c r="Y584" s="17"/>
      <c r="Z584" s="17" t="str">
        <f>IF(T584="", "mean", "med")</f>
        <v>med</v>
      </c>
      <c r="AA584" s="17">
        <f>IF(T584="", R584, T584)</f>
        <v>38.5</v>
      </c>
      <c r="AB584" s="12">
        <f>IF(AC584="", 0, 1)</f>
        <v>0</v>
      </c>
      <c r="AC584" s="13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>
        <f>IF(AO584="", 0, 1)</f>
        <v>1</v>
      </c>
      <c r="AO584" s="12">
        <v>101</v>
      </c>
      <c r="AP584" s="12"/>
      <c r="AQ584" s="12"/>
      <c r="AR584" s="12">
        <f>6*7</f>
        <v>42</v>
      </c>
      <c r="AS584" s="12">
        <f>2*7</f>
        <v>14</v>
      </c>
      <c r="AT584" s="12">
        <f>7*13.5</f>
        <v>94.5</v>
      </c>
      <c r="AU584" s="12"/>
      <c r="AV584" s="12"/>
      <c r="AW584" s="12"/>
      <c r="AX584" s="12" t="str">
        <f>IF(AR584="", "mean", "med")</f>
        <v>med</v>
      </c>
      <c r="AY584" s="12">
        <f>IF(AR584="", AP584, AR584)</f>
        <v>42</v>
      </c>
      <c r="AZ584" s="12" t="s">
        <v>52</v>
      </c>
      <c r="BA584" s="12" t="str">
        <f>IF(AZ584="high","high","lower")</f>
        <v>high</v>
      </c>
      <c r="BB584" s="49">
        <v>0.91100000000000003</v>
      </c>
      <c r="BC584" s="12">
        <v>84</v>
      </c>
      <c r="BD584" s="12">
        <v>88</v>
      </c>
      <c r="BE584" s="12">
        <v>100</v>
      </c>
      <c r="BF584" s="12">
        <v>84.2</v>
      </c>
      <c r="BG584" s="18" t="s">
        <v>1032</v>
      </c>
      <c r="BH584" s="18" t="s">
        <v>1033</v>
      </c>
    </row>
    <row r="585" spans="1:60" ht="15.75" customHeight="1" x14ac:dyDescent="0.2">
      <c r="A585" s="11">
        <v>588</v>
      </c>
      <c r="B585" s="12">
        <v>8886</v>
      </c>
      <c r="C585" s="13" t="s">
        <v>768</v>
      </c>
      <c r="D585" s="13" t="s">
        <v>38</v>
      </c>
      <c r="E585" s="23">
        <v>2012</v>
      </c>
      <c r="F585" s="23">
        <v>2014</v>
      </c>
      <c r="G585" s="13" t="s">
        <v>49</v>
      </c>
      <c r="H585" s="13"/>
      <c r="I585" s="13" t="s">
        <v>57</v>
      </c>
      <c r="J585" s="13" t="s">
        <v>58</v>
      </c>
      <c r="K585" s="13"/>
      <c r="L585" s="15" t="s">
        <v>41</v>
      </c>
      <c r="M585" s="16">
        <v>64.94</v>
      </c>
      <c r="N585" s="13" t="s">
        <v>42</v>
      </c>
      <c r="O585" s="13" t="s">
        <v>769</v>
      </c>
      <c r="P585" s="12">
        <f>IF(Q585="", 0, 1)</f>
        <v>1</v>
      </c>
      <c r="Q585" s="12">
        <v>227</v>
      </c>
      <c r="R585" s="17">
        <v>20</v>
      </c>
      <c r="S585" s="17">
        <v>20.9</v>
      </c>
      <c r="T585" s="17">
        <v>15</v>
      </c>
      <c r="U585" s="17">
        <v>7</v>
      </c>
      <c r="V585" s="17">
        <v>27</v>
      </c>
      <c r="W585" s="17"/>
      <c r="X585" s="17">
        <v>0</v>
      </c>
      <c r="Y585" s="17">
        <v>180</v>
      </c>
      <c r="Z585" s="17" t="str">
        <f>IF(T585="", "mean", "med")</f>
        <v>med</v>
      </c>
      <c r="AA585" s="17">
        <f>IF(T585="", R585, T585)</f>
        <v>15</v>
      </c>
      <c r="AB585" s="12">
        <f>IF(AC585="", 0, 1)</f>
        <v>1</v>
      </c>
      <c r="AC585" s="13">
        <v>239</v>
      </c>
      <c r="AD585" s="12">
        <v>85.2</v>
      </c>
      <c r="AE585" s="12">
        <v>171.5</v>
      </c>
      <c r="AF585" s="12">
        <v>34</v>
      </c>
      <c r="AG585" s="12">
        <v>13.5</v>
      </c>
      <c r="AH585" s="12">
        <v>74</v>
      </c>
      <c r="AI585" s="12"/>
      <c r="AJ585" s="12">
        <v>0</v>
      </c>
      <c r="AK585" s="12">
        <v>1656</v>
      </c>
      <c r="AL585" s="12" t="str">
        <f>IF(AF585="", "mean", "med")</f>
        <v>med</v>
      </c>
      <c r="AM585" s="12">
        <f>IF(AF585="", AD585, AF585)</f>
        <v>34</v>
      </c>
      <c r="AN585" s="12">
        <f>IF(AO585="", 0, 1)</f>
        <v>0</v>
      </c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 t="s">
        <v>52</v>
      </c>
      <c r="BA585" s="12" t="str">
        <f>IF(AZ585="high","high","lower")</f>
        <v>high</v>
      </c>
      <c r="BB585" s="49">
        <v>0.91900000000000004</v>
      </c>
      <c r="BC585" s="12">
        <v>84</v>
      </c>
      <c r="BD585" s="12">
        <v>88</v>
      </c>
      <c r="BE585" s="12">
        <v>100</v>
      </c>
      <c r="BF585" s="12">
        <v>84.2</v>
      </c>
      <c r="BG585" s="18" t="s">
        <v>1034</v>
      </c>
      <c r="BH585" s="18" t="s">
        <v>1031</v>
      </c>
    </row>
    <row r="586" spans="1:60" ht="15.75" customHeight="1" x14ac:dyDescent="0.2">
      <c r="A586" s="11">
        <v>589</v>
      </c>
      <c r="B586" s="12">
        <v>8966</v>
      </c>
      <c r="C586" s="13" t="s">
        <v>770</v>
      </c>
      <c r="D586" s="13" t="s">
        <v>38</v>
      </c>
      <c r="E586" s="23">
        <v>1997</v>
      </c>
      <c r="F586" s="23">
        <v>2017</v>
      </c>
      <c r="G586" s="13" t="s">
        <v>125</v>
      </c>
      <c r="H586" s="13"/>
      <c r="I586" s="13" t="s">
        <v>70</v>
      </c>
      <c r="J586" s="13" t="s">
        <v>119</v>
      </c>
      <c r="K586" s="13" t="s">
        <v>771</v>
      </c>
      <c r="L586" s="15">
        <f>18/34*100</f>
        <v>52.941176470588239</v>
      </c>
      <c r="M586" s="16">
        <v>66</v>
      </c>
      <c r="N586" s="13" t="s">
        <v>42</v>
      </c>
      <c r="O586" s="13"/>
      <c r="P586" s="12">
        <f>IF(Q586="", 0, 1)</f>
        <v>0</v>
      </c>
      <c r="Q586" s="12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2">
        <f>IF(AC586="", 0, 1)</f>
        <v>1</v>
      </c>
      <c r="AC586" s="13">
        <v>34</v>
      </c>
      <c r="AD586" s="12"/>
      <c r="AE586" s="12"/>
      <c r="AF586" s="12">
        <f>5.5*30</f>
        <v>165</v>
      </c>
      <c r="AG586" s="12"/>
      <c r="AH586" s="12"/>
      <c r="AI586" s="12"/>
      <c r="AJ586" s="12">
        <f>1*30</f>
        <v>30</v>
      </c>
      <c r="AK586" s="12">
        <f>36*30</f>
        <v>1080</v>
      </c>
      <c r="AL586" s="12" t="str">
        <f>IF(AF586="", "mean", "med")</f>
        <v>med</v>
      </c>
      <c r="AM586" s="12">
        <f>IF(AF586="", AD586, AF586)</f>
        <v>165</v>
      </c>
      <c r="AN586" s="12">
        <f>IF(AO586="", 0, 1)</f>
        <v>1</v>
      </c>
      <c r="AO586" s="12">
        <v>34</v>
      </c>
      <c r="AP586" s="12"/>
      <c r="AQ586" s="12"/>
      <c r="AR586" s="12">
        <f>15*30</f>
        <v>450</v>
      </c>
      <c r="AS586" s="12"/>
      <c r="AT586" s="12"/>
      <c r="AU586" s="12"/>
      <c r="AV586" s="12">
        <f>4*30</f>
        <v>120</v>
      </c>
      <c r="AW586" s="12">
        <f>60*30</f>
        <v>1800</v>
      </c>
      <c r="AX586" s="12" t="str">
        <f>IF(AR586="", "mean", "med")</f>
        <v>med</v>
      </c>
      <c r="AY586" s="12">
        <f>IF(AR586="", AP586, AR586)</f>
        <v>450</v>
      </c>
      <c r="AZ586" s="12" t="s">
        <v>52</v>
      </c>
      <c r="BA586" s="12" t="str">
        <f>IF(AZ586="high","high","lower")</f>
        <v>high</v>
      </c>
      <c r="BB586" s="49">
        <v>0.85899999999999999</v>
      </c>
      <c r="BC586" s="12">
        <v>84</v>
      </c>
      <c r="BD586" s="12">
        <v>89.7</v>
      </c>
      <c r="BE586" s="12">
        <v>70.8</v>
      </c>
      <c r="BF586" s="12">
        <v>89.2</v>
      </c>
      <c r="BG586" s="18" t="s">
        <v>1030</v>
      </c>
      <c r="BH586" s="18" t="s">
        <v>1031</v>
      </c>
    </row>
    <row r="587" spans="1:60" ht="15.75" customHeight="1" x14ac:dyDescent="0.2">
      <c r="A587" s="11">
        <v>590</v>
      </c>
      <c r="B587" s="12">
        <v>9062</v>
      </c>
      <c r="C587" s="13" t="s">
        <v>772</v>
      </c>
      <c r="D587" s="13" t="s">
        <v>38</v>
      </c>
      <c r="E587" s="23">
        <v>2006</v>
      </c>
      <c r="F587" s="23">
        <v>2007</v>
      </c>
      <c r="G587" s="13" t="s">
        <v>264</v>
      </c>
      <c r="H587" s="13"/>
      <c r="I587" s="13" t="s">
        <v>40</v>
      </c>
      <c r="J587" s="13" t="s">
        <v>40</v>
      </c>
      <c r="K587" s="13"/>
      <c r="L587" s="15">
        <v>100</v>
      </c>
      <c r="M587" s="16">
        <v>48</v>
      </c>
      <c r="N587" s="13" t="s">
        <v>42</v>
      </c>
      <c r="O587" s="13"/>
      <c r="P587" s="12">
        <f>IF(Q587="", 0, 1)</f>
        <v>0</v>
      </c>
      <c r="Q587" s="12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2">
        <f>IF(AC587="", 0, 1)</f>
        <v>0</v>
      </c>
      <c r="AC587" s="13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>
        <f>IF(AO587="", 0, 1)</f>
        <v>1</v>
      </c>
      <c r="AO587" s="12">
        <v>158</v>
      </c>
      <c r="AP587" s="12">
        <f>13.1*7</f>
        <v>91.7</v>
      </c>
      <c r="AQ587" s="12"/>
      <c r="AR587" s="12"/>
      <c r="AS587" s="12"/>
      <c r="AT587" s="12"/>
      <c r="AU587" s="12"/>
      <c r="AV587" s="12">
        <v>0</v>
      </c>
      <c r="AW587" s="12">
        <f>104.3*7</f>
        <v>730.1</v>
      </c>
      <c r="AX587" s="12" t="str">
        <f>IF(AR587="", "mean", "med")</f>
        <v>mean</v>
      </c>
      <c r="AY587" s="12">
        <f>IF(AR587="", AP587, AR587)</f>
        <v>91.7</v>
      </c>
      <c r="AZ587" s="12" t="s">
        <v>46</v>
      </c>
      <c r="BA587" s="12" t="str">
        <f>IF(AZ587="high","high","lower")</f>
        <v>lower</v>
      </c>
      <c r="BB587" s="49">
        <v>0.66</v>
      </c>
      <c r="BC587" s="12">
        <v>64.5</v>
      </c>
      <c r="BD587" s="12">
        <v>73.099999999999994</v>
      </c>
      <c r="BE587" s="12">
        <v>50</v>
      </c>
      <c r="BF587" s="12">
        <v>61.3</v>
      </c>
      <c r="BG587" s="18" t="s">
        <v>1030</v>
      </c>
      <c r="BH587" s="18" t="s">
        <v>1031</v>
      </c>
    </row>
    <row r="588" spans="1:60" ht="15.75" customHeight="1" x14ac:dyDescent="0.2">
      <c r="A588" s="11">
        <v>591</v>
      </c>
      <c r="B588" s="12">
        <v>9129</v>
      </c>
      <c r="C588" s="13" t="s">
        <v>773</v>
      </c>
      <c r="D588" s="13" t="s">
        <v>38</v>
      </c>
      <c r="E588" s="23">
        <v>2007</v>
      </c>
      <c r="F588" s="23">
        <v>2008</v>
      </c>
      <c r="G588" s="13" t="s">
        <v>151</v>
      </c>
      <c r="H588" s="13"/>
      <c r="I588" s="13" t="s">
        <v>40</v>
      </c>
      <c r="J588" s="13" t="s">
        <v>40</v>
      </c>
      <c r="K588" s="13"/>
      <c r="L588" s="19">
        <v>100</v>
      </c>
      <c r="M588" s="16">
        <v>48.7</v>
      </c>
      <c r="N588" s="13" t="s">
        <v>50</v>
      </c>
      <c r="O588" s="14"/>
      <c r="P588" s="12">
        <f>IF(Q588="", 0, 1)</f>
        <v>0</v>
      </c>
      <c r="Q588" s="12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2">
        <f>IF(AC588="", 0, 1)</f>
        <v>1</v>
      </c>
      <c r="AC588" s="13">
        <v>450</v>
      </c>
      <c r="AD588" s="12">
        <v>27.8</v>
      </c>
      <c r="AE588" s="12">
        <v>88</v>
      </c>
      <c r="AF588" s="12"/>
      <c r="AG588" s="12"/>
      <c r="AH588" s="12"/>
      <c r="AI588" s="12"/>
      <c r="AJ588" s="12"/>
      <c r="AK588" s="12"/>
      <c r="AL588" s="12" t="str">
        <f>IF(AF588="", "mean", "med")</f>
        <v>mean</v>
      </c>
      <c r="AM588" s="12">
        <f>IF(AF588="", AD588, AF588)</f>
        <v>27.8</v>
      </c>
      <c r="AN588" s="12">
        <f>IF(AO588="", 0, 1)</f>
        <v>0</v>
      </c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49" t="s">
        <v>52</v>
      </c>
      <c r="BA588" s="49" t="str">
        <f>IF(AZ588="high","high","lower")</f>
        <v>high</v>
      </c>
      <c r="BB588" s="47"/>
      <c r="BC588" s="49"/>
      <c r="BD588" s="49"/>
      <c r="BE588" s="49"/>
      <c r="BF588" s="49"/>
      <c r="BG588" s="18" t="s">
        <v>1030</v>
      </c>
      <c r="BH588" s="18" t="s">
        <v>1031</v>
      </c>
    </row>
    <row r="589" spans="1:60" ht="15.75" customHeight="1" x14ac:dyDescent="0.2">
      <c r="A589" s="11">
        <v>592</v>
      </c>
      <c r="B589" s="12">
        <v>9187</v>
      </c>
      <c r="C589" s="13" t="s">
        <v>774</v>
      </c>
      <c r="D589" s="13" t="s">
        <v>775</v>
      </c>
      <c r="E589" s="23">
        <v>1997</v>
      </c>
      <c r="F589" s="23">
        <v>2007</v>
      </c>
      <c r="G589" s="13" t="s">
        <v>49</v>
      </c>
      <c r="H589" s="13"/>
      <c r="I589" s="13" t="s">
        <v>54</v>
      </c>
      <c r="J589" s="13" t="s">
        <v>227</v>
      </c>
      <c r="K589" s="13"/>
      <c r="L589" s="15">
        <v>33.9</v>
      </c>
      <c r="M589" s="16">
        <v>45</v>
      </c>
      <c r="N589" s="13" t="s">
        <v>50</v>
      </c>
      <c r="O589" s="13"/>
      <c r="P589" s="12">
        <f>IF(Q589="", 0, 1)</f>
        <v>0</v>
      </c>
      <c r="Q589" s="12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2">
        <f>IF(AC589="", 0, 1)</f>
        <v>0</v>
      </c>
      <c r="AC589" s="13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>
        <f>IF(AO589="", 0, 1)</f>
        <v>1</v>
      </c>
      <c r="AO589" s="12">
        <v>56</v>
      </c>
      <c r="AP589" s="12"/>
      <c r="AQ589" s="12"/>
      <c r="AR589" s="12">
        <v>121</v>
      </c>
      <c r="AS589" s="12"/>
      <c r="AT589" s="12"/>
      <c r="AU589" s="12"/>
      <c r="AV589" s="12"/>
      <c r="AW589" s="12"/>
      <c r="AX589" s="12" t="str">
        <f>IF(AR589="", "mean", "med")</f>
        <v>med</v>
      </c>
      <c r="AY589" s="12">
        <f>IF(AR589="", AP589, AR589)</f>
        <v>121</v>
      </c>
      <c r="AZ589" s="12" t="s">
        <v>52</v>
      </c>
      <c r="BA589" s="12" t="str">
        <f>IF(AZ589="high","high","lower")</f>
        <v>high</v>
      </c>
      <c r="BB589" s="49">
        <v>0.89400000000000002</v>
      </c>
      <c r="BC589" s="12">
        <v>84</v>
      </c>
      <c r="BD589" s="12">
        <v>88</v>
      </c>
      <c r="BE589" s="12">
        <v>100</v>
      </c>
      <c r="BF589" s="12">
        <v>84.2</v>
      </c>
      <c r="BG589" s="18" t="s">
        <v>1030</v>
      </c>
      <c r="BH589" s="18" t="s">
        <v>1031</v>
      </c>
    </row>
    <row r="590" spans="1:60" ht="15.75" customHeight="1" x14ac:dyDescent="0.2">
      <c r="A590" s="11">
        <v>593</v>
      </c>
      <c r="B590" s="12">
        <v>9187</v>
      </c>
      <c r="C590" s="13" t="s">
        <v>774</v>
      </c>
      <c r="D590" s="13" t="s">
        <v>776</v>
      </c>
      <c r="E590" s="23">
        <v>1997</v>
      </c>
      <c r="F590" s="23">
        <v>2007</v>
      </c>
      <c r="G590" s="13" t="s">
        <v>49</v>
      </c>
      <c r="H590" s="13"/>
      <c r="I590" s="13" t="s">
        <v>54</v>
      </c>
      <c r="J590" s="13" t="s">
        <v>227</v>
      </c>
      <c r="K590" s="13"/>
      <c r="L590" s="15">
        <v>35.700000000000003</v>
      </c>
      <c r="M590" s="16">
        <v>64</v>
      </c>
      <c r="N590" s="13" t="s">
        <v>50</v>
      </c>
      <c r="O590" s="13"/>
      <c r="P590" s="12">
        <f>IF(Q590="", 0, 1)</f>
        <v>0</v>
      </c>
      <c r="Q590" s="12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2">
        <f>IF(AC590="", 0, 1)</f>
        <v>0</v>
      </c>
      <c r="AC590" s="13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>
        <f>IF(AO590="", 0, 1)</f>
        <v>1</v>
      </c>
      <c r="AO590" s="12">
        <v>56</v>
      </c>
      <c r="AP590" s="12"/>
      <c r="AQ590" s="12"/>
      <c r="AR590" s="12">
        <v>21</v>
      </c>
      <c r="AS590" s="12"/>
      <c r="AT590" s="12"/>
      <c r="AU590" s="12"/>
      <c r="AV590" s="12"/>
      <c r="AW590" s="12"/>
      <c r="AX590" s="12" t="str">
        <f>IF(AR590="", "mean", "med")</f>
        <v>med</v>
      </c>
      <c r="AY590" s="12">
        <f>IF(AR590="", AP590, AR590)</f>
        <v>21</v>
      </c>
      <c r="AZ590" s="12" t="s">
        <v>52</v>
      </c>
      <c r="BA590" s="12" t="str">
        <f>IF(AZ590="high","high","lower")</f>
        <v>high</v>
      </c>
      <c r="BB590" s="49">
        <v>0.89400000000000002</v>
      </c>
      <c r="BC590" s="12">
        <v>84</v>
      </c>
      <c r="BD590" s="12">
        <v>88</v>
      </c>
      <c r="BE590" s="12">
        <v>100</v>
      </c>
      <c r="BF590" s="12">
        <v>84.2</v>
      </c>
      <c r="BG590" s="18" t="s">
        <v>1030</v>
      </c>
      <c r="BH590" s="18" t="s">
        <v>1031</v>
      </c>
    </row>
    <row r="591" spans="1:60" ht="15.75" customHeight="1" x14ac:dyDescent="0.2">
      <c r="A591" s="11">
        <v>594</v>
      </c>
      <c r="B591" s="12">
        <v>9433</v>
      </c>
      <c r="C591" s="13" t="s">
        <v>777</v>
      </c>
      <c r="D591" s="14" t="s">
        <v>38</v>
      </c>
      <c r="E591" s="23">
        <v>2000</v>
      </c>
      <c r="F591" s="23">
        <v>2004</v>
      </c>
      <c r="G591" s="13" t="s">
        <v>778</v>
      </c>
      <c r="H591" s="13"/>
      <c r="I591" s="13" t="s">
        <v>40</v>
      </c>
      <c r="J591" s="13" t="s">
        <v>40</v>
      </c>
      <c r="K591" s="13"/>
      <c r="L591" s="19" t="s">
        <v>41</v>
      </c>
      <c r="M591" s="20" t="s">
        <v>41</v>
      </c>
      <c r="N591" s="13" t="s">
        <v>42</v>
      </c>
      <c r="O591" s="13" t="s">
        <v>779</v>
      </c>
      <c r="P591" s="12">
        <f>IF(Q591="", 0, 1)</f>
        <v>1</v>
      </c>
      <c r="Q591" s="12">
        <v>87</v>
      </c>
      <c r="R591" s="17">
        <v>93.5</v>
      </c>
      <c r="S591" s="17">
        <v>228.46</v>
      </c>
      <c r="T591" s="17">
        <v>28</v>
      </c>
      <c r="U591" s="17"/>
      <c r="V591" s="17"/>
      <c r="W591" s="17"/>
      <c r="X591" s="21">
        <v>1</v>
      </c>
      <c r="Y591" s="21">
        <v>1637</v>
      </c>
      <c r="Z591" s="17" t="str">
        <f>IF(T591="", "mean", "med")</f>
        <v>med</v>
      </c>
      <c r="AA591" s="17">
        <f>IF(T591="", R591, T591)</f>
        <v>28</v>
      </c>
      <c r="AB591" s="12">
        <f>IF(AC591="", 0, 1)</f>
        <v>0</v>
      </c>
      <c r="AC591" s="13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>
        <f>IF(AO591="", 0, 1)</f>
        <v>0</v>
      </c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 t="s">
        <v>146</v>
      </c>
      <c r="BA591" s="12" t="str">
        <f>IF(AZ591="high","high","lower")</f>
        <v>lower</v>
      </c>
      <c r="BB591" s="49">
        <v>0.47199999999999998</v>
      </c>
      <c r="BC591" s="12">
        <v>55.5</v>
      </c>
      <c r="BD591" s="12">
        <v>77.599999999999994</v>
      </c>
      <c r="BE591" s="12">
        <v>100</v>
      </c>
      <c r="BF591" s="12">
        <v>46.5</v>
      </c>
      <c r="BG591" s="18" t="s">
        <v>1030</v>
      </c>
      <c r="BH591" s="18" t="s">
        <v>1031</v>
      </c>
    </row>
    <row r="592" spans="1:60" ht="15.75" customHeight="1" x14ac:dyDescent="0.2">
      <c r="A592" s="11">
        <v>595</v>
      </c>
      <c r="B592" s="22">
        <v>9457</v>
      </c>
      <c r="C592" s="13" t="s">
        <v>780</v>
      </c>
      <c r="D592" s="13">
        <v>2009</v>
      </c>
      <c r="E592" s="13">
        <v>2009</v>
      </c>
      <c r="F592" s="13">
        <v>2009</v>
      </c>
      <c r="G592" s="13" t="s">
        <v>134</v>
      </c>
      <c r="H592" s="13"/>
      <c r="I592" s="31" t="s">
        <v>104</v>
      </c>
      <c r="J592" s="13" t="s">
        <v>289</v>
      </c>
      <c r="K592" s="13"/>
      <c r="L592" s="15">
        <v>100</v>
      </c>
      <c r="M592" s="16" t="s">
        <v>41</v>
      </c>
      <c r="N592" s="13" t="s">
        <v>42</v>
      </c>
      <c r="O592" s="14" t="s">
        <v>781</v>
      </c>
      <c r="P592" s="12">
        <f>IF(Q592="", 0, 1)</f>
        <v>1</v>
      </c>
      <c r="Q592" s="12">
        <v>319</v>
      </c>
      <c r="R592" s="17"/>
      <c r="S592" s="17"/>
      <c r="T592" s="17">
        <v>53</v>
      </c>
      <c r="U592" s="17"/>
      <c r="V592" s="17"/>
      <c r="W592" s="17"/>
      <c r="X592" s="17"/>
      <c r="Y592" s="17"/>
      <c r="Z592" s="17" t="str">
        <f>IF(T592="", "mean", "med")</f>
        <v>med</v>
      </c>
      <c r="AA592" s="17">
        <f>IF(T592="", R592, T592)</f>
        <v>53</v>
      </c>
      <c r="AB592" s="12">
        <f>IF(AC592="", 0, 1)</f>
        <v>0</v>
      </c>
      <c r="AC592" s="13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>
        <f>IF(AO592="", 0, 1)</f>
        <v>0</v>
      </c>
      <c r="AO592" s="12"/>
      <c r="AP592" s="12"/>
      <c r="AQ592" s="12"/>
      <c r="AR592" s="12"/>
      <c r="AS592" s="12"/>
      <c r="AT592" s="12"/>
      <c r="AU592" s="12"/>
      <c r="AV592" s="12"/>
      <c r="AW592" s="22"/>
      <c r="AX592" s="12"/>
      <c r="AY592" s="12"/>
      <c r="AZ592" s="12" t="s">
        <v>52</v>
      </c>
      <c r="BA592" s="12" t="str">
        <f>IF(AZ592="high","high","lower")</f>
        <v>high</v>
      </c>
      <c r="BB592" s="49">
        <v>0.89800000000000002</v>
      </c>
      <c r="BC592" s="12">
        <v>84.8</v>
      </c>
      <c r="BD592" s="12">
        <v>94</v>
      </c>
      <c r="BE592" s="12">
        <v>100</v>
      </c>
      <c r="BF592" s="12">
        <v>82.2</v>
      </c>
      <c r="BG592" s="18" t="s">
        <v>1030</v>
      </c>
      <c r="BH592" s="18" t="s">
        <v>1031</v>
      </c>
    </row>
    <row r="593" spans="1:60" ht="15.75" customHeight="1" x14ac:dyDescent="0.2">
      <c r="A593" s="11">
        <v>596</v>
      </c>
      <c r="B593" s="12">
        <v>9457</v>
      </c>
      <c r="C593" s="13" t="s">
        <v>780</v>
      </c>
      <c r="D593" s="13">
        <v>2000</v>
      </c>
      <c r="E593" s="13">
        <v>2000</v>
      </c>
      <c r="F593" s="13">
        <v>2000</v>
      </c>
      <c r="G593" s="14" t="s">
        <v>134</v>
      </c>
      <c r="H593" s="14"/>
      <c r="I593" s="33" t="s">
        <v>104</v>
      </c>
      <c r="J593" s="13" t="s">
        <v>289</v>
      </c>
      <c r="K593" s="13"/>
      <c r="L593" s="15">
        <v>100</v>
      </c>
      <c r="M593" s="16" t="s">
        <v>41</v>
      </c>
      <c r="N593" s="13" t="s">
        <v>42</v>
      </c>
      <c r="O593" s="14" t="s">
        <v>781</v>
      </c>
      <c r="P593" s="12">
        <f>IF(Q593="", 0, 1)</f>
        <v>1</v>
      </c>
      <c r="Q593" s="22">
        <v>636</v>
      </c>
      <c r="R593" s="21"/>
      <c r="S593" s="21"/>
      <c r="T593" s="17">
        <v>34</v>
      </c>
      <c r="U593" s="17"/>
      <c r="V593" s="17"/>
      <c r="W593" s="17"/>
      <c r="X593" s="17">
        <v>1</v>
      </c>
      <c r="Y593" s="17">
        <v>572</v>
      </c>
      <c r="Z593" s="17" t="str">
        <f>IF(T593="", "mean", "med")</f>
        <v>med</v>
      </c>
      <c r="AA593" s="17">
        <f>IF(T593="", R593, T593)</f>
        <v>34</v>
      </c>
      <c r="AB593" s="12">
        <f>IF(AC593="", 0, 1)</f>
        <v>0</v>
      </c>
      <c r="AC593" s="13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>
        <f>IF(AO593="", 0, 1)</f>
        <v>0</v>
      </c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 t="s">
        <v>52</v>
      </c>
      <c r="BA593" s="12" t="str">
        <f>IF(AZ593="high","high","lower")</f>
        <v>high</v>
      </c>
      <c r="BB593" s="49">
        <v>0.86699999999999999</v>
      </c>
      <c r="BC593" s="12">
        <v>84.8</v>
      </c>
      <c r="BD593" s="12">
        <v>94</v>
      </c>
      <c r="BE593" s="12">
        <v>100</v>
      </c>
      <c r="BF593" s="12">
        <v>82.2</v>
      </c>
      <c r="BG593" s="18" t="s">
        <v>1030</v>
      </c>
      <c r="BH593" s="18" t="s">
        <v>1031</v>
      </c>
    </row>
    <row r="594" spans="1:60" ht="15.75" customHeight="1" x14ac:dyDescent="0.2">
      <c r="A594" s="11">
        <v>597</v>
      </c>
      <c r="B594" s="12">
        <v>9457</v>
      </c>
      <c r="C594" s="13" t="s">
        <v>780</v>
      </c>
      <c r="D594" s="13">
        <v>2001</v>
      </c>
      <c r="E594" s="13">
        <v>2001</v>
      </c>
      <c r="F594" s="13">
        <v>2001</v>
      </c>
      <c r="G594" s="13" t="s">
        <v>134</v>
      </c>
      <c r="H594" s="13"/>
      <c r="I594" s="31" t="s">
        <v>104</v>
      </c>
      <c r="J594" s="14" t="s">
        <v>289</v>
      </c>
      <c r="K594" s="14"/>
      <c r="L594" s="15">
        <v>100</v>
      </c>
      <c r="M594" s="16" t="s">
        <v>41</v>
      </c>
      <c r="N594" s="13" t="s">
        <v>42</v>
      </c>
      <c r="O594" s="14" t="s">
        <v>781</v>
      </c>
      <c r="P594" s="12">
        <f>IF(Q594="", 0, 1)</f>
        <v>1</v>
      </c>
      <c r="Q594" s="12">
        <v>888</v>
      </c>
      <c r="R594" s="17"/>
      <c r="S594" s="17"/>
      <c r="T594" s="17">
        <v>37</v>
      </c>
      <c r="U594" s="17"/>
      <c r="V594" s="17"/>
      <c r="W594" s="17"/>
      <c r="X594" s="17"/>
      <c r="Y594" s="17"/>
      <c r="Z594" s="17" t="str">
        <f>IF(T594="", "mean", "med")</f>
        <v>med</v>
      </c>
      <c r="AA594" s="17">
        <f>IF(T594="", R594, T594)</f>
        <v>37</v>
      </c>
      <c r="AB594" s="12">
        <f>IF(AC594="", 0, 1)</f>
        <v>0</v>
      </c>
      <c r="AC594" s="13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>
        <f>IF(AO594="", 0, 1)</f>
        <v>0</v>
      </c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 t="s">
        <v>52</v>
      </c>
      <c r="BA594" s="12" t="str">
        <f>IF(AZ594="high","high","lower")</f>
        <v>high</v>
      </c>
      <c r="BB594" s="49">
        <v>0.871</v>
      </c>
      <c r="BC594" s="12">
        <v>84.8</v>
      </c>
      <c r="BD594" s="12">
        <v>94</v>
      </c>
      <c r="BE594" s="12">
        <v>100</v>
      </c>
      <c r="BF594" s="12">
        <v>82.2</v>
      </c>
      <c r="BG594" s="18" t="s">
        <v>1030</v>
      </c>
      <c r="BH594" s="18" t="s">
        <v>1031</v>
      </c>
    </row>
    <row r="595" spans="1:60" ht="15.75" customHeight="1" x14ac:dyDescent="0.2">
      <c r="A595" s="11">
        <v>598</v>
      </c>
      <c r="B595" s="12">
        <v>9457</v>
      </c>
      <c r="C595" s="13" t="s">
        <v>780</v>
      </c>
      <c r="D595" s="13">
        <v>2002</v>
      </c>
      <c r="E595" s="13">
        <v>2002</v>
      </c>
      <c r="F595" s="13">
        <v>2002</v>
      </c>
      <c r="G595" s="13" t="s">
        <v>134</v>
      </c>
      <c r="H595" s="13"/>
      <c r="I595" s="31" t="s">
        <v>104</v>
      </c>
      <c r="J595" s="13" t="s">
        <v>289</v>
      </c>
      <c r="K595" s="13"/>
      <c r="L595" s="15">
        <v>100</v>
      </c>
      <c r="M595" s="16" t="s">
        <v>41</v>
      </c>
      <c r="N595" s="13" t="s">
        <v>42</v>
      </c>
      <c r="O595" s="14" t="s">
        <v>781</v>
      </c>
      <c r="P595" s="12">
        <f>IF(Q595="", 0, 1)</f>
        <v>1</v>
      </c>
      <c r="Q595" s="12">
        <v>920</v>
      </c>
      <c r="R595" s="17"/>
      <c r="S595" s="17"/>
      <c r="T595" s="17">
        <v>41</v>
      </c>
      <c r="U595" s="17"/>
      <c r="V595" s="17"/>
      <c r="W595" s="17"/>
      <c r="X595" s="17"/>
      <c r="Y595" s="17"/>
      <c r="Z595" s="17" t="str">
        <f>IF(T595="", "mean", "med")</f>
        <v>med</v>
      </c>
      <c r="AA595" s="17">
        <f>IF(T595="", R595, T595)</f>
        <v>41</v>
      </c>
      <c r="AB595" s="12">
        <f>IF(AC595="", 0, 1)</f>
        <v>0</v>
      </c>
      <c r="AC595" s="13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>
        <f>IF(AO595="", 0, 1)</f>
        <v>0</v>
      </c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 t="s">
        <v>52</v>
      </c>
      <c r="BA595" s="12" t="str">
        <f>IF(AZ595="high","high","lower")</f>
        <v>high</v>
      </c>
      <c r="BB595" s="49">
        <v>0.877</v>
      </c>
      <c r="BC595" s="12">
        <v>84.8</v>
      </c>
      <c r="BD595" s="12">
        <v>94</v>
      </c>
      <c r="BE595" s="12">
        <v>100</v>
      </c>
      <c r="BF595" s="12">
        <v>82.2</v>
      </c>
      <c r="BG595" s="18" t="s">
        <v>1030</v>
      </c>
      <c r="BH595" s="18" t="s">
        <v>1031</v>
      </c>
    </row>
    <row r="596" spans="1:60" ht="15.75" customHeight="1" x14ac:dyDescent="0.2">
      <c r="A596" s="11">
        <v>599</v>
      </c>
      <c r="B596" s="12">
        <v>9457</v>
      </c>
      <c r="C596" s="13" t="s">
        <v>780</v>
      </c>
      <c r="D596" s="13">
        <v>2003</v>
      </c>
      <c r="E596" s="13">
        <v>2003</v>
      </c>
      <c r="F596" s="13">
        <v>2003</v>
      </c>
      <c r="G596" s="13" t="s">
        <v>134</v>
      </c>
      <c r="H596" s="13"/>
      <c r="I596" s="31" t="s">
        <v>104</v>
      </c>
      <c r="J596" s="14" t="s">
        <v>289</v>
      </c>
      <c r="K596" s="14"/>
      <c r="L596" s="15">
        <v>100</v>
      </c>
      <c r="M596" s="16" t="s">
        <v>41</v>
      </c>
      <c r="N596" s="13" t="s">
        <v>42</v>
      </c>
      <c r="O596" s="14" t="s">
        <v>781</v>
      </c>
      <c r="P596" s="12">
        <f>IF(Q596="", 0, 1)</f>
        <v>1</v>
      </c>
      <c r="Q596" s="22">
        <v>938</v>
      </c>
      <c r="R596" s="17"/>
      <c r="S596" s="17"/>
      <c r="T596" s="17">
        <v>43</v>
      </c>
      <c r="U596" s="17"/>
      <c r="V596" s="17"/>
      <c r="W596" s="17"/>
      <c r="X596" s="17"/>
      <c r="Y596" s="17"/>
      <c r="Z596" s="17" t="str">
        <f>IF(T596="", "mean", "med")</f>
        <v>med</v>
      </c>
      <c r="AA596" s="17">
        <f>IF(T596="", R596, T596)</f>
        <v>43</v>
      </c>
      <c r="AB596" s="12">
        <f>IF(AC596="", 0, 1)</f>
        <v>0</v>
      </c>
      <c r="AC596" s="13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>
        <f>IF(AO596="", 0, 1)</f>
        <v>0</v>
      </c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 t="s">
        <v>52</v>
      </c>
      <c r="BA596" s="12" t="str">
        <f>IF(AZ596="high","high","lower")</f>
        <v>high</v>
      </c>
      <c r="BB596" s="49">
        <v>0.88200000000000001</v>
      </c>
      <c r="BC596" s="12">
        <v>84.8</v>
      </c>
      <c r="BD596" s="12">
        <v>94</v>
      </c>
      <c r="BE596" s="12">
        <v>100</v>
      </c>
      <c r="BF596" s="12">
        <v>82.2</v>
      </c>
      <c r="BG596" s="18" t="s">
        <v>1030</v>
      </c>
      <c r="BH596" s="18" t="s">
        <v>1031</v>
      </c>
    </row>
    <row r="597" spans="1:60" ht="15.75" customHeight="1" x14ac:dyDescent="0.2">
      <c r="A597" s="11">
        <v>600</v>
      </c>
      <c r="B597" s="12">
        <v>9457</v>
      </c>
      <c r="C597" s="13" t="s">
        <v>780</v>
      </c>
      <c r="D597" s="13">
        <v>2005</v>
      </c>
      <c r="E597" s="13">
        <v>2005</v>
      </c>
      <c r="F597" s="13">
        <v>2005</v>
      </c>
      <c r="G597" s="13" t="s">
        <v>134</v>
      </c>
      <c r="H597" s="13"/>
      <c r="I597" s="31" t="s">
        <v>104</v>
      </c>
      <c r="J597" s="13" t="s">
        <v>289</v>
      </c>
      <c r="K597" s="13"/>
      <c r="L597" s="19">
        <v>100</v>
      </c>
      <c r="M597" s="16" t="s">
        <v>41</v>
      </c>
      <c r="N597" s="13" t="s">
        <v>42</v>
      </c>
      <c r="O597" s="13" t="s">
        <v>781</v>
      </c>
      <c r="P597" s="12">
        <f>IF(Q597="", 0, 1)</f>
        <v>1</v>
      </c>
      <c r="Q597" s="12">
        <v>988</v>
      </c>
      <c r="R597" s="17"/>
      <c r="S597" s="17"/>
      <c r="T597" s="17">
        <v>51</v>
      </c>
      <c r="U597" s="17"/>
      <c r="V597" s="17"/>
      <c r="W597" s="17"/>
      <c r="X597" s="17"/>
      <c r="Y597" s="17"/>
      <c r="Z597" s="17" t="str">
        <f>IF(T597="", "mean", "med")</f>
        <v>med</v>
      </c>
      <c r="AA597" s="17">
        <f>IF(T597="", R597, T597)</f>
        <v>51</v>
      </c>
      <c r="AB597" s="12">
        <f>IF(AC597="", 0, 1)</f>
        <v>0</v>
      </c>
      <c r="AC597" s="13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>
        <f>IF(AO597="", 0, 1)</f>
        <v>0</v>
      </c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 t="s">
        <v>52</v>
      </c>
      <c r="BA597" s="12" t="str">
        <f>IF(AZ597="high","high","lower")</f>
        <v>high</v>
      </c>
      <c r="BB597" s="49">
        <v>0.89400000000000002</v>
      </c>
      <c r="BC597" s="12">
        <v>84.8</v>
      </c>
      <c r="BD597" s="12">
        <v>94</v>
      </c>
      <c r="BE597" s="12">
        <v>100</v>
      </c>
      <c r="BF597" s="12">
        <v>82.2</v>
      </c>
      <c r="BG597" s="18" t="s">
        <v>1030</v>
      </c>
      <c r="BH597" s="18" t="s">
        <v>1031</v>
      </c>
    </row>
    <row r="598" spans="1:60" ht="15.75" customHeight="1" x14ac:dyDescent="0.2">
      <c r="A598" s="11">
        <v>601</v>
      </c>
      <c r="B598" s="12">
        <v>9457</v>
      </c>
      <c r="C598" s="13" t="s">
        <v>780</v>
      </c>
      <c r="D598" s="13">
        <v>2004</v>
      </c>
      <c r="E598" s="13">
        <v>2004</v>
      </c>
      <c r="F598" s="13">
        <v>2004</v>
      </c>
      <c r="G598" s="13" t="s">
        <v>134</v>
      </c>
      <c r="H598" s="13"/>
      <c r="I598" s="31" t="s">
        <v>104</v>
      </c>
      <c r="J598" s="13" t="s">
        <v>289</v>
      </c>
      <c r="K598" s="13"/>
      <c r="L598" s="15">
        <v>100</v>
      </c>
      <c r="M598" s="16" t="s">
        <v>41</v>
      </c>
      <c r="N598" s="13" t="s">
        <v>42</v>
      </c>
      <c r="O598" s="14" t="s">
        <v>781</v>
      </c>
      <c r="P598" s="12">
        <f>IF(Q598="", 0, 1)</f>
        <v>1</v>
      </c>
      <c r="Q598" s="12">
        <v>1025</v>
      </c>
      <c r="R598" s="17"/>
      <c r="S598" s="17"/>
      <c r="T598" s="17">
        <v>46</v>
      </c>
      <c r="U598" s="17"/>
      <c r="V598" s="17"/>
      <c r="W598" s="17"/>
      <c r="X598" s="17"/>
      <c r="Y598" s="17"/>
      <c r="Z598" s="17" t="str">
        <f>IF(T598="", "mean", "med")</f>
        <v>med</v>
      </c>
      <c r="AA598" s="17">
        <f>IF(T598="", R598, T598)</f>
        <v>46</v>
      </c>
      <c r="AB598" s="12">
        <f>IF(AC598="", 0, 1)</f>
        <v>0</v>
      </c>
      <c r="AC598" s="13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>
        <f>IF(AO598="", 0, 1)</f>
        <v>0</v>
      </c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 t="s">
        <v>52</v>
      </c>
      <c r="BA598" s="12" t="str">
        <f>IF(AZ598="high","high","lower")</f>
        <v>high</v>
      </c>
      <c r="BB598" s="49">
        <v>0.88800000000000001</v>
      </c>
      <c r="BC598" s="12">
        <v>84.8</v>
      </c>
      <c r="BD598" s="12">
        <v>94</v>
      </c>
      <c r="BE598" s="12">
        <v>100</v>
      </c>
      <c r="BF598" s="12">
        <v>82.2</v>
      </c>
      <c r="BG598" s="18" t="s">
        <v>1030</v>
      </c>
      <c r="BH598" s="18" t="s">
        <v>1031</v>
      </c>
    </row>
    <row r="599" spans="1:60" ht="15.75" customHeight="1" x14ac:dyDescent="0.2">
      <c r="A599" s="11">
        <v>602</v>
      </c>
      <c r="B599" s="12">
        <v>9457</v>
      </c>
      <c r="C599" s="13" t="s">
        <v>780</v>
      </c>
      <c r="D599" s="13">
        <v>2006</v>
      </c>
      <c r="E599" s="13">
        <v>2006</v>
      </c>
      <c r="F599" s="13">
        <v>2006</v>
      </c>
      <c r="G599" s="13" t="s">
        <v>134</v>
      </c>
      <c r="H599" s="13"/>
      <c r="I599" s="31" t="s">
        <v>104</v>
      </c>
      <c r="J599" s="13" t="s">
        <v>289</v>
      </c>
      <c r="K599" s="13"/>
      <c r="L599" s="19">
        <v>100</v>
      </c>
      <c r="M599" s="16" t="s">
        <v>41</v>
      </c>
      <c r="N599" s="13" t="s">
        <v>42</v>
      </c>
      <c r="O599" s="13" t="s">
        <v>781</v>
      </c>
      <c r="P599" s="12">
        <f>IF(Q599="", 0, 1)</f>
        <v>1</v>
      </c>
      <c r="Q599" s="22">
        <v>1150</v>
      </c>
      <c r="R599" s="17"/>
      <c r="S599" s="17"/>
      <c r="T599" s="17">
        <v>55</v>
      </c>
      <c r="U599" s="17"/>
      <c r="V599" s="17"/>
      <c r="W599" s="17"/>
      <c r="X599" s="17">
        <v>1</v>
      </c>
      <c r="Y599" s="17">
        <v>675</v>
      </c>
      <c r="Z599" s="17" t="str">
        <f>IF(T599="", "mean", "med")</f>
        <v>med</v>
      </c>
      <c r="AA599" s="17">
        <f>IF(T599="", R599, T599)</f>
        <v>55</v>
      </c>
      <c r="AB599" s="12">
        <f>IF(AC599="", 0, 1)</f>
        <v>0</v>
      </c>
      <c r="AC599" s="13"/>
      <c r="AD599" s="12"/>
      <c r="AE599" s="12"/>
      <c r="AF599" s="12"/>
      <c r="AG599" s="12"/>
      <c r="AH599" s="22"/>
      <c r="AI599" s="12"/>
      <c r="AJ599" s="12"/>
      <c r="AK599" s="12"/>
      <c r="AL599" s="12"/>
      <c r="AM599" s="12"/>
      <c r="AN599" s="12">
        <f>IF(AO599="", 0, 1)</f>
        <v>0</v>
      </c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 t="s">
        <v>52</v>
      </c>
      <c r="BA599" s="12" t="str">
        <f>IF(AZ599="high","high","lower")</f>
        <v>high</v>
      </c>
      <c r="BB599" s="49">
        <v>0.89800000000000002</v>
      </c>
      <c r="BC599" s="12">
        <v>84.8</v>
      </c>
      <c r="BD599" s="12">
        <v>94</v>
      </c>
      <c r="BE599" s="12">
        <v>100</v>
      </c>
      <c r="BF599" s="12">
        <v>82.2</v>
      </c>
      <c r="BG599" s="18" t="s">
        <v>1030</v>
      </c>
      <c r="BH599" s="18" t="s">
        <v>1031</v>
      </c>
    </row>
    <row r="600" spans="1:60" ht="15.75" customHeight="1" x14ac:dyDescent="0.2">
      <c r="A600" s="11">
        <v>603</v>
      </c>
      <c r="B600" s="22">
        <v>9457</v>
      </c>
      <c r="C600" s="13" t="s">
        <v>780</v>
      </c>
      <c r="D600" s="14">
        <v>2007</v>
      </c>
      <c r="E600" s="13">
        <v>2007</v>
      </c>
      <c r="F600" s="13">
        <v>2007</v>
      </c>
      <c r="G600" s="13" t="s">
        <v>134</v>
      </c>
      <c r="H600" s="13"/>
      <c r="I600" s="31" t="s">
        <v>104</v>
      </c>
      <c r="J600" s="13" t="s">
        <v>289</v>
      </c>
      <c r="K600" s="13"/>
      <c r="L600" s="15">
        <v>100</v>
      </c>
      <c r="M600" s="16" t="s">
        <v>41</v>
      </c>
      <c r="N600" s="13" t="s">
        <v>42</v>
      </c>
      <c r="O600" s="13" t="s">
        <v>781</v>
      </c>
      <c r="P600" s="12">
        <f>IF(Q600="", 0, 1)</f>
        <v>1</v>
      </c>
      <c r="Q600" s="12">
        <v>1195</v>
      </c>
      <c r="R600" s="17"/>
      <c r="S600" s="17"/>
      <c r="T600" s="17">
        <v>53</v>
      </c>
      <c r="U600" s="17"/>
      <c r="V600" s="17"/>
      <c r="W600" s="17"/>
      <c r="X600" s="17"/>
      <c r="Y600" s="17"/>
      <c r="Z600" s="17" t="str">
        <f>IF(T600="", "mean", "med")</f>
        <v>med</v>
      </c>
      <c r="AA600" s="17">
        <f>IF(T600="", R600, T600)</f>
        <v>53</v>
      </c>
      <c r="AB600" s="12">
        <f>IF(AC600="", 0, 1)</f>
        <v>0</v>
      </c>
      <c r="AC600" s="13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>
        <f>IF(AO600="", 0, 1)</f>
        <v>0</v>
      </c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 t="s">
        <v>52</v>
      </c>
      <c r="BA600" s="12" t="str">
        <f>IF(AZ600="high","high","lower")</f>
        <v>high</v>
      </c>
      <c r="BB600" s="49">
        <v>0.89600000000000002</v>
      </c>
      <c r="BC600" s="12">
        <v>84.8</v>
      </c>
      <c r="BD600" s="12">
        <v>94</v>
      </c>
      <c r="BE600" s="12">
        <v>100</v>
      </c>
      <c r="BF600" s="12">
        <v>82.2</v>
      </c>
      <c r="BG600" s="18" t="s">
        <v>1030</v>
      </c>
      <c r="BH600" s="18" t="s">
        <v>1031</v>
      </c>
    </row>
    <row r="601" spans="1:60" ht="15.75" customHeight="1" x14ac:dyDescent="0.2">
      <c r="A601" s="11">
        <v>604</v>
      </c>
      <c r="B601" s="22">
        <v>9457</v>
      </c>
      <c r="C601" s="13" t="s">
        <v>780</v>
      </c>
      <c r="D601" s="14">
        <v>2008</v>
      </c>
      <c r="E601" s="13">
        <v>2008</v>
      </c>
      <c r="F601" s="13">
        <v>2008</v>
      </c>
      <c r="G601" s="13" t="s">
        <v>134</v>
      </c>
      <c r="H601" s="13"/>
      <c r="I601" s="31" t="s">
        <v>104</v>
      </c>
      <c r="J601" s="13" t="s">
        <v>289</v>
      </c>
      <c r="K601" s="13"/>
      <c r="L601" s="19">
        <v>100</v>
      </c>
      <c r="M601" s="16" t="s">
        <v>41</v>
      </c>
      <c r="N601" s="13" t="s">
        <v>42</v>
      </c>
      <c r="O601" s="14" t="s">
        <v>781</v>
      </c>
      <c r="P601" s="12">
        <f>IF(Q601="", 0, 1)</f>
        <v>1</v>
      </c>
      <c r="Q601" s="12">
        <v>1271</v>
      </c>
      <c r="R601" s="17"/>
      <c r="S601" s="17"/>
      <c r="T601" s="17">
        <v>55</v>
      </c>
      <c r="U601" s="17"/>
      <c r="V601" s="17"/>
      <c r="W601" s="17"/>
      <c r="X601" s="17"/>
      <c r="Y601" s="17"/>
      <c r="Z601" s="17" t="str">
        <f>IF(T601="", "mean", "med")</f>
        <v>med</v>
      </c>
      <c r="AA601" s="17">
        <f>IF(T601="", R601, T601)</f>
        <v>55</v>
      </c>
      <c r="AB601" s="12">
        <f>IF(AC601="", 0, 1)</f>
        <v>0</v>
      </c>
      <c r="AC601" s="13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>
        <f>IF(AO601="", 0, 1)</f>
        <v>0</v>
      </c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 t="s">
        <v>52</v>
      </c>
      <c r="BA601" s="12" t="str">
        <f>IF(AZ601="high","high","lower")</f>
        <v>high</v>
      </c>
      <c r="BB601" s="49">
        <v>0.89800000000000002</v>
      </c>
      <c r="BC601" s="12">
        <v>84.8</v>
      </c>
      <c r="BD601" s="12">
        <v>94</v>
      </c>
      <c r="BE601" s="12">
        <v>100</v>
      </c>
      <c r="BF601" s="12">
        <v>82.2</v>
      </c>
      <c r="BG601" s="18" t="s">
        <v>1030</v>
      </c>
      <c r="BH601" s="18" t="s">
        <v>1031</v>
      </c>
    </row>
    <row r="602" spans="1:60" ht="15.75" customHeight="1" x14ac:dyDescent="0.2">
      <c r="A602" s="11">
        <v>605</v>
      </c>
      <c r="B602" s="12">
        <v>9476</v>
      </c>
      <c r="C602" s="13" t="s">
        <v>782</v>
      </c>
      <c r="D602" s="14" t="s">
        <v>38</v>
      </c>
      <c r="E602" s="23">
        <v>2014</v>
      </c>
      <c r="F602" s="23">
        <v>2014</v>
      </c>
      <c r="G602" s="13" t="s">
        <v>245</v>
      </c>
      <c r="H602" s="13"/>
      <c r="I602" s="13" t="s">
        <v>40</v>
      </c>
      <c r="J602" s="13" t="s">
        <v>40</v>
      </c>
      <c r="K602" s="14"/>
      <c r="L602" s="15">
        <v>100</v>
      </c>
      <c r="M602" s="20">
        <v>44</v>
      </c>
      <c r="N602" s="13" t="s">
        <v>42</v>
      </c>
      <c r="O602" s="13"/>
      <c r="P602" s="12">
        <f>IF(Q602="", 0, 1)</f>
        <v>0</v>
      </c>
      <c r="Q602" s="12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2">
        <f>IF(AC602="", 0, 1)</f>
        <v>0</v>
      </c>
      <c r="AC602" s="13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>
        <f>IF(AO602="", 0, 1)</f>
        <v>1</v>
      </c>
      <c r="AO602" s="12">
        <v>162</v>
      </c>
      <c r="AP602" s="12">
        <f>22.6*30</f>
        <v>678</v>
      </c>
      <c r="AQ602" s="12">
        <f>26*30</f>
        <v>780</v>
      </c>
      <c r="AR602" s="12">
        <f>13*30</f>
        <v>390</v>
      </c>
      <c r="AS602" s="12"/>
      <c r="AT602" s="12"/>
      <c r="AU602" s="12"/>
      <c r="AV602" s="12">
        <v>30</v>
      </c>
      <c r="AW602" s="12">
        <f>127*30</f>
        <v>3810</v>
      </c>
      <c r="AX602" s="12" t="str">
        <f>IF(AR602="", "mean", "med")</f>
        <v>med</v>
      </c>
      <c r="AY602" s="12">
        <f>IF(AR602="", AP602, AR602)</f>
        <v>390</v>
      </c>
      <c r="AZ602" s="49" t="s">
        <v>146</v>
      </c>
      <c r="BA602" s="49" t="str">
        <f>IF(AZ602="high","high","lower")</f>
        <v>lower</v>
      </c>
      <c r="BB602" s="49">
        <v>0.51900000000000002</v>
      </c>
      <c r="BC602" s="49"/>
      <c r="BD602" s="49"/>
      <c r="BE602" s="49"/>
      <c r="BF602" s="49"/>
      <c r="BG602" s="18" t="s">
        <v>1030</v>
      </c>
      <c r="BH602" s="18" t="s">
        <v>1031</v>
      </c>
    </row>
    <row r="603" spans="1:60" ht="15.75" customHeight="1" x14ac:dyDescent="0.2">
      <c r="A603" s="11">
        <v>606</v>
      </c>
      <c r="B603" s="12">
        <v>9761</v>
      </c>
      <c r="C603" s="13" t="s">
        <v>527</v>
      </c>
      <c r="D603" s="13" t="s">
        <v>38</v>
      </c>
      <c r="E603" s="23">
        <v>1995</v>
      </c>
      <c r="F603" s="23">
        <v>1998</v>
      </c>
      <c r="G603" s="13" t="s">
        <v>140</v>
      </c>
      <c r="H603" s="13"/>
      <c r="I603" s="13" t="s">
        <v>57</v>
      </c>
      <c r="J603" s="13" t="s">
        <v>58</v>
      </c>
      <c r="K603" s="13"/>
      <c r="L603" s="19">
        <f>1264/10586*100</f>
        <v>11.940298507462686</v>
      </c>
      <c r="M603" s="16" t="s">
        <v>41</v>
      </c>
      <c r="N603" s="13" t="s">
        <v>42</v>
      </c>
      <c r="O603" s="42" t="s">
        <v>41</v>
      </c>
      <c r="P603" s="12">
        <f>IF(Q603="", 0, 1)</f>
        <v>1</v>
      </c>
      <c r="Q603" s="12">
        <v>6944</v>
      </c>
      <c r="R603" s="17">
        <v>32</v>
      </c>
      <c r="S603" s="17">
        <v>67.599999999999994</v>
      </c>
      <c r="T603" s="17">
        <v>6</v>
      </c>
      <c r="U603" s="17">
        <v>0</v>
      </c>
      <c r="V603" s="17">
        <v>31</v>
      </c>
      <c r="W603" s="17"/>
      <c r="X603" s="17"/>
      <c r="Y603" s="17"/>
      <c r="Z603" s="17" t="str">
        <f>IF(T603="", "mean", "med")</f>
        <v>med</v>
      </c>
      <c r="AA603" s="17">
        <f>IF(T603="", R603, T603)</f>
        <v>6</v>
      </c>
      <c r="AB603" s="12">
        <f>IF(AC603="", 0, 1)</f>
        <v>1</v>
      </c>
      <c r="AC603" s="14">
        <v>9274</v>
      </c>
      <c r="AD603" s="12">
        <v>32</v>
      </c>
      <c r="AE603" s="12">
        <v>67.599999999999994</v>
      </c>
      <c r="AF603" s="12">
        <v>40</v>
      </c>
      <c r="AG603" s="12">
        <v>20</v>
      </c>
      <c r="AH603" s="12">
        <v>75</v>
      </c>
      <c r="AI603" s="12"/>
      <c r="AJ603" s="12"/>
      <c r="AK603" s="12"/>
      <c r="AL603" s="12" t="str">
        <f>IF(AF603="", "mean", "med")</f>
        <v>med</v>
      </c>
      <c r="AM603" s="12">
        <f>IF(AF603="", AD603, AF603)</f>
        <v>40</v>
      </c>
      <c r="AN603" s="12">
        <f>IF(AO603="", 0, 1)</f>
        <v>1</v>
      </c>
      <c r="AO603" s="12">
        <v>7358</v>
      </c>
      <c r="AP603" s="12">
        <v>56.7</v>
      </c>
      <c r="AQ603" s="12">
        <v>117.3</v>
      </c>
      <c r="AR603" s="12">
        <v>30</v>
      </c>
      <c r="AS603" s="12">
        <v>9</v>
      </c>
      <c r="AT603" s="12">
        <v>61</v>
      </c>
      <c r="AU603" s="12"/>
      <c r="AV603" s="12"/>
      <c r="AW603" s="12"/>
      <c r="AX603" s="12" t="str">
        <f>IF(AR603="", "mean", "med")</f>
        <v>med</v>
      </c>
      <c r="AY603" s="12">
        <f>IF(AR603="", AP603, AR603)</f>
        <v>30</v>
      </c>
      <c r="AZ603" s="49" t="s">
        <v>43</v>
      </c>
      <c r="BA603" s="49" t="str">
        <f>IF(AZ603="high","high","lower")</f>
        <v>lower</v>
      </c>
      <c r="BB603" s="49">
        <v>0.75900000000000001</v>
      </c>
      <c r="BC603" s="49"/>
      <c r="BD603" s="49"/>
      <c r="BE603" s="49"/>
      <c r="BF603" s="49"/>
      <c r="BG603" s="18" t="s">
        <v>1032</v>
      </c>
      <c r="BH603" s="18" t="s">
        <v>1033</v>
      </c>
    </row>
    <row r="604" spans="1:60" ht="15.75" customHeight="1" x14ac:dyDescent="0.2">
      <c r="A604" s="11">
        <v>607</v>
      </c>
      <c r="B604" s="22">
        <v>9836</v>
      </c>
      <c r="C604" s="13" t="s">
        <v>783</v>
      </c>
      <c r="D604" s="14" t="s">
        <v>38</v>
      </c>
      <c r="E604" s="23">
        <v>2000</v>
      </c>
      <c r="F604" s="23">
        <v>2002</v>
      </c>
      <c r="G604" s="13" t="s">
        <v>49</v>
      </c>
      <c r="H604" s="13"/>
      <c r="I604" s="13" t="s">
        <v>40</v>
      </c>
      <c r="J604" s="13" t="s">
        <v>40</v>
      </c>
      <c r="K604" s="14"/>
      <c r="L604" s="15">
        <v>100</v>
      </c>
      <c r="M604" s="16">
        <v>61.6</v>
      </c>
      <c r="N604" s="13" t="s">
        <v>42</v>
      </c>
      <c r="O604" s="14" t="s">
        <v>784</v>
      </c>
      <c r="P604" s="12">
        <f>IF(Q604="", 0, 1)</f>
        <v>1</v>
      </c>
      <c r="Q604" s="12">
        <v>1786</v>
      </c>
      <c r="R604" s="17"/>
      <c r="S604" s="17"/>
      <c r="T604" s="17">
        <v>22</v>
      </c>
      <c r="U604" s="17"/>
      <c r="V604" s="17"/>
      <c r="W604" s="17"/>
      <c r="X604" s="17">
        <v>0</v>
      </c>
      <c r="Y604" s="17">
        <v>177</v>
      </c>
      <c r="Z604" s="17" t="str">
        <f>IF(T604="", "mean", "med")</f>
        <v>med</v>
      </c>
      <c r="AA604" s="17">
        <f>IF(T604="", R604, T604)</f>
        <v>22</v>
      </c>
      <c r="AB604" s="12">
        <f>IF(AC604="", 0, 1)</f>
        <v>0</v>
      </c>
      <c r="AC604" s="13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>
        <f>IF(AO604="", 0, 1)</f>
        <v>0</v>
      </c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 t="s">
        <v>52</v>
      </c>
      <c r="BA604" s="12" t="str">
        <f>IF(AZ604="high","high","lower")</f>
        <v>high</v>
      </c>
      <c r="BB604" s="49">
        <v>0.88900000000000001</v>
      </c>
      <c r="BC604" s="12">
        <v>84</v>
      </c>
      <c r="BD604" s="12">
        <v>88</v>
      </c>
      <c r="BE604" s="12">
        <v>100</v>
      </c>
      <c r="BF604" s="12">
        <v>84.2</v>
      </c>
      <c r="BG604" s="18" t="s">
        <v>1030</v>
      </c>
      <c r="BH604" s="18" t="s">
        <v>1031</v>
      </c>
    </row>
    <row r="605" spans="1:60" ht="15.75" customHeight="1" x14ac:dyDescent="0.2">
      <c r="A605" s="11">
        <v>608</v>
      </c>
      <c r="B605" s="12">
        <v>9891</v>
      </c>
      <c r="C605" s="13" t="s">
        <v>785</v>
      </c>
      <c r="D605" s="31" t="s">
        <v>38</v>
      </c>
      <c r="E605" s="23">
        <v>2000</v>
      </c>
      <c r="F605" s="23">
        <v>2016</v>
      </c>
      <c r="G605" s="13" t="s">
        <v>249</v>
      </c>
      <c r="H605" s="13"/>
      <c r="I605" s="13" t="s">
        <v>79</v>
      </c>
      <c r="J605" s="31" t="s">
        <v>236</v>
      </c>
      <c r="K605" s="14"/>
      <c r="L605" s="15">
        <f>33/(33+26)*100</f>
        <v>55.932203389830505</v>
      </c>
      <c r="M605" s="16" t="s">
        <v>41</v>
      </c>
      <c r="N605" s="13" t="s">
        <v>99</v>
      </c>
      <c r="O605" s="13"/>
      <c r="P605" s="12">
        <f>IF(Q605="", 0, 1)</f>
        <v>0</v>
      </c>
      <c r="Q605" s="12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2">
        <f>IF(AC605="", 0, 1)</f>
        <v>0</v>
      </c>
      <c r="AC605" s="13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>
        <f>IF(AO605="", 0, 1)</f>
        <v>1</v>
      </c>
      <c r="AO605" s="12">
        <v>59</v>
      </c>
      <c r="AP605" s="12">
        <v>112.9</v>
      </c>
      <c r="AQ605" s="12">
        <v>109.7</v>
      </c>
      <c r="AR605" s="12"/>
      <c r="AS605" s="12"/>
      <c r="AT605" s="12"/>
      <c r="AU605" s="12"/>
      <c r="AV605" s="12">
        <v>24</v>
      </c>
      <c r="AW605" s="12">
        <v>510</v>
      </c>
      <c r="AX605" s="12" t="str">
        <f>IF(AR605="", "mean", "med")</f>
        <v>mean</v>
      </c>
      <c r="AY605" s="12">
        <f>IF(AR605="", AP605, AR605)</f>
        <v>112.9</v>
      </c>
      <c r="AZ605" s="12" t="s">
        <v>52</v>
      </c>
      <c r="BA605" s="12" t="str">
        <f>IF(AZ605="high","high","lower")</f>
        <v>high</v>
      </c>
      <c r="BB605" s="49">
        <v>0.87</v>
      </c>
      <c r="BC605" s="12">
        <v>79.900000000000006</v>
      </c>
      <c r="BD605" s="12">
        <v>85.9</v>
      </c>
      <c r="BE605" s="12">
        <v>70.8</v>
      </c>
      <c r="BF605" s="12">
        <v>84.7</v>
      </c>
      <c r="BG605" s="18" t="s">
        <v>1032</v>
      </c>
      <c r="BH605" s="18" t="s">
        <v>1033</v>
      </c>
    </row>
    <row r="606" spans="1:60" ht="15.75" customHeight="1" x14ac:dyDescent="0.2">
      <c r="A606" s="11">
        <v>609</v>
      </c>
      <c r="B606" s="12">
        <v>9913</v>
      </c>
      <c r="C606" s="13" t="s">
        <v>506</v>
      </c>
      <c r="D606" s="13" t="s">
        <v>38</v>
      </c>
      <c r="E606" s="23">
        <v>2006</v>
      </c>
      <c r="F606" s="23">
        <v>2006</v>
      </c>
      <c r="G606" s="44" t="s">
        <v>499</v>
      </c>
      <c r="H606" s="44"/>
      <c r="I606" s="13" t="s">
        <v>79</v>
      </c>
      <c r="J606" s="13" t="s">
        <v>79</v>
      </c>
      <c r="K606" s="13"/>
      <c r="L606" s="15">
        <v>38</v>
      </c>
      <c r="M606" s="16" t="s">
        <v>41</v>
      </c>
      <c r="N606" s="13" t="s">
        <v>42</v>
      </c>
      <c r="O606" s="13" t="s">
        <v>448</v>
      </c>
      <c r="P606" s="12">
        <f>IF(Q606="", 0, 1)</f>
        <v>1</v>
      </c>
      <c r="Q606" s="22">
        <v>42</v>
      </c>
      <c r="R606" s="17">
        <v>26.9</v>
      </c>
      <c r="S606" s="17"/>
      <c r="T606" s="17"/>
      <c r="U606" s="17"/>
      <c r="V606" s="17"/>
      <c r="W606" s="17"/>
      <c r="X606" s="17">
        <v>10</v>
      </c>
      <c r="Y606" s="17">
        <v>77</v>
      </c>
      <c r="Z606" s="17" t="str">
        <f>IF(T606="", "mean", "med")</f>
        <v>mean</v>
      </c>
      <c r="AA606" s="17">
        <f>IF(T606="", R606, T606)</f>
        <v>26.9</v>
      </c>
      <c r="AB606" s="12">
        <f>IF(AC606="", 0, 1)</f>
        <v>0</v>
      </c>
      <c r="AC606" s="13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>
        <f>IF(AO606="", 0, 1)</f>
        <v>1</v>
      </c>
      <c r="AO606" s="12">
        <v>42</v>
      </c>
      <c r="AP606" s="12">
        <f>3.8*30</f>
        <v>114</v>
      </c>
      <c r="AQ606" s="12"/>
      <c r="AR606" s="12"/>
      <c r="AS606" s="12"/>
      <c r="AT606" s="12"/>
      <c r="AU606" s="12"/>
      <c r="AV606" s="12">
        <v>2</v>
      </c>
      <c r="AW606" s="12">
        <f>2*365</f>
        <v>730</v>
      </c>
      <c r="AX606" s="12" t="str">
        <f>IF(AR606="", "mean", "med")</f>
        <v>mean</v>
      </c>
      <c r="AY606" s="12">
        <f>IF(AR606="", AP606, AR606)</f>
        <v>114</v>
      </c>
      <c r="AZ606" s="49" t="s">
        <v>43</v>
      </c>
      <c r="BA606" s="49" t="str">
        <f>IF(AZ606="high","high","lower")</f>
        <v>lower</v>
      </c>
      <c r="BB606" s="49">
        <v>0.73699999999999999</v>
      </c>
      <c r="BC606" s="49"/>
      <c r="BD606" s="49"/>
      <c r="BE606" s="49"/>
      <c r="BF606" s="49"/>
      <c r="BG606" s="18" t="s">
        <v>1030</v>
      </c>
      <c r="BH606" s="18" t="s">
        <v>1031</v>
      </c>
    </row>
    <row r="607" spans="1:60" ht="15.75" customHeight="1" x14ac:dyDescent="0.2">
      <c r="A607" s="11">
        <v>610</v>
      </c>
      <c r="B607" s="22">
        <v>9938</v>
      </c>
      <c r="C607" s="13" t="s">
        <v>786</v>
      </c>
      <c r="D607" s="13" t="s">
        <v>38</v>
      </c>
      <c r="E607" s="23">
        <v>1999</v>
      </c>
      <c r="F607" s="23">
        <v>2004</v>
      </c>
      <c r="G607" s="13" t="s">
        <v>499</v>
      </c>
      <c r="H607" s="13"/>
      <c r="I607" s="13" t="s">
        <v>54</v>
      </c>
      <c r="J607" s="13" t="s">
        <v>227</v>
      </c>
      <c r="K607" s="14"/>
      <c r="L607" s="15">
        <f>100/2.63</f>
        <v>38.022813688212928</v>
      </c>
      <c r="M607" s="16">
        <v>62.2</v>
      </c>
      <c r="N607" s="13" t="s">
        <v>42</v>
      </c>
      <c r="O607" s="14" t="s">
        <v>90</v>
      </c>
      <c r="P607" s="12">
        <f>IF(Q607="", 0, 1)</f>
        <v>1</v>
      </c>
      <c r="Q607" s="12">
        <v>134</v>
      </c>
      <c r="R607" s="17">
        <v>18.600000000000001</v>
      </c>
      <c r="S607" s="17"/>
      <c r="T607" s="17">
        <v>11</v>
      </c>
      <c r="U607" s="17"/>
      <c r="V607" s="17"/>
      <c r="W607" s="17"/>
      <c r="X607" s="17">
        <v>1</v>
      </c>
      <c r="Y607" s="17">
        <v>270</v>
      </c>
      <c r="Z607" s="17" t="str">
        <f>IF(T607="", "mean", "med")</f>
        <v>med</v>
      </c>
      <c r="AA607" s="17">
        <f>IF(T607="", R607, T607)</f>
        <v>11</v>
      </c>
      <c r="AB607" s="12">
        <f>IF(AC607="", 0, 1)</f>
        <v>0</v>
      </c>
      <c r="AC607" s="13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>
        <f>IF(AO607="", 0, 1)</f>
        <v>0</v>
      </c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49" t="s">
        <v>46</v>
      </c>
      <c r="BA607" s="49" t="str">
        <f>IF(AZ607="high","high","lower")</f>
        <v>lower</v>
      </c>
      <c r="BB607" s="49">
        <v>0.72399999999999998</v>
      </c>
      <c r="BC607" s="49"/>
      <c r="BD607" s="49"/>
      <c r="BE607" s="49"/>
      <c r="BF607" s="49"/>
      <c r="BG607" s="18" t="s">
        <v>1032</v>
      </c>
      <c r="BH607" s="18" t="s">
        <v>1033</v>
      </c>
    </row>
    <row r="608" spans="1:60" ht="15.75" customHeight="1" x14ac:dyDescent="0.2">
      <c r="A608" s="11">
        <v>611</v>
      </c>
      <c r="B608" s="22">
        <v>9972</v>
      </c>
      <c r="C608" s="13" t="s">
        <v>787</v>
      </c>
      <c r="D608" s="13" t="s">
        <v>38</v>
      </c>
      <c r="E608" s="23">
        <v>2019</v>
      </c>
      <c r="F608" s="23">
        <v>2019</v>
      </c>
      <c r="G608" s="13" t="s">
        <v>145</v>
      </c>
      <c r="H608" s="13"/>
      <c r="I608" s="13" t="s">
        <v>40</v>
      </c>
      <c r="J608" s="13" t="s">
        <v>40</v>
      </c>
      <c r="K608" s="13"/>
      <c r="L608" s="15">
        <v>100</v>
      </c>
      <c r="M608" s="16" t="s">
        <v>41</v>
      </c>
      <c r="N608" s="13" t="s">
        <v>50</v>
      </c>
      <c r="O608" s="14"/>
      <c r="P608" s="12">
        <f>IF(Q608="", 0, 1)</f>
        <v>0</v>
      </c>
      <c r="Q608" s="12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2">
        <f>IF(AC608="", 0, 1)</f>
        <v>0</v>
      </c>
      <c r="AC608" s="13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>
        <f>IF(AO608="", 0, 1)</f>
        <v>1</v>
      </c>
      <c r="AO608" s="12">
        <v>253</v>
      </c>
      <c r="AP608" s="12"/>
      <c r="AQ608" s="12"/>
      <c r="AR608" s="12">
        <v>35</v>
      </c>
      <c r="AS608" s="12">
        <v>10</v>
      </c>
      <c r="AT608" s="12">
        <v>112</v>
      </c>
      <c r="AU608" s="12"/>
      <c r="AV608" s="12"/>
      <c r="AW608" s="12"/>
      <c r="AX608" s="12" t="str">
        <f>IF(AR608="", "mean", "med")</f>
        <v>med</v>
      </c>
      <c r="AY608" s="12">
        <f>IF(AR608="", AP608, AR608)</f>
        <v>35</v>
      </c>
      <c r="AZ608" s="12" t="s">
        <v>46</v>
      </c>
      <c r="BA608" s="12" t="str">
        <f>IF(AZ608="high","high","lower")</f>
        <v>lower</v>
      </c>
      <c r="BB608" s="49">
        <v>0.64500000000000002</v>
      </c>
      <c r="BC608" s="12">
        <v>64.900000000000006</v>
      </c>
      <c r="BD608" s="12">
        <v>80.8</v>
      </c>
      <c r="BE608" s="12">
        <v>58.3</v>
      </c>
      <c r="BF608" s="12">
        <v>61.3</v>
      </c>
      <c r="BG608" s="18" t="s">
        <v>1030</v>
      </c>
      <c r="BH608" s="18" t="s">
        <v>1031</v>
      </c>
    </row>
    <row r="609" spans="1:60" ht="15.75" customHeight="1" x14ac:dyDescent="0.2">
      <c r="A609" s="11">
        <v>612</v>
      </c>
      <c r="B609" s="12">
        <v>10033</v>
      </c>
      <c r="C609" s="13" t="s">
        <v>788</v>
      </c>
      <c r="D609" s="14" t="s">
        <v>454</v>
      </c>
      <c r="E609" s="23">
        <v>1991</v>
      </c>
      <c r="F609" s="23">
        <v>2010</v>
      </c>
      <c r="G609" s="13" t="s">
        <v>62</v>
      </c>
      <c r="H609" s="13"/>
      <c r="I609" s="13" t="s">
        <v>79</v>
      </c>
      <c r="J609" s="31" t="s">
        <v>236</v>
      </c>
      <c r="K609" s="14"/>
      <c r="L609" s="19">
        <v>100</v>
      </c>
      <c r="M609" s="20" t="s">
        <v>41</v>
      </c>
      <c r="N609" s="13" t="s">
        <v>42</v>
      </c>
      <c r="O609" s="13" t="s">
        <v>41</v>
      </c>
      <c r="P609" s="12">
        <f>IF(Q609="", 0, 1)</f>
        <v>1</v>
      </c>
      <c r="Q609" s="12">
        <f>53+10+6</f>
        <v>69</v>
      </c>
      <c r="R609" s="17">
        <v>103.1</v>
      </c>
      <c r="S609" s="17"/>
      <c r="T609" s="17"/>
      <c r="U609" s="17"/>
      <c r="V609" s="17"/>
      <c r="W609" s="17"/>
      <c r="X609" s="17"/>
      <c r="Y609" s="17"/>
      <c r="Z609" s="17" t="str">
        <f>IF(T609="", "mean", "med")</f>
        <v>mean</v>
      </c>
      <c r="AA609" s="17">
        <f>IF(T609="", R609, T609)</f>
        <v>103.1</v>
      </c>
      <c r="AB609" s="12">
        <f>IF(AC609="", 0, 1)</f>
        <v>0</v>
      </c>
      <c r="AC609" s="13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>
        <f>IF(AO609="", 0, 1)</f>
        <v>0</v>
      </c>
      <c r="AO609" s="22"/>
      <c r="AP609" s="12"/>
      <c r="AQ609" s="12"/>
      <c r="AR609" s="22"/>
      <c r="AS609" s="12"/>
      <c r="AT609" s="12"/>
      <c r="AU609" s="12"/>
      <c r="AV609" s="12"/>
      <c r="AW609" s="12"/>
      <c r="AX609" s="12"/>
      <c r="AY609" s="12"/>
      <c r="AZ609" s="49" t="s">
        <v>146</v>
      </c>
      <c r="BA609" s="49" t="str">
        <f>IF(AZ609="high","high","lower")</f>
        <v>lower</v>
      </c>
      <c r="BB609" s="49">
        <v>0.47299999999999998</v>
      </c>
      <c r="BC609" s="49"/>
      <c r="BD609" s="49"/>
      <c r="BE609" s="49"/>
      <c r="BF609" s="49"/>
      <c r="BG609" s="18" t="s">
        <v>1032</v>
      </c>
      <c r="BH609" s="18" t="s">
        <v>1033</v>
      </c>
    </row>
    <row r="610" spans="1:60" ht="15.75" customHeight="1" x14ac:dyDescent="0.2">
      <c r="A610" s="11">
        <v>613</v>
      </c>
      <c r="B610" s="22">
        <v>10033</v>
      </c>
      <c r="C610" s="13" t="s">
        <v>788</v>
      </c>
      <c r="D610" s="14" t="s">
        <v>455</v>
      </c>
      <c r="E610" s="23">
        <v>1991</v>
      </c>
      <c r="F610" s="23">
        <v>2010</v>
      </c>
      <c r="G610" s="13" t="s">
        <v>62</v>
      </c>
      <c r="H610" s="13"/>
      <c r="I610" s="13" t="s">
        <v>79</v>
      </c>
      <c r="J610" s="31" t="s">
        <v>236</v>
      </c>
      <c r="K610" s="14"/>
      <c r="L610" s="19">
        <v>0</v>
      </c>
      <c r="M610" s="20" t="s">
        <v>41</v>
      </c>
      <c r="N610" s="13" t="s">
        <v>42</v>
      </c>
      <c r="O610" s="14" t="s">
        <v>41</v>
      </c>
      <c r="P610" s="12">
        <f>IF(Q610="", 0, 1)</f>
        <v>1</v>
      </c>
      <c r="Q610" s="12">
        <f>74+15+11</f>
        <v>100</v>
      </c>
      <c r="R610" s="17">
        <v>55.4</v>
      </c>
      <c r="S610" s="17"/>
      <c r="T610" s="17"/>
      <c r="U610" s="17"/>
      <c r="V610" s="17"/>
      <c r="W610" s="17"/>
      <c r="X610" s="17"/>
      <c r="Y610" s="17"/>
      <c r="Z610" s="17" t="str">
        <f>IF(T610="", "mean", "med")</f>
        <v>mean</v>
      </c>
      <c r="AA610" s="17">
        <f>IF(T610="", R610, T610)</f>
        <v>55.4</v>
      </c>
      <c r="AB610" s="12">
        <f>IF(AC610="", 0, 1)</f>
        <v>0</v>
      </c>
      <c r="AC610" s="13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>
        <f>IF(AO610="", 0, 1)</f>
        <v>0</v>
      </c>
      <c r="AO610" s="22"/>
      <c r="AP610" s="12"/>
      <c r="AQ610" s="12"/>
      <c r="AR610" s="22"/>
      <c r="AS610" s="12"/>
      <c r="AT610" s="12"/>
      <c r="AU610" s="12"/>
      <c r="AV610" s="12"/>
      <c r="AW610" s="12"/>
      <c r="AX610" s="12"/>
      <c r="AY610" s="12"/>
      <c r="AZ610" s="49" t="s">
        <v>146</v>
      </c>
      <c r="BA610" s="49" t="str">
        <f>IF(AZ610="high","high","lower")</f>
        <v>lower</v>
      </c>
      <c r="BB610" s="49">
        <v>0.47299999999999998</v>
      </c>
      <c r="BC610" s="49"/>
      <c r="BD610" s="49"/>
      <c r="BE610" s="49"/>
      <c r="BF610" s="49"/>
      <c r="BG610" s="18" t="s">
        <v>1032</v>
      </c>
      <c r="BH610" s="18" t="s">
        <v>1033</v>
      </c>
    </row>
    <row r="611" spans="1:60" ht="15.75" customHeight="1" x14ac:dyDescent="0.2">
      <c r="A611" s="11">
        <v>614</v>
      </c>
      <c r="B611" s="12">
        <v>10168</v>
      </c>
      <c r="C611" s="13" t="s">
        <v>262</v>
      </c>
      <c r="D611" s="13" t="s">
        <v>38</v>
      </c>
      <c r="E611" s="23">
        <v>2004</v>
      </c>
      <c r="F611" s="23">
        <v>2010</v>
      </c>
      <c r="G611" s="14" t="s">
        <v>264</v>
      </c>
      <c r="H611" s="14"/>
      <c r="I611" s="13" t="s">
        <v>59</v>
      </c>
      <c r="J611" s="13" t="s">
        <v>113</v>
      </c>
      <c r="K611" s="14"/>
      <c r="L611" s="15">
        <v>0</v>
      </c>
      <c r="M611" s="16">
        <v>57.3</v>
      </c>
      <c r="N611" s="13" t="s">
        <v>42</v>
      </c>
      <c r="O611" s="13"/>
      <c r="P611" s="12">
        <f>IF(Q611="", 0, 1)</f>
        <v>0</v>
      </c>
      <c r="Q611" s="15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2">
        <f>IF(AC611="", 0, 1)</f>
        <v>0</v>
      </c>
      <c r="AC611" s="13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>
        <f>IF(AO611="", 0, 1)</f>
        <v>1</v>
      </c>
      <c r="AO611" s="12">
        <v>254</v>
      </c>
      <c r="AP611" s="12">
        <v>116</v>
      </c>
      <c r="AQ611" s="12">
        <v>17.2</v>
      </c>
      <c r="AR611" s="12"/>
      <c r="AS611" s="12"/>
      <c r="AT611" s="12"/>
      <c r="AU611" s="12"/>
      <c r="AV611" s="12"/>
      <c r="AW611" s="12"/>
      <c r="AX611" s="12" t="str">
        <f>IF(AR611="", "mean", "med")</f>
        <v>mean</v>
      </c>
      <c r="AY611" s="12">
        <f>IF(AR611="", AP611, AR611)</f>
        <v>116</v>
      </c>
      <c r="AZ611" s="12" t="s">
        <v>46</v>
      </c>
      <c r="BA611" s="12" t="str">
        <f>IF(AZ611="high","high","lower")</f>
        <v>lower</v>
      </c>
      <c r="BB611" s="49">
        <v>0.66500000000000004</v>
      </c>
      <c r="BC611" s="12">
        <v>64.5</v>
      </c>
      <c r="BD611" s="12">
        <v>73.099999999999994</v>
      </c>
      <c r="BE611" s="12">
        <v>50</v>
      </c>
      <c r="BF611" s="12">
        <v>61.3</v>
      </c>
      <c r="BG611" s="18" t="s">
        <v>1030</v>
      </c>
      <c r="BH611" s="18" t="s">
        <v>1031</v>
      </c>
    </row>
    <row r="612" spans="1:60" ht="15.75" customHeight="1" x14ac:dyDescent="0.2">
      <c r="A612" s="11">
        <v>615</v>
      </c>
      <c r="B612" s="12">
        <v>10348</v>
      </c>
      <c r="C612" s="13" t="s">
        <v>457</v>
      </c>
      <c r="D612" s="13" t="s">
        <v>38</v>
      </c>
      <c r="E612" s="23">
        <v>2011</v>
      </c>
      <c r="F612" s="23">
        <v>2012</v>
      </c>
      <c r="G612" s="13" t="s">
        <v>77</v>
      </c>
      <c r="H612" s="13"/>
      <c r="I612" s="31" t="s">
        <v>104</v>
      </c>
      <c r="J612" s="13" t="s">
        <v>105</v>
      </c>
      <c r="K612" s="13"/>
      <c r="L612" s="15">
        <v>100</v>
      </c>
      <c r="M612" s="16">
        <v>34</v>
      </c>
      <c r="N612" s="13" t="s">
        <v>50</v>
      </c>
      <c r="O612" s="14"/>
      <c r="P612" s="12">
        <f>IF(Q612="", 0, 1)</f>
        <v>0</v>
      </c>
      <c r="Q612" s="12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2">
        <f>IF(AC612="", 0, 1)</f>
        <v>1</v>
      </c>
      <c r="AC612" s="13">
        <v>12</v>
      </c>
      <c r="AD612" s="12"/>
      <c r="AE612" s="12"/>
      <c r="AF612" s="12">
        <f>3*30</f>
        <v>90</v>
      </c>
      <c r="AG612" s="12">
        <f>30</f>
        <v>30</v>
      </c>
      <c r="AH612" s="12">
        <f>8.5*30</f>
        <v>255</v>
      </c>
      <c r="AI612" s="12"/>
      <c r="AJ612" s="12">
        <v>0</v>
      </c>
      <c r="AK612" s="12">
        <f>14*30</f>
        <v>420</v>
      </c>
      <c r="AL612" s="12" t="str">
        <f>IF(AF612="", "mean", "med")</f>
        <v>med</v>
      </c>
      <c r="AM612" s="12">
        <f>IF(AF612="", AD612, AF612)</f>
        <v>90</v>
      </c>
      <c r="AN612" s="12">
        <f>IF(AO612="", 0, 1)</f>
        <v>1</v>
      </c>
      <c r="AO612" s="12">
        <v>12</v>
      </c>
      <c r="AP612" s="12"/>
      <c r="AQ612" s="12"/>
      <c r="AR612" s="12">
        <v>30</v>
      </c>
      <c r="AS612" s="12">
        <v>0</v>
      </c>
      <c r="AT612" s="12">
        <f>4*30</f>
        <v>120</v>
      </c>
      <c r="AU612" s="12"/>
      <c r="AV612" s="12"/>
      <c r="AW612" s="12"/>
      <c r="AX612" s="12" t="str">
        <f>IF(AR612="", "mean", "med")</f>
        <v>med</v>
      </c>
      <c r="AY612" s="12">
        <f>IF(AR612="", AP612, AR612)</f>
        <v>30</v>
      </c>
      <c r="AZ612" s="12" t="s">
        <v>52</v>
      </c>
      <c r="BA612" s="12" t="str">
        <f>IF(AZ612="high","high","lower")</f>
        <v>high</v>
      </c>
      <c r="BB612" s="49">
        <v>0.90500000000000003</v>
      </c>
      <c r="BC612" s="12">
        <v>85.3</v>
      </c>
      <c r="BD612" s="12">
        <v>96.3</v>
      </c>
      <c r="BE612" s="12">
        <v>91.7</v>
      </c>
      <c r="BF612" s="12">
        <v>80</v>
      </c>
      <c r="BG612" s="18" t="s">
        <v>1034</v>
      </c>
      <c r="BH612" s="18" t="s">
        <v>1031</v>
      </c>
    </row>
    <row r="613" spans="1:60" ht="15.75" customHeight="1" x14ac:dyDescent="0.2">
      <c r="A613" s="11">
        <v>616</v>
      </c>
      <c r="B613" s="52">
        <v>10351</v>
      </c>
      <c r="C613" s="13" t="s">
        <v>789</v>
      </c>
      <c r="D613" s="13">
        <v>2001</v>
      </c>
      <c r="E613" s="23">
        <v>2001</v>
      </c>
      <c r="F613" s="23">
        <v>2001</v>
      </c>
      <c r="G613" s="13" t="s">
        <v>205</v>
      </c>
      <c r="H613" s="13"/>
      <c r="I613" s="13" t="s">
        <v>59</v>
      </c>
      <c r="J613" s="13" t="s">
        <v>82</v>
      </c>
      <c r="K613" s="13"/>
      <c r="L613" s="15">
        <f>7/(7+28)*100</f>
        <v>20</v>
      </c>
      <c r="M613" s="20" t="s">
        <v>41</v>
      </c>
      <c r="N613" s="13" t="s">
        <v>50</v>
      </c>
      <c r="O613" s="13"/>
      <c r="P613" s="12">
        <f>IF(Q613="", 0, 1)</f>
        <v>0</v>
      </c>
      <c r="Q613" s="12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2">
        <f>IF(AC613="", 0, 1)</f>
        <v>0</v>
      </c>
      <c r="AC613" s="13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>
        <f>IF(AO613="", 0, 1)</f>
        <v>1</v>
      </c>
      <c r="AO613" s="12">
        <f>7+28</f>
        <v>35</v>
      </c>
      <c r="AP613" s="12">
        <v>158</v>
      </c>
      <c r="AQ613" s="12"/>
      <c r="AR613" s="12"/>
      <c r="AS613" s="12"/>
      <c r="AT613" s="12"/>
      <c r="AU613" s="12"/>
      <c r="AV613" s="12"/>
      <c r="AW613" s="12"/>
      <c r="AX613" s="12" t="str">
        <f>IF(AR613="", "mean", "med")</f>
        <v>mean</v>
      </c>
      <c r="AY613" s="12">
        <f>IF(AR613="", AP613, AR613)</f>
        <v>158</v>
      </c>
      <c r="AZ613" s="49" t="s">
        <v>52</v>
      </c>
      <c r="BA613" s="49" t="str">
        <f>IF(AZ613="high","high","lower")</f>
        <v>high</v>
      </c>
      <c r="BB613" s="49">
        <v>0.88300000000000001</v>
      </c>
      <c r="BC613" s="49"/>
      <c r="BD613" s="49"/>
      <c r="BE613" s="49"/>
      <c r="BF613" s="49"/>
      <c r="BG613" s="18" t="s">
        <v>1030</v>
      </c>
      <c r="BH613" s="18" t="s">
        <v>1031</v>
      </c>
    </row>
    <row r="614" spans="1:60" ht="15.75" customHeight="1" x14ac:dyDescent="0.2">
      <c r="A614" s="11">
        <v>617</v>
      </c>
      <c r="B614" s="52">
        <v>10351</v>
      </c>
      <c r="C614" s="13" t="s">
        <v>789</v>
      </c>
      <c r="D614" s="13" t="s">
        <v>263</v>
      </c>
      <c r="E614" s="23">
        <v>2005</v>
      </c>
      <c r="F614" s="23">
        <v>2006</v>
      </c>
      <c r="G614" s="13" t="s">
        <v>205</v>
      </c>
      <c r="H614" s="13"/>
      <c r="I614" s="13" t="s">
        <v>59</v>
      </c>
      <c r="J614" s="13" t="s">
        <v>82</v>
      </c>
      <c r="K614" s="13"/>
      <c r="L614" s="19">
        <f>17/(17+36)*100</f>
        <v>32.075471698113205</v>
      </c>
      <c r="M614" s="16" t="s">
        <v>41</v>
      </c>
      <c r="N614" s="13" t="s">
        <v>50</v>
      </c>
      <c r="O614" s="14"/>
      <c r="P614" s="12">
        <f>IF(Q614="", 0, 1)</f>
        <v>0</v>
      </c>
      <c r="Q614" s="12"/>
      <c r="R614" s="17"/>
      <c r="S614" s="17"/>
      <c r="T614" s="17"/>
      <c r="U614" s="17"/>
      <c r="V614" s="17"/>
      <c r="W614" s="21"/>
      <c r="X614" s="17"/>
      <c r="Y614" s="17"/>
      <c r="Z614" s="17"/>
      <c r="AA614" s="17"/>
      <c r="AB614" s="12">
        <f>IF(AC614="", 0, 1)</f>
        <v>0</v>
      </c>
      <c r="AC614" s="13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>
        <f>IF(AO614="", 0, 1)</f>
        <v>1</v>
      </c>
      <c r="AO614" s="12">
        <f>17+36</f>
        <v>53</v>
      </c>
      <c r="AP614" s="12">
        <v>152</v>
      </c>
      <c r="AQ614" s="12"/>
      <c r="AR614" s="12"/>
      <c r="AS614" s="12"/>
      <c r="AT614" s="12"/>
      <c r="AU614" s="12"/>
      <c r="AV614" s="12"/>
      <c r="AW614" s="12"/>
      <c r="AX614" s="12" t="str">
        <f>IF(AR614="", "mean", "med")</f>
        <v>mean</v>
      </c>
      <c r="AY614" s="12">
        <f>IF(AR614="", AP614, AR614)</f>
        <v>152</v>
      </c>
      <c r="AZ614" s="49" t="s">
        <v>52</v>
      </c>
      <c r="BA614" s="49" t="str">
        <f>IF(AZ614="high","high","lower")</f>
        <v>high</v>
      </c>
      <c r="BB614" s="49">
        <v>0.91100000000000003</v>
      </c>
      <c r="BC614" s="49"/>
      <c r="BD614" s="49"/>
      <c r="BE614" s="49"/>
      <c r="BF614" s="49"/>
      <c r="BG614" s="18" t="s">
        <v>1030</v>
      </c>
      <c r="BH614" s="18" t="s">
        <v>1031</v>
      </c>
    </row>
    <row r="615" spans="1:60" ht="15.75" customHeight="1" x14ac:dyDescent="0.2">
      <c r="A615" s="11">
        <v>618</v>
      </c>
      <c r="B615" s="52">
        <v>10351</v>
      </c>
      <c r="C615" s="13" t="s">
        <v>789</v>
      </c>
      <c r="D615" s="14">
        <v>2009</v>
      </c>
      <c r="E615" s="23">
        <v>2009</v>
      </c>
      <c r="F615" s="23">
        <v>2009</v>
      </c>
      <c r="G615" s="13" t="s">
        <v>205</v>
      </c>
      <c r="H615" s="13"/>
      <c r="I615" s="13" t="s">
        <v>59</v>
      </c>
      <c r="J615" s="13" t="s">
        <v>82</v>
      </c>
      <c r="K615" s="13"/>
      <c r="L615" s="15">
        <f>15/(15+48)*100</f>
        <v>23.809523809523807</v>
      </c>
      <c r="M615" s="16" t="s">
        <v>41</v>
      </c>
      <c r="N615" s="13" t="s">
        <v>50</v>
      </c>
      <c r="O615" s="13"/>
      <c r="P615" s="12">
        <f>IF(Q615="", 0, 1)</f>
        <v>0</v>
      </c>
      <c r="Q615" s="12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2">
        <f>IF(AC615="", 0, 1)</f>
        <v>0</v>
      </c>
      <c r="AC615" s="13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>
        <f>IF(AO615="", 0, 1)</f>
        <v>1</v>
      </c>
      <c r="AO615" s="12">
        <f>15+48</f>
        <v>63</v>
      </c>
      <c r="AP615" s="12">
        <v>138</v>
      </c>
      <c r="AQ615" s="12"/>
      <c r="AR615" s="12"/>
      <c r="AS615" s="12"/>
      <c r="AT615" s="12"/>
      <c r="AU615" s="12"/>
      <c r="AV615" s="12"/>
      <c r="AW615" s="12"/>
      <c r="AX615" s="12" t="str">
        <f>IF(AR615="", "mean", "med")</f>
        <v>mean</v>
      </c>
      <c r="AY615" s="12">
        <f>IF(AR615="", AP615, AR615)</f>
        <v>138</v>
      </c>
      <c r="AZ615" s="49" t="s">
        <v>52</v>
      </c>
      <c r="BA615" s="49" t="str">
        <f>IF(AZ615="high","high","lower")</f>
        <v>high</v>
      </c>
      <c r="BB615" s="49">
        <v>0.91400000000000003</v>
      </c>
      <c r="BC615" s="49"/>
      <c r="BD615" s="49"/>
      <c r="BE615" s="49"/>
      <c r="BF615" s="49"/>
      <c r="BG615" s="18" t="s">
        <v>1030</v>
      </c>
      <c r="BH615" s="18" t="s">
        <v>1031</v>
      </c>
    </row>
    <row r="616" spans="1:60" ht="15.75" customHeight="1" x14ac:dyDescent="0.2">
      <c r="A616" s="11">
        <v>619</v>
      </c>
      <c r="B616" s="12">
        <v>10376</v>
      </c>
      <c r="C616" s="13" t="s">
        <v>790</v>
      </c>
      <c r="D616" s="13" t="s">
        <v>791</v>
      </c>
      <c r="E616" s="23">
        <v>1992</v>
      </c>
      <c r="F616" s="23">
        <v>2018</v>
      </c>
      <c r="G616" s="13" t="s">
        <v>792</v>
      </c>
      <c r="H616" s="13"/>
      <c r="I616" s="13" t="s">
        <v>94</v>
      </c>
      <c r="J616" s="13" t="s">
        <v>299</v>
      </c>
      <c r="K616" s="13" t="s">
        <v>1020</v>
      </c>
      <c r="L616" s="19">
        <v>60</v>
      </c>
      <c r="M616" s="16" t="s">
        <v>41</v>
      </c>
      <c r="N616" s="13" t="s">
        <v>50</v>
      </c>
      <c r="O616" s="13" t="s">
        <v>41</v>
      </c>
      <c r="P616" s="12">
        <f>IF(Q616="", 0, 1)</f>
        <v>1</v>
      </c>
      <c r="Q616" s="52">
        <v>8</v>
      </c>
      <c r="R616" s="55">
        <f>70*30</f>
        <v>2100</v>
      </c>
      <c r="S616" s="55">
        <f>38.4*30</f>
        <v>1152</v>
      </c>
      <c r="T616" s="17"/>
      <c r="U616" s="17"/>
      <c r="V616" s="17"/>
      <c r="W616" s="17"/>
      <c r="X616" s="17"/>
      <c r="Y616" s="17"/>
      <c r="Z616" s="17" t="str">
        <f>IF(T616="", "mean", "med")</f>
        <v>mean</v>
      </c>
      <c r="AA616" s="17">
        <f>IF(T616="", R616, T616)</f>
        <v>2100</v>
      </c>
      <c r="AB616" s="12">
        <f>IF(AC616="", 0, 1)</f>
        <v>0</v>
      </c>
      <c r="AC616" s="13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>
        <f>IF(AO616="", 0, 1)</f>
        <v>0</v>
      </c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49" t="s">
        <v>52</v>
      </c>
      <c r="BA616" s="49" t="str">
        <f>IF(AZ616="high","high","lower")</f>
        <v>high</v>
      </c>
      <c r="BB616" s="49">
        <v>0.875</v>
      </c>
      <c r="BC616" s="49"/>
      <c r="BD616" s="49"/>
      <c r="BE616" s="49"/>
      <c r="BF616" s="49"/>
      <c r="BG616" s="18" t="s">
        <v>1032</v>
      </c>
      <c r="BH616" s="18" t="s">
        <v>1033</v>
      </c>
    </row>
    <row r="617" spans="1:60" ht="15.75" customHeight="1" x14ac:dyDescent="0.2">
      <c r="A617" s="11">
        <v>620</v>
      </c>
      <c r="B617" s="12">
        <v>10376</v>
      </c>
      <c r="C617" s="13" t="s">
        <v>790</v>
      </c>
      <c r="D617" s="13" t="s">
        <v>793</v>
      </c>
      <c r="E617" s="23">
        <v>1992</v>
      </c>
      <c r="F617" s="23">
        <v>2018</v>
      </c>
      <c r="G617" s="13" t="s">
        <v>792</v>
      </c>
      <c r="H617" s="13"/>
      <c r="I617" s="13" t="s">
        <v>94</v>
      </c>
      <c r="J617" s="13" t="s">
        <v>299</v>
      </c>
      <c r="K617" s="13" t="s">
        <v>1020</v>
      </c>
      <c r="L617" s="19">
        <f>27/63*100</f>
        <v>42.857142857142854</v>
      </c>
      <c r="M617" s="20" t="s">
        <v>41</v>
      </c>
      <c r="N617" s="13" t="s">
        <v>50</v>
      </c>
      <c r="O617" s="14" t="s">
        <v>41</v>
      </c>
      <c r="P617" s="12">
        <f>IF(Q617="", 0, 1)</f>
        <v>1</v>
      </c>
      <c r="Q617" s="52">
        <v>43</v>
      </c>
      <c r="R617" s="55">
        <f>38.9*30</f>
        <v>1167</v>
      </c>
      <c r="S617" s="55">
        <f>39.5*30</f>
        <v>1185</v>
      </c>
      <c r="T617" s="17"/>
      <c r="U617" s="17"/>
      <c r="V617" s="17"/>
      <c r="W617" s="17"/>
      <c r="X617" s="17"/>
      <c r="Y617" s="17"/>
      <c r="Z617" s="17" t="str">
        <f>IF(T617="", "mean", "med")</f>
        <v>mean</v>
      </c>
      <c r="AA617" s="17">
        <f>IF(T617="", R617, T617)</f>
        <v>1167</v>
      </c>
      <c r="AB617" s="12">
        <f>IF(AC617="", 0, 1)</f>
        <v>0</v>
      </c>
      <c r="AC617" s="13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>
        <f>IF(AO617="", 0, 1)</f>
        <v>0</v>
      </c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49" t="s">
        <v>52</v>
      </c>
      <c r="BA617" s="49" t="str">
        <f>IF(AZ617="high","high","lower")</f>
        <v>high</v>
      </c>
      <c r="BB617" s="49">
        <v>0.875</v>
      </c>
      <c r="BC617" s="49"/>
      <c r="BD617" s="49"/>
      <c r="BE617" s="49"/>
      <c r="BF617" s="49"/>
      <c r="BG617" s="18" t="s">
        <v>1032</v>
      </c>
      <c r="BH617" s="18" t="s">
        <v>1033</v>
      </c>
    </row>
    <row r="618" spans="1:60" ht="15.75" customHeight="1" x14ac:dyDescent="0.2">
      <c r="A618" s="11">
        <v>621</v>
      </c>
      <c r="B618" s="22">
        <v>10378</v>
      </c>
      <c r="C618" s="13" t="s">
        <v>794</v>
      </c>
      <c r="D618" s="13" t="s">
        <v>38</v>
      </c>
      <c r="E618" s="23">
        <v>2008</v>
      </c>
      <c r="F618" s="23">
        <v>2009</v>
      </c>
      <c r="G618" s="13" t="s">
        <v>115</v>
      </c>
      <c r="H618" s="13"/>
      <c r="I618" s="13" t="s">
        <v>57</v>
      </c>
      <c r="J618" s="13" t="s">
        <v>58</v>
      </c>
      <c r="K618" s="14"/>
      <c r="L618" s="15">
        <v>29.5</v>
      </c>
      <c r="M618" s="16">
        <v>61.4</v>
      </c>
      <c r="N618" s="13" t="s">
        <v>42</v>
      </c>
      <c r="O618" s="13" t="s">
        <v>448</v>
      </c>
      <c r="P618" s="12">
        <f>IF(Q618="", 0, 1)</f>
        <v>1</v>
      </c>
      <c r="Q618" s="12">
        <v>138</v>
      </c>
      <c r="R618" s="17"/>
      <c r="S618" s="17"/>
      <c r="T618" s="17">
        <v>35</v>
      </c>
      <c r="U618" s="17"/>
      <c r="V618" s="17"/>
      <c r="W618" s="17"/>
      <c r="X618" s="17">
        <v>0.7</v>
      </c>
      <c r="Y618" s="17">
        <v>371.7</v>
      </c>
      <c r="Z618" s="17" t="str">
        <f>IF(T618="", "mean", "med")</f>
        <v>med</v>
      </c>
      <c r="AA618" s="17">
        <f>IF(T618="", R618, T618)</f>
        <v>35</v>
      </c>
      <c r="AB618" s="12">
        <f>IF(AC618="", 0, 1)</f>
        <v>0</v>
      </c>
      <c r="AC618" s="13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>
        <f>IF(AO618="", 0, 1)</f>
        <v>0</v>
      </c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 t="s">
        <v>52</v>
      </c>
      <c r="BA618" s="12" t="str">
        <f>IF(AZ618="high","high","lower")</f>
        <v>high</v>
      </c>
      <c r="BB618" s="49">
        <v>0.876</v>
      </c>
      <c r="BC618" s="12">
        <v>87.5</v>
      </c>
      <c r="BD618" s="12">
        <v>93.8</v>
      </c>
      <c r="BE618" s="12">
        <v>100</v>
      </c>
      <c r="BF618" s="12">
        <v>86.9</v>
      </c>
      <c r="BG618" s="18" t="s">
        <v>1030</v>
      </c>
      <c r="BH618" s="18" t="s">
        <v>1031</v>
      </c>
    </row>
    <row r="619" spans="1:60" ht="15.75" customHeight="1" x14ac:dyDescent="0.2">
      <c r="A619" s="11">
        <v>622</v>
      </c>
      <c r="B619" s="22">
        <v>10425</v>
      </c>
      <c r="C619" s="13" t="s">
        <v>795</v>
      </c>
      <c r="D619" s="13" t="s">
        <v>38</v>
      </c>
      <c r="E619" s="23">
        <v>2008</v>
      </c>
      <c r="F619" s="23">
        <v>2015</v>
      </c>
      <c r="G619" s="13" t="s">
        <v>796</v>
      </c>
      <c r="H619" s="13"/>
      <c r="I619" s="13" t="s">
        <v>94</v>
      </c>
      <c r="J619" s="13" t="s">
        <v>299</v>
      </c>
      <c r="K619" s="13" t="s">
        <v>1022</v>
      </c>
      <c r="L619" s="15">
        <f>(21/55)*100</f>
        <v>38.181818181818187</v>
      </c>
      <c r="M619" s="20">
        <v>42</v>
      </c>
      <c r="N619" s="13" t="s">
        <v>42</v>
      </c>
      <c r="O619" s="14"/>
      <c r="P619" s="12">
        <f>IF(Q619="", 0, 1)</f>
        <v>0</v>
      </c>
      <c r="Q619" s="15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2">
        <f>IF(AC619="", 0, 1)</f>
        <v>1</v>
      </c>
      <c r="AC619" s="13">
        <v>55</v>
      </c>
      <c r="AD619" s="12"/>
      <c r="AE619" s="12"/>
      <c r="AF619" s="12">
        <f>12.4*30</f>
        <v>372</v>
      </c>
      <c r="AG619" s="12"/>
      <c r="AH619" s="12"/>
      <c r="AI619" s="12"/>
      <c r="AJ619" s="12"/>
      <c r="AK619" s="12"/>
      <c r="AL619" s="12" t="str">
        <f>IF(AF619="", "mean", "med")</f>
        <v>med</v>
      </c>
      <c r="AM619" s="12">
        <f>IF(AF619="", AD619, AF619)</f>
        <v>372</v>
      </c>
      <c r="AN619" s="12">
        <f>IF(AO619="", 0, 1)</f>
        <v>1</v>
      </c>
      <c r="AO619" s="12">
        <v>55</v>
      </c>
      <c r="AP619" s="12"/>
      <c r="AQ619" s="12"/>
      <c r="AR619" s="12">
        <f>6.2*30</f>
        <v>186</v>
      </c>
      <c r="AS619" s="12"/>
      <c r="AT619" s="12"/>
      <c r="AU619" s="12"/>
      <c r="AV619" s="12"/>
      <c r="AW619" s="12"/>
      <c r="AX619" s="12" t="str">
        <f>IF(AR619="", "mean", "med")</f>
        <v>med</v>
      </c>
      <c r="AY619" s="12">
        <f>IF(AR619="", AP619, AR619)</f>
        <v>186</v>
      </c>
      <c r="AZ619" s="49" t="s">
        <v>46</v>
      </c>
      <c r="BA619" s="49" t="str">
        <f>IF(AZ619="high","high","lower")</f>
        <v>lower</v>
      </c>
      <c r="BB619" s="49">
        <v>0.48</v>
      </c>
      <c r="BC619" s="49"/>
      <c r="BD619" s="49"/>
      <c r="BE619" s="49"/>
      <c r="BF619" s="49"/>
      <c r="BG619" s="18" t="s">
        <v>1032</v>
      </c>
      <c r="BH619" s="18" t="s">
        <v>1033</v>
      </c>
    </row>
    <row r="620" spans="1:60" ht="15.75" customHeight="1" x14ac:dyDescent="0.2">
      <c r="A620" s="11">
        <v>623</v>
      </c>
      <c r="B620" s="12">
        <v>10455</v>
      </c>
      <c r="C620" s="13" t="s">
        <v>797</v>
      </c>
      <c r="D620" s="13" t="s">
        <v>38</v>
      </c>
      <c r="E620" s="23">
        <v>2008</v>
      </c>
      <c r="F620" s="23">
        <v>2009</v>
      </c>
      <c r="G620" s="13" t="s">
        <v>798</v>
      </c>
      <c r="H620" s="13"/>
      <c r="I620" s="13" t="s">
        <v>40</v>
      </c>
      <c r="J620" s="13" t="s">
        <v>40</v>
      </c>
      <c r="K620" s="14"/>
      <c r="L620" s="19">
        <v>100</v>
      </c>
      <c r="M620" s="16">
        <v>45.4</v>
      </c>
      <c r="N620" s="13" t="s">
        <v>42</v>
      </c>
      <c r="O620" s="14"/>
      <c r="P620" s="12">
        <f>IF(Q620="", 0, 1)</f>
        <v>0</v>
      </c>
      <c r="Q620" s="19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2">
        <f>IF(AC620="", 0, 1)</f>
        <v>0</v>
      </c>
      <c r="AC620" s="13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>
        <f>IF(AO620="", 0, 1)</f>
        <v>1</v>
      </c>
      <c r="AO620" s="12">
        <v>200</v>
      </c>
      <c r="AP620" s="12"/>
      <c r="AQ620" s="12"/>
      <c r="AR620" s="12">
        <f>4*30</f>
        <v>120</v>
      </c>
      <c r="AS620" s="12"/>
      <c r="AT620" s="12"/>
      <c r="AU620" s="12"/>
      <c r="AV620" s="12"/>
      <c r="AW620" s="12">
        <f>24*30</f>
        <v>720</v>
      </c>
      <c r="AX620" s="12" t="str">
        <f>IF(AR620="", "mean", "med")</f>
        <v>med</v>
      </c>
      <c r="AY620" s="12">
        <f>IF(AR620="", AP620, AR620)</f>
        <v>120</v>
      </c>
      <c r="AZ620" s="49" t="s">
        <v>43</v>
      </c>
      <c r="BA620" s="49" t="str">
        <f>IF(AZ620="high","high","lower")</f>
        <v>lower</v>
      </c>
      <c r="BB620" s="49">
        <v>0.8</v>
      </c>
      <c r="BC620" s="49"/>
      <c r="BD620" s="49"/>
      <c r="BE620" s="49"/>
      <c r="BF620" s="49"/>
      <c r="BG620" s="18" t="s">
        <v>1030</v>
      </c>
      <c r="BH620" s="18" t="s">
        <v>1031</v>
      </c>
    </row>
    <row r="621" spans="1:60" ht="15.75" customHeight="1" x14ac:dyDescent="0.2">
      <c r="A621" s="11">
        <v>624</v>
      </c>
      <c r="B621" s="22">
        <v>10555</v>
      </c>
      <c r="C621" s="13" t="s">
        <v>799</v>
      </c>
      <c r="D621" s="13" t="s">
        <v>800</v>
      </c>
      <c r="E621" s="23">
        <v>2010</v>
      </c>
      <c r="F621" s="23">
        <v>2014</v>
      </c>
      <c r="G621" s="13" t="s">
        <v>49</v>
      </c>
      <c r="H621" s="13"/>
      <c r="I621" s="13" t="s">
        <v>59</v>
      </c>
      <c r="J621" s="13" t="s">
        <v>82</v>
      </c>
      <c r="K621" s="13"/>
      <c r="L621" s="15">
        <v>100</v>
      </c>
      <c r="M621" s="16" t="s">
        <v>41</v>
      </c>
      <c r="N621" s="13" t="s">
        <v>99</v>
      </c>
      <c r="O621" s="14"/>
      <c r="P621" s="12">
        <f>IF(Q621="", 0, 1)</f>
        <v>0</v>
      </c>
      <c r="Q621" s="19"/>
      <c r="R621" s="21"/>
      <c r="S621" s="17"/>
      <c r="T621" s="17"/>
      <c r="U621" s="17"/>
      <c r="V621" s="17"/>
      <c r="W621" s="17"/>
      <c r="X621" s="17"/>
      <c r="Y621" s="17"/>
      <c r="Z621" s="17"/>
      <c r="AA621" s="17"/>
      <c r="AB621" s="12">
        <f>IF(AC621="", 0, 1)</f>
        <v>1</v>
      </c>
      <c r="AC621" s="13">
        <v>3353</v>
      </c>
      <c r="AD621" s="12"/>
      <c r="AE621" s="12"/>
      <c r="AF621" s="12">
        <v>34</v>
      </c>
      <c r="AG621" s="12">
        <v>15</v>
      </c>
      <c r="AH621" s="12">
        <v>78</v>
      </c>
      <c r="AI621" s="12"/>
      <c r="AJ621" s="12"/>
      <c r="AK621" s="12"/>
      <c r="AL621" s="12" t="str">
        <f>IF(AF621="", "mean", "med")</f>
        <v>med</v>
      </c>
      <c r="AM621" s="12">
        <f>IF(AF621="", AD621, AF621)</f>
        <v>34</v>
      </c>
      <c r="AN621" s="12">
        <f>IF(AO621="", 0, 1)</f>
        <v>0</v>
      </c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 t="s">
        <v>52</v>
      </c>
      <c r="BA621" s="12" t="str">
        <f>IF(AZ621="high","high","lower")</f>
        <v>high</v>
      </c>
      <c r="BB621" s="49">
        <v>0.91900000000000004</v>
      </c>
      <c r="BC621" s="12">
        <v>84</v>
      </c>
      <c r="BD621" s="12">
        <v>88</v>
      </c>
      <c r="BE621" s="12">
        <v>100</v>
      </c>
      <c r="BF621" s="12">
        <v>84.2</v>
      </c>
      <c r="BG621" s="18" t="s">
        <v>1030</v>
      </c>
      <c r="BH621" s="18" t="s">
        <v>1031</v>
      </c>
    </row>
    <row r="622" spans="1:60" ht="15.75" customHeight="1" x14ac:dyDescent="0.2">
      <c r="A622" s="11">
        <v>625</v>
      </c>
      <c r="B622" s="22">
        <v>10555</v>
      </c>
      <c r="C622" s="13" t="s">
        <v>799</v>
      </c>
      <c r="D622" s="13" t="s">
        <v>801</v>
      </c>
      <c r="E622" s="23">
        <v>2010</v>
      </c>
      <c r="F622" s="23">
        <v>2014</v>
      </c>
      <c r="G622" s="13" t="s">
        <v>49</v>
      </c>
      <c r="H622" s="13"/>
      <c r="I622" s="13" t="s">
        <v>59</v>
      </c>
      <c r="J622" s="13" t="s">
        <v>82</v>
      </c>
      <c r="K622" s="13"/>
      <c r="L622" s="15">
        <v>0</v>
      </c>
      <c r="M622" s="16" t="s">
        <v>41</v>
      </c>
      <c r="N622" s="13" t="s">
        <v>99</v>
      </c>
      <c r="O622" s="14"/>
      <c r="P622" s="12">
        <f>IF(Q622="", 0, 1)</f>
        <v>0</v>
      </c>
      <c r="Q622" s="15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2">
        <f>IF(AC622="", 0, 1)</f>
        <v>1</v>
      </c>
      <c r="AC622" s="13">
        <v>8043</v>
      </c>
      <c r="AD622" s="12"/>
      <c r="AE622" s="12"/>
      <c r="AF622" s="12">
        <v>30</v>
      </c>
      <c r="AG622" s="12">
        <v>14</v>
      </c>
      <c r="AH622" s="12">
        <v>65</v>
      </c>
      <c r="AI622" s="12"/>
      <c r="AJ622" s="12"/>
      <c r="AK622" s="12"/>
      <c r="AL622" s="12" t="str">
        <f>IF(AF622="", "mean", "med")</f>
        <v>med</v>
      </c>
      <c r="AM622" s="12">
        <f>IF(AF622="", AD622, AF622)</f>
        <v>30</v>
      </c>
      <c r="AN622" s="12">
        <f>IF(AO622="", 0, 1)</f>
        <v>0</v>
      </c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 t="s">
        <v>52</v>
      </c>
      <c r="BA622" s="12" t="str">
        <f>IF(AZ622="high","high","lower")</f>
        <v>high</v>
      </c>
      <c r="BB622" s="49">
        <v>0.91900000000000004</v>
      </c>
      <c r="BC622" s="12">
        <v>84</v>
      </c>
      <c r="BD622" s="12">
        <v>88</v>
      </c>
      <c r="BE622" s="12">
        <v>100</v>
      </c>
      <c r="BF622" s="12">
        <v>84.2</v>
      </c>
      <c r="BG622" s="18" t="s">
        <v>1030</v>
      </c>
      <c r="BH622" s="18" t="s">
        <v>1031</v>
      </c>
    </row>
    <row r="623" spans="1:60" ht="15.75" customHeight="1" x14ac:dyDescent="0.2">
      <c r="A623" s="11">
        <v>626</v>
      </c>
      <c r="B623" s="22">
        <v>10555</v>
      </c>
      <c r="C623" s="13" t="s">
        <v>799</v>
      </c>
      <c r="D623" s="13" t="s">
        <v>802</v>
      </c>
      <c r="E623" s="23">
        <v>2010</v>
      </c>
      <c r="F623" s="23">
        <v>2014</v>
      </c>
      <c r="G623" s="13" t="s">
        <v>49</v>
      </c>
      <c r="H623" s="13"/>
      <c r="I623" s="13" t="s">
        <v>59</v>
      </c>
      <c r="J623" s="13" t="s">
        <v>803</v>
      </c>
      <c r="K623" s="13" t="s">
        <v>804</v>
      </c>
      <c r="L623" s="15">
        <v>100</v>
      </c>
      <c r="M623" s="16">
        <v>57</v>
      </c>
      <c r="N623" s="13" t="s">
        <v>99</v>
      </c>
      <c r="O623" s="14"/>
      <c r="P623" s="12">
        <f>IF(Q623="", 0, 1)</f>
        <v>0</v>
      </c>
      <c r="Q623" s="15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2">
        <f>IF(AC623="", 0, 1)</f>
        <v>1</v>
      </c>
      <c r="AC623" s="13">
        <v>460</v>
      </c>
      <c r="AD623" s="12">
        <v>84.4</v>
      </c>
      <c r="AE623" s="12">
        <v>86.3</v>
      </c>
      <c r="AF623" s="12">
        <v>49</v>
      </c>
      <c r="AG623" s="12">
        <v>21</v>
      </c>
      <c r="AH623" s="12">
        <v>123.5</v>
      </c>
      <c r="AI623" s="12"/>
      <c r="AJ623" s="12"/>
      <c r="AK623" s="12"/>
      <c r="AL623" s="12" t="str">
        <f>IF(AF623="", "mean", "med")</f>
        <v>med</v>
      </c>
      <c r="AM623" s="12">
        <f>IF(AF623="", AD623, AF623)</f>
        <v>49</v>
      </c>
      <c r="AN623" s="12">
        <f>IF(AO623="", 0, 1)</f>
        <v>0</v>
      </c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 t="s">
        <v>52</v>
      </c>
      <c r="BA623" s="12" t="str">
        <f>IF(AZ623="high","high","lower")</f>
        <v>high</v>
      </c>
      <c r="BB623" s="49">
        <v>0.91900000000000004</v>
      </c>
      <c r="BC623" s="12">
        <v>84</v>
      </c>
      <c r="BD623" s="12">
        <v>88</v>
      </c>
      <c r="BE623" s="12">
        <v>100</v>
      </c>
      <c r="BF623" s="12">
        <v>84.2</v>
      </c>
      <c r="BG623" s="18" t="s">
        <v>1030</v>
      </c>
      <c r="BH623" s="18" t="s">
        <v>1031</v>
      </c>
    </row>
    <row r="624" spans="1:60" ht="15.75" customHeight="1" x14ac:dyDescent="0.2">
      <c r="A624" s="11">
        <v>627</v>
      </c>
      <c r="B624" s="12">
        <v>10555</v>
      </c>
      <c r="C624" s="13" t="s">
        <v>799</v>
      </c>
      <c r="D624" s="13" t="s">
        <v>805</v>
      </c>
      <c r="E624" s="23">
        <v>2010</v>
      </c>
      <c r="F624" s="23">
        <v>2014</v>
      </c>
      <c r="G624" s="13" t="s">
        <v>49</v>
      </c>
      <c r="H624" s="13"/>
      <c r="I624" s="13" t="s">
        <v>59</v>
      </c>
      <c r="J624" s="13" t="s">
        <v>803</v>
      </c>
      <c r="K624" s="13" t="s">
        <v>804</v>
      </c>
      <c r="L624" s="15">
        <v>0</v>
      </c>
      <c r="M624" s="16">
        <v>58</v>
      </c>
      <c r="N624" s="13" t="s">
        <v>99</v>
      </c>
      <c r="O624" s="13"/>
      <c r="P624" s="12">
        <f>IF(Q624="", 0, 1)</f>
        <v>0</v>
      </c>
      <c r="Q624" s="19"/>
      <c r="R624" s="21"/>
      <c r="S624" s="21"/>
      <c r="T624" s="17"/>
      <c r="U624" s="17"/>
      <c r="V624" s="17"/>
      <c r="W624" s="17"/>
      <c r="X624" s="17"/>
      <c r="Y624" s="17"/>
      <c r="Z624" s="17"/>
      <c r="AA624" s="17"/>
      <c r="AB624" s="12">
        <f>IF(AC624="", 0, 1)</f>
        <v>1</v>
      </c>
      <c r="AC624" s="13">
        <v>866</v>
      </c>
      <c r="AD624" s="12">
        <v>93.5</v>
      </c>
      <c r="AE624" s="12">
        <v>90</v>
      </c>
      <c r="AF624" s="12">
        <v>60</v>
      </c>
      <c r="AG624" s="12">
        <v>26</v>
      </c>
      <c r="AH624" s="12">
        <v>139</v>
      </c>
      <c r="AI624" s="12"/>
      <c r="AJ624" s="12"/>
      <c r="AK624" s="12"/>
      <c r="AL624" s="12" t="str">
        <f>IF(AF624="", "mean", "med")</f>
        <v>med</v>
      </c>
      <c r="AM624" s="12">
        <f>IF(AF624="", AD624, AF624)</f>
        <v>60</v>
      </c>
      <c r="AN624" s="12">
        <f>IF(AO624="", 0, 1)</f>
        <v>0</v>
      </c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 t="s">
        <v>52</v>
      </c>
      <c r="BA624" s="12" t="str">
        <f>IF(AZ624="high","high","lower")</f>
        <v>high</v>
      </c>
      <c r="BB624" s="49">
        <v>0.91900000000000004</v>
      </c>
      <c r="BC624" s="12">
        <v>84</v>
      </c>
      <c r="BD624" s="12">
        <v>88</v>
      </c>
      <c r="BE624" s="12">
        <v>100</v>
      </c>
      <c r="BF624" s="12">
        <v>84.2</v>
      </c>
      <c r="BG624" s="18" t="s">
        <v>1030</v>
      </c>
      <c r="BH624" s="18" t="s">
        <v>1031</v>
      </c>
    </row>
    <row r="625" spans="1:60" ht="15.75" customHeight="1" x14ac:dyDescent="0.2">
      <c r="A625" s="11">
        <v>628</v>
      </c>
      <c r="B625" s="12">
        <v>10877</v>
      </c>
      <c r="C625" s="13" t="s">
        <v>274</v>
      </c>
      <c r="D625" s="44" t="s">
        <v>38</v>
      </c>
      <c r="E625" s="23">
        <v>2004</v>
      </c>
      <c r="F625" s="23">
        <v>2014</v>
      </c>
      <c r="G625" s="13" t="s">
        <v>49</v>
      </c>
      <c r="H625" s="13"/>
      <c r="I625" s="13" t="s">
        <v>79</v>
      </c>
      <c r="J625" s="13" t="s">
        <v>806</v>
      </c>
      <c r="K625" s="13"/>
      <c r="L625" s="15">
        <f>100-64.3</f>
        <v>35.700000000000003</v>
      </c>
      <c r="M625" s="16">
        <v>62</v>
      </c>
      <c r="N625" s="13" t="s">
        <v>99</v>
      </c>
      <c r="O625" s="13" t="s">
        <v>90</v>
      </c>
      <c r="P625" s="12">
        <f>IF(Q625="", 0, 1)</f>
        <v>1</v>
      </c>
      <c r="Q625" s="19">
        <v>2267</v>
      </c>
      <c r="R625" s="21"/>
      <c r="S625" s="21"/>
      <c r="T625" s="17">
        <v>32</v>
      </c>
      <c r="U625" s="17">
        <v>15</v>
      </c>
      <c r="V625" s="17">
        <v>49</v>
      </c>
      <c r="W625" s="17"/>
      <c r="X625" s="17"/>
      <c r="Y625" s="17"/>
      <c r="Z625" s="17" t="str">
        <f>IF(T625="", "mean", "med")</f>
        <v>med</v>
      </c>
      <c r="AA625" s="17">
        <f>IF(T625="", R625, T625)</f>
        <v>32</v>
      </c>
      <c r="AB625" s="12">
        <f>IF(AC625="", 0, 1)</f>
        <v>0</v>
      </c>
      <c r="AC625" s="13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>
        <f>IF(AO625="", 0, 1)</f>
        <v>0</v>
      </c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 t="s">
        <v>52</v>
      </c>
      <c r="BA625" s="12" t="str">
        <f>IF(AZ625="high","high","lower")</f>
        <v>high</v>
      </c>
      <c r="BB625" s="49">
        <v>0.91100000000000003</v>
      </c>
      <c r="BC625" s="12">
        <v>84</v>
      </c>
      <c r="BD625" s="12">
        <v>88</v>
      </c>
      <c r="BE625" s="12">
        <v>100</v>
      </c>
      <c r="BF625" s="12">
        <v>84.2</v>
      </c>
      <c r="BG625" s="18" t="s">
        <v>1030</v>
      </c>
      <c r="BH625" s="18" t="s">
        <v>1031</v>
      </c>
    </row>
    <row r="626" spans="1:60" ht="15.75" customHeight="1" x14ac:dyDescent="0.2">
      <c r="A626" s="11">
        <v>629</v>
      </c>
      <c r="B626" s="12">
        <v>10914</v>
      </c>
      <c r="C626" s="13" t="s">
        <v>269</v>
      </c>
      <c r="D626" s="13" t="s">
        <v>476</v>
      </c>
      <c r="E626" s="23">
        <v>2011</v>
      </c>
      <c r="F626" s="23">
        <v>2011</v>
      </c>
      <c r="G626" s="13" t="s">
        <v>77</v>
      </c>
      <c r="H626" s="13"/>
      <c r="I626" s="33" t="s">
        <v>467</v>
      </c>
      <c r="J626" s="13" t="s">
        <v>476</v>
      </c>
      <c r="K626" s="13"/>
      <c r="L626" s="19" t="s">
        <v>41</v>
      </c>
      <c r="M626" s="16">
        <v>49</v>
      </c>
      <c r="N626" s="13" t="s">
        <v>42</v>
      </c>
      <c r="O626" s="13"/>
      <c r="P626" s="12">
        <f>IF(Q626="", 0, 1)</f>
        <v>0</v>
      </c>
      <c r="Q626" s="15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2">
        <f>IF(AC626="", 0, 1)</f>
        <v>1</v>
      </c>
      <c r="AC626" s="13">
        <v>41</v>
      </c>
      <c r="AD626" s="12"/>
      <c r="AE626" s="12"/>
      <c r="AF626" s="12">
        <f>3.9*30</f>
        <v>117</v>
      </c>
      <c r="AG626" s="12"/>
      <c r="AH626" s="12"/>
      <c r="AI626" s="12"/>
      <c r="AJ626" s="12">
        <v>10.5</v>
      </c>
      <c r="AK626" s="12">
        <f>4.1*365</f>
        <v>1496.4999999999998</v>
      </c>
      <c r="AL626" s="12" t="str">
        <f>IF(AF626="", "mean", "med")</f>
        <v>med</v>
      </c>
      <c r="AM626" s="12">
        <f>IF(AF626="", AD626, AF626)</f>
        <v>117</v>
      </c>
      <c r="AN626" s="12">
        <f>IF(AO626="", 0, 1)</f>
        <v>1</v>
      </c>
      <c r="AO626" s="12">
        <v>41</v>
      </c>
      <c r="AP626" s="12"/>
      <c r="AQ626" s="12"/>
      <c r="AR626" s="12">
        <f>1.5*30</f>
        <v>45</v>
      </c>
      <c r="AS626" s="12"/>
      <c r="AT626" s="12"/>
      <c r="AU626" s="12"/>
      <c r="AV626" s="12">
        <v>0</v>
      </c>
      <c r="AW626" s="12">
        <f>60*365</f>
        <v>21900</v>
      </c>
      <c r="AX626" s="12" t="str">
        <f>IF(AR626="", "mean", "med")</f>
        <v>med</v>
      </c>
      <c r="AY626" s="12">
        <f>IF(AR626="", AP626, AR626)</f>
        <v>45</v>
      </c>
      <c r="AZ626" s="12" t="s">
        <v>52</v>
      </c>
      <c r="BA626" s="12" t="str">
        <f>IF(AZ626="high","high","lower")</f>
        <v>high</v>
      </c>
      <c r="BB626" s="49">
        <v>0.90600000000000003</v>
      </c>
      <c r="BC626" s="12">
        <v>85.3</v>
      </c>
      <c r="BD626" s="12">
        <v>96.3</v>
      </c>
      <c r="BE626" s="12">
        <v>91.7</v>
      </c>
      <c r="BF626" s="12">
        <v>80</v>
      </c>
      <c r="BG626" s="18" t="s">
        <v>1030</v>
      </c>
      <c r="BH626" s="18" t="s">
        <v>1031</v>
      </c>
    </row>
    <row r="627" spans="1:60" ht="15.75" customHeight="1" x14ac:dyDescent="0.2">
      <c r="A627" s="11">
        <v>630</v>
      </c>
      <c r="B627" s="12">
        <v>10914</v>
      </c>
      <c r="C627" s="13" t="s">
        <v>269</v>
      </c>
      <c r="D627" s="13" t="s">
        <v>644</v>
      </c>
      <c r="E627" s="23">
        <v>2011</v>
      </c>
      <c r="F627" s="23">
        <v>2011</v>
      </c>
      <c r="G627" s="13" t="s">
        <v>77</v>
      </c>
      <c r="H627" s="13"/>
      <c r="I627" s="31" t="s">
        <v>467</v>
      </c>
      <c r="J627" s="13" t="s">
        <v>466</v>
      </c>
      <c r="K627" s="13"/>
      <c r="L627" s="15" t="s">
        <v>41</v>
      </c>
      <c r="M627" s="16">
        <v>63</v>
      </c>
      <c r="N627" s="13" t="s">
        <v>42</v>
      </c>
      <c r="O627" s="14"/>
      <c r="P627" s="12">
        <f>IF(Q627="", 0, 1)</f>
        <v>0</v>
      </c>
      <c r="Q627" s="19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2">
        <f>IF(AC627="", 0, 1)</f>
        <v>1</v>
      </c>
      <c r="AC627" s="13">
        <v>66</v>
      </c>
      <c r="AD627" s="12"/>
      <c r="AE627" s="12"/>
      <c r="AF627" s="12">
        <f>3.1*30</f>
        <v>93</v>
      </c>
      <c r="AG627" s="12"/>
      <c r="AH627" s="12"/>
      <c r="AI627" s="12"/>
      <c r="AJ627" s="12">
        <v>12</v>
      </c>
      <c r="AK627" s="12">
        <f>3*365</f>
        <v>1095</v>
      </c>
      <c r="AL627" s="12" t="str">
        <f>IF(AF627="", "mean", "med")</f>
        <v>med</v>
      </c>
      <c r="AM627" s="12">
        <f>IF(AF627="", AD627, AF627)</f>
        <v>93</v>
      </c>
      <c r="AN627" s="12">
        <f>IF(AO627="", 0, 1)</f>
        <v>1</v>
      </c>
      <c r="AO627" s="12">
        <v>66</v>
      </c>
      <c r="AP627" s="12"/>
      <c r="AQ627" s="12"/>
      <c r="AR627" s="12">
        <v>30</v>
      </c>
      <c r="AS627" s="12"/>
      <c r="AT627" s="12"/>
      <c r="AU627" s="12"/>
      <c r="AV627" s="12">
        <v>0</v>
      </c>
      <c r="AW627" s="12">
        <f>10*365</f>
        <v>3650</v>
      </c>
      <c r="AX627" s="12" t="str">
        <f>IF(AR627="", "mean", "med")</f>
        <v>med</v>
      </c>
      <c r="AY627" s="12">
        <f>IF(AR627="", AP627, AR627)</f>
        <v>30</v>
      </c>
      <c r="AZ627" s="12" t="s">
        <v>52</v>
      </c>
      <c r="BA627" s="12" t="str">
        <f>IF(AZ627="high","high","lower")</f>
        <v>high</v>
      </c>
      <c r="BB627" s="49">
        <v>0.90600000000000003</v>
      </c>
      <c r="BC627" s="12">
        <v>85.3</v>
      </c>
      <c r="BD627" s="12">
        <v>96.3</v>
      </c>
      <c r="BE627" s="12">
        <v>91.7</v>
      </c>
      <c r="BF627" s="12">
        <v>80</v>
      </c>
      <c r="BG627" s="18" t="s">
        <v>1030</v>
      </c>
      <c r="BH627" s="18" t="s">
        <v>1031</v>
      </c>
    </row>
    <row r="628" spans="1:60" ht="15.75" customHeight="1" x14ac:dyDescent="0.2">
      <c r="A628" s="11">
        <v>631</v>
      </c>
      <c r="B628" s="12">
        <v>10999</v>
      </c>
      <c r="C628" s="13" t="s">
        <v>124</v>
      </c>
      <c r="D628" s="14" t="s">
        <v>38</v>
      </c>
      <c r="E628" s="23">
        <v>2010</v>
      </c>
      <c r="F628" s="23">
        <v>2011</v>
      </c>
      <c r="G628" s="13" t="s">
        <v>125</v>
      </c>
      <c r="H628" s="13"/>
      <c r="I628" s="13" t="s">
        <v>59</v>
      </c>
      <c r="J628" s="14" t="s">
        <v>82</v>
      </c>
      <c r="K628" s="14"/>
      <c r="L628" s="15">
        <v>15</v>
      </c>
      <c r="M628" s="16">
        <v>70.3</v>
      </c>
      <c r="N628" s="13" t="s">
        <v>42</v>
      </c>
      <c r="O628" s="14" t="s">
        <v>41</v>
      </c>
      <c r="P628" s="12">
        <f>IF(Q628="", 0, 1)</f>
        <v>1</v>
      </c>
      <c r="Q628" s="15">
        <v>314</v>
      </c>
      <c r="R628" s="17"/>
      <c r="S628" s="17"/>
      <c r="T628" s="17">
        <v>0</v>
      </c>
      <c r="U628" s="17"/>
      <c r="V628" s="17"/>
      <c r="W628" s="17">
        <v>0</v>
      </c>
      <c r="X628" s="17">
        <v>0</v>
      </c>
      <c r="Y628" s="17">
        <v>366</v>
      </c>
      <c r="Z628" s="17" t="str">
        <f>IF(T628="", "mean", "med")</f>
        <v>med</v>
      </c>
      <c r="AA628" s="17">
        <f>IF(T628="", R628, T628)</f>
        <v>0</v>
      </c>
      <c r="AB628" s="12">
        <f>IF(AC628="", 0, 1)</f>
        <v>1</v>
      </c>
      <c r="AC628" s="13">
        <f>314-7</f>
        <v>307</v>
      </c>
      <c r="AD628" s="12"/>
      <c r="AE628" s="12"/>
      <c r="AF628" s="12">
        <v>104</v>
      </c>
      <c r="AG628" s="12"/>
      <c r="AH628" s="12"/>
      <c r="AI628" s="12">
        <v>112</v>
      </c>
      <c r="AJ628" s="12">
        <v>0</v>
      </c>
      <c r="AK628" s="12">
        <v>986</v>
      </c>
      <c r="AL628" s="12" t="str">
        <f>IF(AF628="", "mean", "med")</f>
        <v>med</v>
      </c>
      <c r="AM628" s="12">
        <f>IF(AF628="", AD628, AF628)</f>
        <v>104</v>
      </c>
      <c r="AN628" s="12">
        <f>IF(AO628="", 0, 1)</f>
        <v>0</v>
      </c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 t="s">
        <v>52</v>
      </c>
      <c r="BA628" s="12" t="str">
        <f>IF(AZ628="high","high","lower")</f>
        <v>high</v>
      </c>
      <c r="BB628" s="49">
        <v>0.875</v>
      </c>
      <c r="BC628" s="12">
        <v>84</v>
      </c>
      <c r="BD628" s="12">
        <v>89.7</v>
      </c>
      <c r="BE628" s="12">
        <v>70.8</v>
      </c>
      <c r="BF628" s="12">
        <v>89.2</v>
      </c>
      <c r="BG628" s="18" t="s">
        <v>1032</v>
      </c>
      <c r="BH628" s="18" t="s">
        <v>1033</v>
      </c>
    </row>
    <row r="629" spans="1:60" ht="15.75" customHeight="1" x14ac:dyDescent="0.2">
      <c r="A629" s="11">
        <v>632</v>
      </c>
      <c r="B629" s="12">
        <v>11017</v>
      </c>
      <c r="C629" s="13" t="s">
        <v>807</v>
      </c>
      <c r="D629" s="44" t="s">
        <v>92</v>
      </c>
      <c r="E629" s="23">
        <v>2014</v>
      </c>
      <c r="F629" s="23">
        <v>2014</v>
      </c>
      <c r="G629" s="13" t="s">
        <v>145</v>
      </c>
      <c r="H629" s="13"/>
      <c r="I629" s="13" t="s">
        <v>79</v>
      </c>
      <c r="J629" s="13" t="s">
        <v>559</v>
      </c>
      <c r="K629" s="44"/>
      <c r="L629" s="53">
        <v>18.3</v>
      </c>
      <c r="M629" s="45" t="s">
        <v>41</v>
      </c>
      <c r="N629" s="13" t="s">
        <v>42</v>
      </c>
      <c r="O629" s="14"/>
      <c r="P629" s="12">
        <f>IF(Q629="", 0, 1)</f>
        <v>0</v>
      </c>
      <c r="Q629" s="15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2">
        <f>IF(AC629="", 0, 1)</f>
        <v>0</v>
      </c>
      <c r="AC629" s="13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>
        <f>IF(AO629="", 0, 1)</f>
        <v>1</v>
      </c>
      <c r="AO629" s="52">
        <v>97</v>
      </c>
      <c r="AP629" s="12"/>
      <c r="AQ629" s="12"/>
      <c r="AR629" s="52">
        <v>90</v>
      </c>
      <c r="AS629" s="12"/>
      <c r="AT629" s="12"/>
      <c r="AU629" s="12"/>
      <c r="AV629" s="12"/>
      <c r="AW629" s="12"/>
      <c r="AX629" s="12" t="str">
        <f>IF(AR629="", "mean", "med")</f>
        <v>med</v>
      </c>
      <c r="AY629" s="12">
        <f>IF(AR629="", AP629, AR629)</f>
        <v>90</v>
      </c>
      <c r="AZ629" s="12" t="s">
        <v>808</v>
      </c>
      <c r="BA629" s="12" t="str">
        <f>IF(AZ629="high","high","lower")</f>
        <v>lower</v>
      </c>
      <c r="BB629" s="49">
        <v>0.61599999999999999</v>
      </c>
      <c r="BC629" s="12">
        <v>64.900000000000006</v>
      </c>
      <c r="BD629" s="12">
        <v>80.8</v>
      </c>
      <c r="BE629" s="12">
        <v>58.3</v>
      </c>
      <c r="BF629" s="12">
        <v>61.3</v>
      </c>
      <c r="BG629" s="18" t="s">
        <v>1030</v>
      </c>
      <c r="BH629" s="18" t="s">
        <v>1031</v>
      </c>
    </row>
    <row r="630" spans="1:60" ht="15.75" customHeight="1" x14ac:dyDescent="0.2">
      <c r="A630" s="11">
        <v>633</v>
      </c>
      <c r="B630" s="12">
        <v>11017</v>
      </c>
      <c r="C630" s="13" t="s">
        <v>807</v>
      </c>
      <c r="D630" s="44" t="s">
        <v>92</v>
      </c>
      <c r="E630" s="23">
        <v>2014</v>
      </c>
      <c r="F630" s="23">
        <v>2014</v>
      </c>
      <c r="G630" s="13" t="s">
        <v>145</v>
      </c>
      <c r="H630" s="13"/>
      <c r="I630" s="13" t="s">
        <v>79</v>
      </c>
      <c r="J630" s="13" t="s">
        <v>234</v>
      </c>
      <c r="K630" s="44"/>
      <c r="L630" s="53">
        <v>18.3</v>
      </c>
      <c r="M630" s="45" t="s">
        <v>41</v>
      </c>
      <c r="N630" s="13" t="s">
        <v>42</v>
      </c>
      <c r="O630" s="14"/>
      <c r="P630" s="12">
        <f>IF(Q630="", 0, 1)</f>
        <v>0</v>
      </c>
      <c r="Q630" s="15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2">
        <f>IF(AC630="", 0, 1)</f>
        <v>0</v>
      </c>
      <c r="AC630" s="13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>
        <f>IF(AO630="", 0, 1)</f>
        <v>1</v>
      </c>
      <c r="AO630" s="52">
        <v>16</v>
      </c>
      <c r="AP630" s="12"/>
      <c r="AQ630" s="12"/>
      <c r="AR630" s="52">
        <v>90</v>
      </c>
      <c r="AS630" s="12"/>
      <c r="AT630" s="12"/>
      <c r="AU630" s="12"/>
      <c r="AV630" s="12"/>
      <c r="AW630" s="12"/>
      <c r="AX630" s="12" t="str">
        <f>IF(AR630="", "mean", "med")</f>
        <v>med</v>
      </c>
      <c r="AY630" s="12">
        <f>IF(AR630="", AP630, AR630)</f>
        <v>90</v>
      </c>
      <c r="AZ630" s="12" t="s">
        <v>808</v>
      </c>
      <c r="BA630" s="12" t="str">
        <f>IF(AZ630="high","high","lower")</f>
        <v>lower</v>
      </c>
      <c r="BB630" s="49">
        <v>0.61599999999999999</v>
      </c>
      <c r="BC630" s="12">
        <v>64.900000000000006</v>
      </c>
      <c r="BD630" s="12">
        <v>80.8</v>
      </c>
      <c r="BE630" s="12">
        <v>58.3</v>
      </c>
      <c r="BF630" s="12">
        <v>61.3</v>
      </c>
      <c r="BG630" s="18" t="s">
        <v>1030</v>
      </c>
      <c r="BH630" s="18" t="s">
        <v>1031</v>
      </c>
    </row>
    <row r="631" spans="1:60" ht="15.75" customHeight="1" x14ac:dyDescent="0.2">
      <c r="A631" s="11">
        <v>634</v>
      </c>
      <c r="B631" s="12">
        <v>11017</v>
      </c>
      <c r="C631" s="13" t="s">
        <v>807</v>
      </c>
      <c r="D631" s="44" t="s">
        <v>92</v>
      </c>
      <c r="E631" s="23">
        <v>2014</v>
      </c>
      <c r="F631" s="23">
        <v>2014</v>
      </c>
      <c r="G631" s="13" t="s">
        <v>145</v>
      </c>
      <c r="H631" s="13"/>
      <c r="I631" s="13" t="s">
        <v>79</v>
      </c>
      <c r="J631" s="13" t="s">
        <v>767</v>
      </c>
      <c r="K631" s="44"/>
      <c r="L631" s="53">
        <v>18.3</v>
      </c>
      <c r="M631" s="45" t="s">
        <v>41</v>
      </c>
      <c r="N631" s="13" t="s">
        <v>42</v>
      </c>
      <c r="O631" s="14"/>
      <c r="P631" s="12">
        <f>IF(Q631="", 0, 1)</f>
        <v>0</v>
      </c>
      <c r="Q631" s="15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2">
        <f>IF(AC631="", 0, 1)</f>
        <v>0</v>
      </c>
      <c r="AC631" s="13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>
        <f>IF(AO631="", 0, 1)</f>
        <v>1</v>
      </c>
      <c r="AO631" s="52">
        <v>5</v>
      </c>
      <c r="AP631" s="12"/>
      <c r="AQ631" s="12"/>
      <c r="AR631" s="52">
        <v>90</v>
      </c>
      <c r="AS631" s="12"/>
      <c r="AT631" s="12"/>
      <c r="AU631" s="12"/>
      <c r="AV631" s="12"/>
      <c r="AW631" s="12"/>
      <c r="AX631" s="12" t="str">
        <f>IF(AR631="", "mean", "med")</f>
        <v>med</v>
      </c>
      <c r="AY631" s="12">
        <f>IF(AR631="", AP631, AR631)</f>
        <v>90</v>
      </c>
      <c r="AZ631" s="12" t="s">
        <v>808</v>
      </c>
      <c r="BA631" s="12" t="str">
        <f>IF(AZ631="high","high","lower")</f>
        <v>lower</v>
      </c>
      <c r="BB631" s="49">
        <v>0.61599999999999999</v>
      </c>
      <c r="BC631" s="12">
        <v>64.900000000000006</v>
      </c>
      <c r="BD631" s="12">
        <v>80.8</v>
      </c>
      <c r="BE631" s="12">
        <v>58.3</v>
      </c>
      <c r="BF631" s="12">
        <v>61.3</v>
      </c>
      <c r="BG631" s="18" t="s">
        <v>1030</v>
      </c>
      <c r="BH631" s="18" t="s">
        <v>1031</v>
      </c>
    </row>
    <row r="632" spans="1:60" ht="15.75" customHeight="1" x14ac:dyDescent="0.2">
      <c r="A632" s="11">
        <v>635</v>
      </c>
      <c r="B632" s="12">
        <v>11017</v>
      </c>
      <c r="C632" s="13" t="s">
        <v>807</v>
      </c>
      <c r="D632" s="44" t="s">
        <v>92</v>
      </c>
      <c r="E632" s="23">
        <v>2014</v>
      </c>
      <c r="F632" s="23">
        <v>2014</v>
      </c>
      <c r="G632" s="13" t="s">
        <v>145</v>
      </c>
      <c r="H632" s="13"/>
      <c r="I632" s="13" t="s">
        <v>79</v>
      </c>
      <c r="J632" s="31" t="s">
        <v>236</v>
      </c>
      <c r="K632" s="44" t="s">
        <v>587</v>
      </c>
      <c r="L632" s="53">
        <v>18.3</v>
      </c>
      <c r="M632" s="45" t="s">
        <v>41</v>
      </c>
      <c r="N632" s="13" t="s">
        <v>42</v>
      </c>
      <c r="O632" s="13"/>
      <c r="P632" s="12">
        <f>IF(Q632="", 0, 1)</f>
        <v>0</v>
      </c>
      <c r="Q632" s="12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2">
        <f>IF(AC632="", 0, 1)</f>
        <v>0</v>
      </c>
      <c r="AC632" s="13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>
        <f>IF(AO632="", 0, 1)</f>
        <v>1</v>
      </c>
      <c r="AO632" s="52">
        <v>57</v>
      </c>
      <c r="AP632" s="12"/>
      <c r="AQ632" s="12"/>
      <c r="AR632" s="52">
        <v>90</v>
      </c>
      <c r="AS632" s="12"/>
      <c r="AT632" s="12"/>
      <c r="AU632" s="12"/>
      <c r="AV632" s="12"/>
      <c r="AW632" s="12"/>
      <c r="AX632" s="12" t="str">
        <f>IF(AR632="", "mean", "med")</f>
        <v>med</v>
      </c>
      <c r="AY632" s="12">
        <f>IF(AR632="", AP632, AR632)</f>
        <v>90</v>
      </c>
      <c r="AZ632" s="12" t="s">
        <v>808</v>
      </c>
      <c r="BA632" s="12" t="str">
        <f>IF(AZ632="high","high","lower")</f>
        <v>lower</v>
      </c>
      <c r="BB632" s="49">
        <v>0.61599999999999999</v>
      </c>
      <c r="BC632" s="12">
        <v>64.900000000000006</v>
      </c>
      <c r="BD632" s="12">
        <v>80.8</v>
      </c>
      <c r="BE632" s="12">
        <v>58.3</v>
      </c>
      <c r="BF632" s="12">
        <v>61.3</v>
      </c>
      <c r="BG632" s="18" t="s">
        <v>1030</v>
      </c>
      <c r="BH632" s="18" t="s">
        <v>1031</v>
      </c>
    </row>
    <row r="633" spans="1:60" ht="15.75" customHeight="1" x14ac:dyDescent="0.2">
      <c r="A633" s="11">
        <v>636</v>
      </c>
      <c r="B633" s="12">
        <v>11017</v>
      </c>
      <c r="C633" s="13" t="s">
        <v>807</v>
      </c>
      <c r="D633" s="44" t="s">
        <v>92</v>
      </c>
      <c r="E633" s="23">
        <v>2014</v>
      </c>
      <c r="F633" s="23">
        <v>2014</v>
      </c>
      <c r="G633" s="13" t="s">
        <v>145</v>
      </c>
      <c r="H633" s="13"/>
      <c r="I633" s="13" t="s">
        <v>79</v>
      </c>
      <c r="J633" s="31" t="s">
        <v>236</v>
      </c>
      <c r="K633" s="44" t="s">
        <v>478</v>
      </c>
      <c r="L633" s="53">
        <v>18.3</v>
      </c>
      <c r="M633" s="45" t="s">
        <v>41</v>
      </c>
      <c r="N633" s="13" t="s">
        <v>42</v>
      </c>
      <c r="O633" s="13"/>
      <c r="P633" s="12">
        <f>IF(Q633="", 0, 1)</f>
        <v>0</v>
      </c>
      <c r="Q633" s="12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2">
        <f>IF(AC633="", 0, 1)</f>
        <v>0</v>
      </c>
      <c r="AC633" s="13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>
        <f>IF(AO633="", 0, 1)</f>
        <v>1</v>
      </c>
      <c r="AO633" s="52">
        <v>74</v>
      </c>
      <c r="AP633" s="12"/>
      <c r="AQ633" s="12"/>
      <c r="AR633" s="52">
        <v>60</v>
      </c>
      <c r="AS633" s="12"/>
      <c r="AT633" s="12"/>
      <c r="AU633" s="12"/>
      <c r="AV633" s="12"/>
      <c r="AW633" s="12"/>
      <c r="AX633" s="12" t="str">
        <f>IF(AR633="", "mean", "med")</f>
        <v>med</v>
      </c>
      <c r="AY633" s="12">
        <f>IF(AR633="", AP633, AR633)</f>
        <v>60</v>
      </c>
      <c r="AZ633" s="12" t="s">
        <v>808</v>
      </c>
      <c r="BA633" s="12" t="str">
        <f>IF(AZ633="high","high","lower")</f>
        <v>lower</v>
      </c>
      <c r="BB633" s="49">
        <v>0.61599999999999999</v>
      </c>
      <c r="BC633" s="12">
        <v>64.900000000000006</v>
      </c>
      <c r="BD633" s="12">
        <v>80.8</v>
      </c>
      <c r="BE633" s="12">
        <v>58.3</v>
      </c>
      <c r="BF633" s="12">
        <v>61.3</v>
      </c>
      <c r="BG633" s="18" t="s">
        <v>1030</v>
      </c>
      <c r="BH633" s="18" t="s">
        <v>1031</v>
      </c>
    </row>
    <row r="634" spans="1:60" ht="15.75" customHeight="1" x14ac:dyDescent="0.2">
      <c r="A634" s="11">
        <v>637</v>
      </c>
      <c r="B634" s="12">
        <v>11017</v>
      </c>
      <c r="C634" s="13" t="s">
        <v>807</v>
      </c>
      <c r="D634" s="44" t="s">
        <v>92</v>
      </c>
      <c r="E634" s="23">
        <v>2014</v>
      </c>
      <c r="F634" s="23">
        <v>2014</v>
      </c>
      <c r="G634" s="13" t="s">
        <v>145</v>
      </c>
      <c r="H634" s="13"/>
      <c r="I634" s="13" t="s">
        <v>79</v>
      </c>
      <c r="J634" s="31" t="s">
        <v>236</v>
      </c>
      <c r="K634" s="44" t="s">
        <v>809</v>
      </c>
      <c r="L634" s="53">
        <v>18.3</v>
      </c>
      <c r="M634" s="45">
        <v>55.4</v>
      </c>
      <c r="N634" s="13" t="s">
        <v>42</v>
      </c>
      <c r="O634" s="13"/>
      <c r="P634" s="12">
        <f>IF(Q634="", 0, 1)</f>
        <v>0</v>
      </c>
      <c r="Q634" s="22"/>
      <c r="R634" s="21"/>
      <c r="S634" s="17"/>
      <c r="T634" s="17"/>
      <c r="U634" s="17"/>
      <c r="V634" s="17"/>
      <c r="W634" s="17"/>
      <c r="X634" s="17"/>
      <c r="Y634" s="17"/>
      <c r="Z634" s="17"/>
      <c r="AA634" s="17"/>
      <c r="AB634" s="12">
        <f>IF(AC634="", 0, 1)</f>
        <v>0</v>
      </c>
      <c r="AC634" s="13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>
        <f>IF(AO634="", 0, 1)</f>
        <v>1</v>
      </c>
      <c r="AO634" s="52">
        <v>10</v>
      </c>
      <c r="AP634" s="12"/>
      <c r="AQ634" s="12"/>
      <c r="AR634" s="52">
        <v>90</v>
      </c>
      <c r="AS634" s="12"/>
      <c r="AT634" s="12"/>
      <c r="AU634" s="12"/>
      <c r="AV634" s="12"/>
      <c r="AW634" s="12"/>
      <c r="AX634" s="12" t="str">
        <f>IF(AR634="", "mean", "med")</f>
        <v>med</v>
      </c>
      <c r="AY634" s="12">
        <f>IF(AR634="", AP634, AR634)</f>
        <v>90</v>
      </c>
      <c r="AZ634" s="12" t="s">
        <v>808</v>
      </c>
      <c r="BA634" s="12" t="str">
        <f>IF(AZ634="high","high","lower")</f>
        <v>lower</v>
      </c>
      <c r="BB634" s="49">
        <v>0.61599999999999999</v>
      </c>
      <c r="BC634" s="12">
        <v>64.900000000000006</v>
      </c>
      <c r="BD634" s="12">
        <v>80.8</v>
      </c>
      <c r="BE634" s="12">
        <v>58.3</v>
      </c>
      <c r="BF634" s="12">
        <v>61.3</v>
      </c>
      <c r="BG634" s="18" t="s">
        <v>1030</v>
      </c>
      <c r="BH634" s="18" t="s">
        <v>1031</v>
      </c>
    </row>
    <row r="635" spans="1:60" ht="15.75" customHeight="1" x14ac:dyDescent="0.2">
      <c r="A635" s="11">
        <v>638</v>
      </c>
      <c r="B635" s="12">
        <v>11017</v>
      </c>
      <c r="C635" s="13" t="s">
        <v>807</v>
      </c>
      <c r="D635" s="44" t="s">
        <v>92</v>
      </c>
      <c r="E635" s="23">
        <v>2014</v>
      </c>
      <c r="F635" s="23">
        <v>2014</v>
      </c>
      <c r="G635" s="13" t="s">
        <v>145</v>
      </c>
      <c r="H635" s="13"/>
      <c r="I635" s="13" t="s">
        <v>79</v>
      </c>
      <c r="J635" s="13" t="s">
        <v>238</v>
      </c>
      <c r="K635" s="44"/>
      <c r="L635" s="53">
        <v>18.3</v>
      </c>
      <c r="M635" s="45" t="s">
        <v>41</v>
      </c>
      <c r="N635" s="13" t="s">
        <v>42</v>
      </c>
      <c r="O635" s="13"/>
      <c r="P635" s="12">
        <f>IF(Q635="", 0, 1)</f>
        <v>0</v>
      </c>
      <c r="Q635" s="15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2">
        <f>IF(AC635="", 0, 1)</f>
        <v>0</v>
      </c>
      <c r="AC635" s="13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>
        <f>IF(AO635="", 0, 1)</f>
        <v>1</v>
      </c>
      <c r="AO635" s="52">
        <v>14</v>
      </c>
      <c r="AP635" s="12"/>
      <c r="AQ635" s="12"/>
      <c r="AR635" s="52">
        <v>90</v>
      </c>
      <c r="AS635" s="12"/>
      <c r="AT635" s="12"/>
      <c r="AU635" s="12"/>
      <c r="AV635" s="12"/>
      <c r="AW635" s="12"/>
      <c r="AX635" s="12" t="str">
        <f>IF(AR635="", "mean", "med")</f>
        <v>med</v>
      </c>
      <c r="AY635" s="12">
        <f>IF(AR635="", AP635, AR635)</f>
        <v>90</v>
      </c>
      <c r="AZ635" s="12" t="s">
        <v>808</v>
      </c>
      <c r="BA635" s="12" t="str">
        <f>IF(AZ635="high","high","lower")</f>
        <v>lower</v>
      </c>
      <c r="BB635" s="49">
        <v>0.61599999999999999</v>
      </c>
      <c r="BC635" s="12">
        <v>64.900000000000006</v>
      </c>
      <c r="BD635" s="12">
        <v>80.8</v>
      </c>
      <c r="BE635" s="12">
        <v>58.3</v>
      </c>
      <c r="BF635" s="12">
        <v>61.3</v>
      </c>
      <c r="BG635" s="18" t="s">
        <v>1030</v>
      </c>
      <c r="BH635" s="18" t="s">
        <v>1031</v>
      </c>
    </row>
    <row r="636" spans="1:60" ht="15.75" customHeight="1" x14ac:dyDescent="0.2">
      <c r="A636" s="11">
        <v>639</v>
      </c>
      <c r="B636" s="12">
        <v>11017</v>
      </c>
      <c r="C636" s="13" t="s">
        <v>807</v>
      </c>
      <c r="D636" s="44" t="s">
        <v>92</v>
      </c>
      <c r="E636" s="23">
        <v>2014</v>
      </c>
      <c r="F636" s="23">
        <v>2014</v>
      </c>
      <c r="G636" s="13" t="s">
        <v>145</v>
      </c>
      <c r="H636" s="13"/>
      <c r="I636" s="13" t="s">
        <v>79</v>
      </c>
      <c r="J636" s="13" t="s">
        <v>493</v>
      </c>
      <c r="K636" s="44"/>
      <c r="L636" s="53">
        <v>18.3</v>
      </c>
      <c r="M636" s="45" t="s">
        <v>41</v>
      </c>
      <c r="N636" s="13" t="s">
        <v>42</v>
      </c>
      <c r="O636" s="13"/>
      <c r="P636" s="12">
        <f>IF(Q636="", 0, 1)</f>
        <v>0</v>
      </c>
      <c r="Q636" s="15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2">
        <f>IF(AC636="", 0, 1)</f>
        <v>0</v>
      </c>
      <c r="AC636" s="13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>
        <f>IF(AO636="", 0, 1)</f>
        <v>1</v>
      </c>
      <c r="AO636" s="52">
        <v>5</v>
      </c>
      <c r="AP636" s="12"/>
      <c r="AQ636" s="12"/>
      <c r="AR636" s="52">
        <v>180</v>
      </c>
      <c r="AS636" s="12"/>
      <c r="AT636" s="12"/>
      <c r="AU636" s="12"/>
      <c r="AV636" s="12"/>
      <c r="AW636" s="12"/>
      <c r="AX636" s="12" t="str">
        <f>IF(AR636="", "mean", "med")</f>
        <v>med</v>
      </c>
      <c r="AY636" s="12">
        <f>IF(AR636="", AP636, AR636)</f>
        <v>180</v>
      </c>
      <c r="AZ636" s="12" t="s">
        <v>808</v>
      </c>
      <c r="BA636" s="12" t="str">
        <f>IF(AZ636="high","high","lower")</f>
        <v>lower</v>
      </c>
      <c r="BB636" s="49">
        <v>0.61599999999999999</v>
      </c>
      <c r="BC636" s="12">
        <v>64.900000000000006</v>
      </c>
      <c r="BD636" s="12">
        <v>80.8</v>
      </c>
      <c r="BE636" s="12">
        <v>58.3</v>
      </c>
      <c r="BF636" s="12">
        <v>61.3</v>
      </c>
      <c r="BG636" s="18" t="s">
        <v>1030</v>
      </c>
      <c r="BH636" s="18" t="s">
        <v>1031</v>
      </c>
    </row>
    <row r="637" spans="1:60" ht="15.75" customHeight="1" x14ac:dyDescent="0.2">
      <c r="A637" s="11">
        <v>640</v>
      </c>
      <c r="B637" s="12">
        <v>11017</v>
      </c>
      <c r="C637" s="13" t="s">
        <v>807</v>
      </c>
      <c r="D637" s="44" t="s">
        <v>92</v>
      </c>
      <c r="E637" s="23">
        <v>2014</v>
      </c>
      <c r="F637" s="23">
        <v>2014</v>
      </c>
      <c r="G637" s="13" t="s">
        <v>145</v>
      </c>
      <c r="H637" s="13"/>
      <c r="I637" s="13" t="s">
        <v>79</v>
      </c>
      <c r="J637" s="32" t="s">
        <v>810</v>
      </c>
      <c r="K637" s="44"/>
      <c r="L637" s="53">
        <v>18.3</v>
      </c>
      <c r="M637" s="45" t="s">
        <v>41</v>
      </c>
      <c r="N637" s="13" t="s">
        <v>42</v>
      </c>
      <c r="O637" s="14"/>
      <c r="P637" s="12">
        <f>IF(Q637="", 0, 1)</f>
        <v>0</v>
      </c>
      <c r="Q637" s="15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2">
        <f>IF(AC637="", 0, 1)</f>
        <v>0</v>
      </c>
      <c r="AC637" s="13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>
        <f>IF(AO637="", 0, 1)</f>
        <v>1</v>
      </c>
      <c r="AO637" s="52">
        <v>33</v>
      </c>
      <c r="AP637" s="12"/>
      <c r="AQ637" s="12"/>
      <c r="AR637" s="52">
        <v>118</v>
      </c>
      <c r="AS637" s="12"/>
      <c r="AT637" s="12"/>
      <c r="AU637" s="12"/>
      <c r="AV637" s="12"/>
      <c r="AW637" s="12"/>
      <c r="AX637" s="12" t="str">
        <f>IF(AR637="", "mean", "med")</f>
        <v>med</v>
      </c>
      <c r="AY637" s="12">
        <f>IF(AR637="", AP637, AR637)</f>
        <v>118</v>
      </c>
      <c r="AZ637" s="12" t="s">
        <v>808</v>
      </c>
      <c r="BA637" s="12" t="str">
        <f>IF(AZ637="high","high","lower")</f>
        <v>lower</v>
      </c>
      <c r="BB637" s="49">
        <v>0.61599999999999999</v>
      </c>
      <c r="BC637" s="12">
        <v>64.900000000000006</v>
      </c>
      <c r="BD637" s="12">
        <v>80.8</v>
      </c>
      <c r="BE637" s="12">
        <v>58.3</v>
      </c>
      <c r="BF637" s="12">
        <v>61.3</v>
      </c>
      <c r="BG637" s="18" t="s">
        <v>1030</v>
      </c>
      <c r="BH637" s="18" t="s">
        <v>1031</v>
      </c>
    </row>
    <row r="638" spans="1:60" ht="15.75" customHeight="1" x14ac:dyDescent="0.2">
      <c r="A638" s="11">
        <v>641</v>
      </c>
      <c r="B638" s="12">
        <v>11105</v>
      </c>
      <c r="C638" s="13" t="s">
        <v>811</v>
      </c>
      <c r="D638" s="14" t="s">
        <v>812</v>
      </c>
      <c r="E638" s="23">
        <v>2004</v>
      </c>
      <c r="F638" s="23">
        <v>2010</v>
      </c>
      <c r="G638" s="13" t="s">
        <v>134</v>
      </c>
      <c r="H638" s="13"/>
      <c r="I638" s="31" t="s">
        <v>104</v>
      </c>
      <c r="J638" s="13" t="s">
        <v>206</v>
      </c>
      <c r="K638" s="14"/>
      <c r="L638" s="19">
        <v>100</v>
      </c>
      <c r="M638" s="20">
        <v>59</v>
      </c>
      <c r="N638" s="13" t="s">
        <v>42</v>
      </c>
      <c r="O638" s="13"/>
      <c r="P638" s="12">
        <f>IF(Q638="", 0, 1)</f>
        <v>0</v>
      </c>
      <c r="Q638" s="15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2">
        <f>IF(AC638="", 0, 1)</f>
        <v>1</v>
      </c>
      <c r="AC638" s="13">
        <v>210</v>
      </c>
      <c r="AD638" s="12"/>
      <c r="AE638" s="12"/>
      <c r="AF638" s="12">
        <v>77</v>
      </c>
      <c r="AG638" s="12">
        <v>29</v>
      </c>
      <c r="AH638" s="12">
        <v>148</v>
      </c>
      <c r="AI638" s="12"/>
      <c r="AJ638" s="12"/>
      <c r="AK638" s="12"/>
      <c r="AL638" s="12" t="str">
        <f>IF(AF638="", "mean", "med")</f>
        <v>med</v>
      </c>
      <c r="AM638" s="12">
        <f>IF(AF638="", AD638, AF638)</f>
        <v>77</v>
      </c>
      <c r="AN638" s="12">
        <f>IF(AO638="", 0, 1)</f>
        <v>0</v>
      </c>
      <c r="AO638" s="22"/>
      <c r="AP638" s="12"/>
      <c r="AQ638" s="12"/>
      <c r="AR638" s="22"/>
      <c r="AS638" s="12"/>
      <c r="AT638" s="12"/>
      <c r="AU638" s="12"/>
      <c r="AV638" s="12"/>
      <c r="AW638" s="12"/>
      <c r="AX638" s="12"/>
      <c r="AY638" s="12"/>
      <c r="AZ638" s="12" t="s">
        <v>52</v>
      </c>
      <c r="BA638" s="12" t="str">
        <f>IF(AZ638="high","high","lower")</f>
        <v>high</v>
      </c>
      <c r="BB638" s="49">
        <v>0.89600000000000002</v>
      </c>
      <c r="BC638" s="12">
        <v>84.8</v>
      </c>
      <c r="BD638" s="12">
        <v>94</v>
      </c>
      <c r="BE638" s="12">
        <v>100</v>
      </c>
      <c r="BF638" s="12">
        <v>82.2</v>
      </c>
      <c r="BG638" s="18" t="s">
        <v>1034</v>
      </c>
      <c r="BH638" s="18" t="s">
        <v>1031</v>
      </c>
    </row>
    <row r="639" spans="1:60" ht="15.75" customHeight="1" x14ac:dyDescent="0.2">
      <c r="A639" s="11">
        <v>642</v>
      </c>
      <c r="B639" s="12">
        <v>11105</v>
      </c>
      <c r="C639" s="13" t="s">
        <v>811</v>
      </c>
      <c r="D639" s="14" t="s">
        <v>813</v>
      </c>
      <c r="E639" s="23">
        <v>2004</v>
      </c>
      <c r="F639" s="23">
        <v>2010</v>
      </c>
      <c r="G639" s="13" t="s">
        <v>134</v>
      </c>
      <c r="H639" s="13"/>
      <c r="I639" s="31" t="s">
        <v>104</v>
      </c>
      <c r="J639" s="13" t="s">
        <v>206</v>
      </c>
      <c r="K639" s="14"/>
      <c r="L639" s="19">
        <v>100</v>
      </c>
      <c r="M639" s="20">
        <v>66</v>
      </c>
      <c r="N639" s="13" t="s">
        <v>42</v>
      </c>
      <c r="O639" s="13"/>
      <c r="P639" s="12">
        <f>IF(Q639="", 0, 1)</f>
        <v>0</v>
      </c>
      <c r="Q639" s="15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2">
        <f>IF(AC639="", 0, 1)</f>
        <v>1</v>
      </c>
      <c r="AC639" s="13">
        <v>391</v>
      </c>
      <c r="AD639" s="12"/>
      <c r="AE639" s="12"/>
      <c r="AF639" s="12">
        <v>27</v>
      </c>
      <c r="AG639" s="12">
        <v>7</v>
      </c>
      <c r="AH639" s="12">
        <v>68</v>
      </c>
      <c r="AI639" s="12"/>
      <c r="AJ639" s="12"/>
      <c r="AK639" s="12"/>
      <c r="AL639" s="12" t="str">
        <f>IF(AF639="", "mean", "med")</f>
        <v>med</v>
      </c>
      <c r="AM639" s="12">
        <f>IF(AF639="", AD639, AF639)</f>
        <v>27</v>
      </c>
      <c r="AN639" s="12">
        <f>IF(AO639="", 0, 1)</f>
        <v>0</v>
      </c>
      <c r="AO639" s="22"/>
      <c r="AP639" s="12"/>
      <c r="AQ639" s="12"/>
      <c r="AR639" s="22"/>
      <c r="AS639" s="12"/>
      <c r="AT639" s="12"/>
      <c r="AU639" s="12"/>
      <c r="AV639" s="12"/>
      <c r="AW639" s="12"/>
      <c r="AX639" s="12"/>
      <c r="AY639" s="12"/>
      <c r="AZ639" s="12" t="s">
        <v>52</v>
      </c>
      <c r="BA639" s="12" t="str">
        <f>IF(AZ639="high","high","lower")</f>
        <v>high</v>
      </c>
      <c r="BB639" s="49">
        <v>0.89600000000000002</v>
      </c>
      <c r="BC639" s="12">
        <v>84.8</v>
      </c>
      <c r="BD639" s="12">
        <v>94</v>
      </c>
      <c r="BE639" s="12">
        <v>100</v>
      </c>
      <c r="BF639" s="12">
        <v>82.2</v>
      </c>
      <c r="BG639" s="18" t="s">
        <v>1034</v>
      </c>
      <c r="BH639" s="18" t="s">
        <v>1031</v>
      </c>
    </row>
    <row r="640" spans="1:60" ht="15.75" customHeight="1" x14ac:dyDescent="0.2">
      <c r="A640" s="11">
        <v>643</v>
      </c>
      <c r="B640" s="12">
        <v>11106</v>
      </c>
      <c r="C640" s="13" t="s">
        <v>814</v>
      </c>
      <c r="D640" s="14" t="s">
        <v>38</v>
      </c>
      <c r="E640" s="23">
        <v>2000</v>
      </c>
      <c r="F640" s="23">
        <v>2003</v>
      </c>
      <c r="G640" s="13" t="s">
        <v>815</v>
      </c>
      <c r="H640" s="13"/>
      <c r="I640" s="14" t="s">
        <v>79</v>
      </c>
      <c r="J640" s="13" t="s">
        <v>767</v>
      </c>
      <c r="K640" s="14"/>
      <c r="L640" s="19">
        <v>25.1</v>
      </c>
      <c r="M640" s="20">
        <v>46</v>
      </c>
      <c r="N640" s="13" t="s">
        <v>50</v>
      </c>
      <c r="O640" s="14"/>
      <c r="P640" s="12">
        <f>IF(Q640="", 0, 1)</f>
        <v>0</v>
      </c>
      <c r="Q640" s="15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2">
        <f>IF(AC640="", 0, 1)</f>
        <v>1</v>
      </c>
      <c r="AC640" s="13">
        <v>307</v>
      </c>
      <c r="AD640" s="12"/>
      <c r="AE640" s="12"/>
      <c r="AF640" s="12">
        <f>3*30</f>
        <v>90</v>
      </c>
      <c r="AG640" s="12"/>
      <c r="AH640" s="12"/>
      <c r="AI640" s="12"/>
      <c r="AJ640" s="12">
        <f>0</f>
        <v>0</v>
      </c>
      <c r="AK640" s="12">
        <f>51*30</f>
        <v>1530</v>
      </c>
      <c r="AL640" s="12" t="str">
        <f>IF(AF640="", "mean", "med")</f>
        <v>med</v>
      </c>
      <c r="AM640" s="12">
        <f>IF(AF640="", AD640, AF640)</f>
        <v>90</v>
      </c>
      <c r="AN640" s="12">
        <f>IF(AO640="", 0, 1)</f>
        <v>1</v>
      </c>
      <c r="AO640" s="22">
        <v>307</v>
      </c>
      <c r="AP640" s="12"/>
      <c r="AQ640" s="12"/>
      <c r="AR640" s="22">
        <f>1*30</f>
        <v>30</v>
      </c>
      <c r="AS640" s="12"/>
      <c r="AT640" s="12"/>
      <c r="AU640" s="12"/>
      <c r="AV640" s="12">
        <v>0</v>
      </c>
      <c r="AW640" s="12">
        <f>48*30</f>
        <v>1440</v>
      </c>
      <c r="AX640" s="12" t="str">
        <f>IF(AR640="", "mean", "med")</f>
        <v>med</v>
      </c>
      <c r="AY640" s="12">
        <f>IF(AR640="", AP640, AR640)</f>
        <v>30</v>
      </c>
      <c r="AZ640" s="12" t="s">
        <v>43</v>
      </c>
      <c r="BA640" s="12" t="str">
        <f>IF(AZ640="high","high","lower")</f>
        <v>lower</v>
      </c>
      <c r="BB640" s="49">
        <v>0.748</v>
      </c>
      <c r="BC640" s="12">
        <v>53</v>
      </c>
      <c r="BD640" s="12">
        <v>62.6</v>
      </c>
      <c r="BE640" s="12">
        <v>91.7</v>
      </c>
      <c r="BF640" s="12">
        <v>54</v>
      </c>
      <c r="BG640" s="18" t="s">
        <v>1030</v>
      </c>
      <c r="BH640" s="18" t="s">
        <v>1031</v>
      </c>
    </row>
    <row r="641" spans="1:60" ht="15.75" customHeight="1" x14ac:dyDescent="0.2">
      <c r="A641" s="11">
        <v>644</v>
      </c>
      <c r="B641" s="12">
        <v>11281</v>
      </c>
      <c r="C641" s="13" t="s">
        <v>816</v>
      </c>
      <c r="D641" s="14" t="s">
        <v>454</v>
      </c>
      <c r="E641" s="23">
        <v>2004</v>
      </c>
      <c r="F641" s="23">
        <v>2010</v>
      </c>
      <c r="G641" s="13" t="s">
        <v>49</v>
      </c>
      <c r="H641" s="13"/>
      <c r="I641" s="13" t="s">
        <v>59</v>
      </c>
      <c r="J641" s="13" t="s">
        <v>82</v>
      </c>
      <c r="K641" s="14"/>
      <c r="L641" s="19">
        <v>100</v>
      </c>
      <c r="M641" s="20">
        <v>55.7</v>
      </c>
      <c r="N641" s="13" t="s">
        <v>99</v>
      </c>
      <c r="O641" s="13"/>
      <c r="P641" s="12">
        <f>IF(Q641="", 0, 1)</f>
        <v>0</v>
      </c>
      <c r="Q641" s="15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2">
        <f>IF(AC641="", 0, 1)</f>
        <v>1</v>
      </c>
      <c r="AC641" s="13">
        <v>2233</v>
      </c>
      <c r="AD641" s="12">
        <v>85.4</v>
      </c>
      <c r="AE641" s="12">
        <v>97.7</v>
      </c>
      <c r="AF641" s="12">
        <v>41</v>
      </c>
      <c r="AG641" s="12">
        <v>17</v>
      </c>
      <c r="AH641" s="12">
        <v>117</v>
      </c>
      <c r="AI641" s="12"/>
      <c r="AJ641" s="12"/>
      <c r="AK641" s="12"/>
      <c r="AL641" s="12" t="str">
        <f>IF(AF641="", "mean", "med")</f>
        <v>med</v>
      </c>
      <c r="AM641" s="12">
        <f>IF(AF641="", AD641, AF641)</f>
        <v>41</v>
      </c>
      <c r="AN641" s="12">
        <f>IF(AO641="", 0, 1)</f>
        <v>0</v>
      </c>
      <c r="AO641" s="22"/>
      <c r="AP641" s="12"/>
      <c r="AQ641" s="12"/>
      <c r="AR641" s="22"/>
      <c r="AS641" s="12"/>
      <c r="AT641" s="12"/>
      <c r="AU641" s="12"/>
      <c r="AV641" s="12"/>
      <c r="AW641" s="12"/>
      <c r="AX641" s="12"/>
      <c r="AY641" s="12"/>
      <c r="AZ641" s="12" t="s">
        <v>52</v>
      </c>
      <c r="BA641" s="12" t="str">
        <f>IF(AZ641="high","high","lower")</f>
        <v>high</v>
      </c>
      <c r="BB641" s="49">
        <v>0.90600000000000003</v>
      </c>
      <c r="BC641" s="12">
        <v>84</v>
      </c>
      <c r="BD641" s="12">
        <v>88</v>
      </c>
      <c r="BE641" s="12">
        <v>100</v>
      </c>
      <c r="BF641" s="12">
        <v>84.2</v>
      </c>
      <c r="BG641" s="18" t="s">
        <v>1030</v>
      </c>
      <c r="BH641" s="18" t="s">
        <v>1031</v>
      </c>
    </row>
    <row r="642" spans="1:60" ht="15.75" customHeight="1" x14ac:dyDescent="0.2">
      <c r="A642" s="11">
        <v>645</v>
      </c>
      <c r="B642" s="12">
        <v>11281</v>
      </c>
      <c r="C642" s="13" t="s">
        <v>816</v>
      </c>
      <c r="D642" s="14" t="s">
        <v>455</v>
      </c>
      <c r="E642" s="23">
        <v>2004</v>
      </c>
      <c r="F642" s="23">
        <v>2010</v>
      </c>
      <c r="G642" s="13" t="s">
        <v>49</v>
      </c>
      <c r="H642" s="13"/>
      <c r="I642" s="13" t="s">
        <v>59</v>
      </c>
      <c r="J642" s="14" t="s">
        <v>82</v>
      </c>
      <c r="K642" s="14"/>
      <c r="L642" s="19">
        <v>0</v>
      </c>
      <c r="M642" s="20">
        <v>57</v>
      </c>
      <c r="N642" s="13" t="s">
        <v>99</v>
      </c>
      <c r="O642" s="13"/>
      <c r="P642" s="12">
        <f>IF(Q642="", 0, 1)</f>
        <v>0</v>
      </c>
      <c r="Q642" s="15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2">
        <f>IF(AC642="", 0, 1)</f>
        <v>1</v>
      </c>
      <c r="AC642" s="13">
        <v>5416</v>
      </c>
      <c r="AD642" s="12">
        <v>73.599999999999994</v>
      </c>
      <c r="AE642" s="12">
        <v>91.1</v>
      </c>
      <c r="AF642" s="12">
        <v>35</v>
      </c>
      <c r="AG642" s="12">
        <v>15</v>
      </c>
      <c r="AH642" s="12">
        <v>88.5</v>
      </c>
      <c r="AI642" s="12"/>
      <c r="AJ642" s="12"/>
      <c r="AK642" s="12"/>
      <c r="AL642" s="12" t="str">
        <f>IF(AF642="", "mean", "med")</f>
        <v>med</v>
      </c>
      <c r="AM642" s="12">
        <f>IF(AF642="", AD642, AF642)</f>
        <v>35</v>
      </c>
      <c r="AN642" s="12">
        <f>IF(AO642="", 0, 1)</f>
        <v>0</v>
      </c>
      <c r="AO642" s="22"/>
      <c r="AP642" s="12"/>
      <c r="AQ642" s="12"/>
      <c r="AR642" s="22"/>
      <c r="AS642" s="12"/>
      <c r="AT642" s="12"/>
      <c r="AU642" s="12"/>
      <c r="AV642" s="12"/>
      <c r="AW642" s="12"/>
      <c r="AX642" s="12"/>
      <c r="AY642" s="12"/>
      <c r="AZ642" s="12" t="s">
        <v>52</v>
      </c>
      <c r="BA642" s="12" t="str">
        <f>IF(AZ642="high","high","lower")</f>
        <v>high</v>
      </c>
      <c r="BB642" s="49">
        <v>0.90600000000000003</v>
      </c>
      <c r="BC642" s="12">
        <v>84</v>
      </c>
      <c r="BD642" s="12">
        <v>88</v>
      </c>
      <c r="BE642" s="12">
        <v>100</v>
      </c>
      <c r="BF642" s="12">
        <v>84.2</v>
      </c>
      <c r="BG642" s="18" t="s">
        <v>1030</v>
      </c>
      <c r="BH642" s="18" t="s">
        <v>1031</v>
      </c>
    </row>
    <row r="643" spans="1:60" ht="15.75" customHeight="1" x14ac:dyDescent="0.2">
      <c r="A643" s="11">
        <v>646</v>
      </c>
      <c r="B643" s="12">
        <v>11295</v>
      </c>
      <c r="C643" s="13" t="s">
        <v>817</v>
      </c>
      <c r="D643" s="14" t="s">
        <v>92</v>
      </c>
      <c r="E643" s="23">
        <v>2008</v>
      </c>
      <c r="F643" s="23">
        <v>2012</v>
      </c>
      <c r="G643" s="13" t="s">
        <v>117</v>
      </c>
      <c r="H643" s="13"/>
      <c r="I643" s="13" t="s">
        <v>70</v>
      </c>
      <c r="J643" s="13" t="s">
        <v>119</v>
      </c>
      <c r="K643" s="14" t="s">
        <v>818</v>
      </c>
      <c r="L643" s="19">
        <v>36.700000000000003</v>
      </c>
      <c r="M643" s="20" t="s">
        <v>41</v>
      </c>
      <c r="N643" s="13" t="s">
        <v>50</v>
      </c>
      <c r="O643" s="13"/>
      <c r="P643" s="12">
        <f>IF(Q643="", 0, 1)</f>
        <v>0</v>
      </c>
      <c r="Q643" s="15"/>
      <c r="R643" s="21"/>
      <c r="S643" s="21"/>
      <c r="T643" s="17"/>
      <c r="U643" s="17"/>
      <c r="V643" s="17"/>
      <c r="W643" s="17"/>
      <c r="X643" s="17"/>
      <c r="Y643" s="17"/>
      <c r="Z643" s="17"/>
      <c r="AA643" s="17"/>
      <c r="AB643" s="12">
        <f>IF(AC643="", 0, 1)</f>
        <v>1</v>
      </c>
      <c r="AC643" s="13">
        <v>60</v>
      </c>
      <c r="AD643" s="12"/>
      <c r="AE643" s="12"/>
      <c r="AF643" s="12">
        <f>0.6*30</f>
        <v>18</v>
      </c>
      <c r="AG643" s="12">
        <v>0</v>
      </c>
      <c r="AH643" s="12">
        <f>5.3*30</f>
        <v>159</v>
      </c>
      <c r="AI643" s="12"/>
      <c r="AJ643" s="12"/>
      <c r="AK643" s="12"/>
      <c r="AL643" s="12" t="str">
        <f>IF(AF643="", "mean", "med")</f>
        <v>med</v>
      </c>
      <c r="AM643" s="12">
        <f>IF(AF643="", AD643, AF643)</f>
        <v>18</v>
      </c>
      <c r="AN643" s="12">
        <f>IF(AO643="", 0, 1)</f>
        <v>1</v>
      </c>
      <c r="AO643" s="22">
        <v>60</v>
      </c>
      <c r="AP643" s="12"/>
      <c r="AQ643" s="12"/>
      <c r="AR643" s="22">
        <v>90</v>
      </c>
      <c r="AS643" s="12">
        <v>30</v>
      </c>
      <c r="AT643" s="12">
        <v>375</v>
      </c>
      <c r="AU643" s="12"/>
      <c r="AV643" s="12"/>
      <c r="AW643" s="12"/>
      <c r="AX643" s="12" t="str">
        <f>IF(AR643="", "mean", "med")</f>
        <v>med</v>
      </c>
      <c r="AY643" s="12">
        <f>IF(AR643="", AP643, AR643)</f>
        <v>90</v>
      </c>
      <c r="AZ643" s="12" t="s">
        <v>52</v>
      </c>
      <c r="BA643" s="12" t="str">
        <f>IF(AZ643="high","high","lower")</f>
        <v>high</v>
      </c>
      <c r="BB643" s="49">
        <v>0.93100000000000005</v>
      </c>
      <c r="BC643" s="12">
        <v>90.6</v>
      </c>
      <c r="BD643" s="12">
        <v>98</v>
      </c>
      <c r="BE643" s="12">
        <v>100</v>
      </c>
      <c r="BF643" s="12">
        <v>90</v>
      </c>
      <c r="BG643" s="18" t="s">
        <v>1030</v>
      </c>
      <c r="BH643" s="18" t="s">
        <v>1031</v>
      </c>
    </row>
    <row r="644" spans="1:60" ht="15.75" customHeight="1" x14ac:dyDescent="0.2">
      <c r="A644" s="11">
        <v>647</v>
      </c>
      <c r="B644" s="12">
        <v>11295</v>
      </c>
      <c r="C644" s="13" t="s">
        <v>817</v>
      </c>
      <c r="D644" s="14" t="s">
        <v>92</v>
      </c>
      <c r="E644" s="23">
        <v>2008</v>
      </c>
      <c r="F644" s="23">
        <v>2012</v>
      </c>
      <c r="G644" s="13" t="s">
        <v>117</v>
      </c>
      <c r="H644" s="13"/>
      <c r="I644" s="13" t="s">
        <v>70</v>
      </c>
      <c r="J644" s="13" t="s">
        <v>119</v>
      </c>
      <c r="K644" s="14" t="s">
        <v>819</v>
      </c>
      <c r="L644" s="19">
        <v>36.700000000000003</v>
      </c>
      <c r="M644" s="20" t="s">
        <v>41</v>
      </c>
      <c r="N644" s="13" t="s">
        <v>50</v>
      </c>
      <c r="O644" s="13"/>
      <c r="P644" s="12">
        <f>IF(Q644="", 0, 1)</f>
        <v>0</v>
      </c>
      <c r="Q644" s="15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2">
        <f>IF(AC644="", 0, 1)</f>
        <v>1</v>
      </c>
      <c r="AC644" s="13">
        <v>60</v>
      </c>
      <c r="AD644" s="12"/>
      <c r="AE644" s="12"/>
      <c r="AF644" s="12">
        <v>0</v>
      </c>
      <c r="AG644" s="12">
        <v>0</v>
      </c>
      <c r="AH644" s="12">
        <f>7.7*30</f>
        <v>231</v>
      </c>
      <c r="AI644" s="12"/>
      <c r="AJ644" s="12"/>
      <c r="AK644" s="12"/>
      <c r="AL644" s="12" t="str">
        <f>IF(AF644="", "mean", "med")</f>
        <v>med</v>
      </c>
      <c r="AM644" s="12">
        <f>IF(AF644="", AD644, AF644)</f>
        <v>0</v>
      </c>
      <c r="AN644" s="12">
        <f>IF(AO644="", 0, 1)</f>
        <v>1</v>
      </c>
      <c r="AO644" s="22">
        <v>60</v>
      </c>
      <c r="AP644" s="12"/>
      <c r="AQ644" s="12"/>
      <c r="AR644" s="22">
        <f>2*30</f>
        <v>60</v>
      </c>
      <c r="AS644" s="12">
        <v>0</v>
      </c>
      <c r="AT644" s="12">
        <v>360</v>
      </c>
      <c r="AU644" s="12"/>
      <c r="AV644" s="12"/>
      <c r="AW644" s="12"/>
      <c r="AX644" s="12" t="str">
        <f>IF(AR644="", "mean", "med")</f>
        <v>med</v>
      </c>
      <c r="AY644" s="12">
        <f>IF(AR644="", AP644, AR644)</f>
        <v>60</v>
      </c>
      <c r="AZ644" s="12" t="s">
        <v>52</v>
      </c>
      <c r="BA644" s="12" t="str">
        <f>IF(AZ644="high","high","lower")</f>
        <v>high</v>
      </c>
      <c r="BB644" s="49">
        <v>0.93100000000000005</v>
      </c>
      <c r="BC644" s="12">
        <v>90.6</v>
      </c>
      <c r="BD644" s="12">
        <v>98</v>
      </c>
      <c r="BE644" s="12">
        <v>100</v>
      </c>
      <c r="BF644" s="12">
        <v>90</v>
      </c>
      <c r="BG644" s="18" t="s">
        <v>1030</v>
      </c>
      <c r="BH644" s="18" t="s">
        <v>1031</v>
      </c>
    </row>
    <row r="645" spans="1:60" ht="15.75" customHeight="1" x14ac:dyDescent="0.2">
      <c r="A645" s="11">
        <v>648</v>
      </c>
      <c r="B645" s="12">
        <v>11351</v>
      </c>
      <c r="C645" s="13" t="s">
        <v>820</v>
      </c>
      <c r="D645" s="14" t="s">
        <v>38</v>
      </c>
      <c r="E645" s="23">
        <v>2013</v>
      </c>
      <c r="F645" s="23">
        <v>2014</v>
      </c>
      <c r="G645" s="13" t="s">
        <v>821</v>
      </c>
      <c r="H645" s="13"/>
      <c r="I645" s="13" t="s">
        <v>40</v>
      </c>
      <c r="J645" s="13" t="s">
        <v>40</v>
      </c>
      <c r="K645" s="14"/>
      <c r="L645" s="19">
        <v>100</v>
      </c>
      <c r="M645" s="20">
        <v>49</v>
      </c>
      <c r="N645" s="13" t="s">
        <v>102</v>
      </c>
      <c r="O645" s="13"/>
      <c r="P645" s="12">
        <f>IF(Q645="", 0, 1)</f>
        <v>0</v>
      </c>
      <c r="Q645" s="22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2">
        <f>IF(AC645="", 0, 1)</f>
        <v>0</v>
      </c>
      <c r="AC645" s="13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>
        <f>IF(AO645="", 0, 1)</f>
        <v>1</v>
      </c>
      <c r="AO645" s="22">
        <v>200</v>
      </c>
      <c r="AP645" s="12"/>
      <c r="AQ645" s="12"/>
      <c r="AR645" s="22">
        <v>15</v>
      </c>
      <c r="AS645" s="12"/>
      <c r="AT645" s="12"/>
      <c r="AU645" s="12"/>
      <c r="AV645" s="12"/>
      <c r="AW645" s="12"/>
      <c r="AX645" s="12" t="str">
        <f>IF(AR645="", "mean", "med")</f>
        <v>med</v>
      </c>
      <c r="AY645" s="12">
        <f>IF(AR645="", AP645, AR645)</f>
        <v>15</v>
      </c>
      <c r="AZ645" s="49" t="s">
        <v>43</v>
      </c>
      <c r="BA645" s="49" t="str">
        <f>IF(AZ645="high","high","lower")</f>
        <v>lower</v>
      </c>
      <c r="BB645" s="49">
        <v>0.72499999999999998</v>
      </c>
      <c r="BC645" s="49"/>
      <c r="BD645" s="49"/>
      <c r="BE645" s="49"/>
      <c r="BF645" s="49"/>
      <c r="BG645" s="18" t="s">
        <v>1030</v>
      </c>
      <c r="BH645" s="18" t="s">
        <v>1031</v>
      </c>
    </row>
    <row r="646" spans="1:60" ht="15.75" customHeight="1" x14ac:dyDescent="0.2">
      <c r="A646" s="11">
        <v>649</v>
      </c>
      <c r="B646" s="12">
        <v>11374</v>
      </c>
      <c r="C646" s="13" t="s">
        <v>822</v>
      </c>
      <c r="D646" s="14" t="s">
        <v>82</v>
      </c>
      <c r="E646" s="23">
        <v>2005</v>
      </c>
      <c r="F646" s="23">
        <v>2007</v>
      </c>
      <c r="G646" s="13" t="s">
        <v>77</v>
      </c>
      <c r="H646" s="13" t="s">
        <v>823</v>
      </c>
      <c r="I646" s="13" t="s">
        <v>59</v>
      </c>
      <c r="J646" s="13" t="s">
        <v>82</v>
      </c>
      <c r="K646" s="14"/>
      <c r="L646" s="19" t="s">
        <v>41</v>
      </c>
      <c r="M646" s="20" t="s">
        <v>41</v>
      </c>
      <c r="N646" s="13" t="s">
        <v>50</v>
      </c>
      <c r="O646" s="13"/>
      <c r="P646" s="12">
        <f>IF(Q646="", 0, 1)</f>
        <v>0</v>
      </c>
      <c r="Q646" s="15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2">
        <f>IF(AC646="", 0, 1)</f>
        <v>0</v>
      </c>
      <c r="AC646" s="13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>
        <f>IF(AO646="", 0, 1)</f>
        <v>1</v>
      </c>
      <c r="AO646" s="22">
        <v>439</v>
      </c>
      <c r="AP646" s="12"/>
      <c r="AQ646" s="12"/>
      <c r="AR646" s="22">
        <v>2</v>
      </c>
      <c r="AS646" s="12"/>
      <c r="AT646" s="12"/>
      <c r="AU646" s="12">
        <v>14</v>
      </c>
      <c r="AV646" s="12"/>
      <c r="AW646" s="12"/>
      <c r="AX646" s="12" t="str">
        <f>IF(AR646="", "mean", "med")</f>
        <v>med</v>
      </c>
      <c r="AY646" s="12">
        <f>IF(AR646="", AP646, AR646)</f>
        <v>2</v>
      </c>
      <c r="AZ646" s="12" t="s">
        <v>52</v>
      </c>
      <c r="BA646" s="12" t="str">
        <f>IF(AZ646="high","high","lower")</f>
        <v>high</v>
      </c>
      <c r="BB646" s="49">
        <v>0.89700000000000002</v>
      </c>
      <c r="BC646" s="12">
        <v>85.3</v>
      </c>
      <c r="BD646" s="12">
        <v>96.3</v>
      </c>
      <c r="BE646" s="12">
        <v>91.7</v>
      </c>
      <c r="BF646" s="12">
        <v>80</v>
      </c>
      <c r="BG646" s="18" t="s">
        <v>1030</v>
      </c>
      <c r="BH646" s="18" t="s">
        <v>1031</v>
      </c>
    </row>
    <row r="647" spans="1:60" ht="15.75" customHeight="1" x14ac:dyDescent="0.2">
      <c r="A647" s="11">
        <v>650</v>
      </c>
      <c r="B647" s="12">
        <v>11374</v>
      </c>
      <c r="C647" s="13" t="s">
        <v>822</v>
      </c>
      <c r="D647" s="13" t="s">
        <v>101</v>
      </c>
      <c r="E647" s="23">
        <v>2005</v>
      </c>
      <c r="F647" s="23">
        <v>2007</v>
      </c>
      <c r="G647" s="13" t="s">
        <v>77</v>
      </c>
      <c r="H647" s="13" t="s">
        <v>823</v>
      </c>
      <c r="I647" s="13" t="s">
        <v>40</v>
      </c>
      <c r="J647" s="13" t="s">
        <v>40</v>
      </c>
      <c r="K647" s="13"/>
      <c r="L647" s="19" t="s">
        <v>41</v>
      </c>
      <c r="M647" s="20" t="s">
        <v>41</v>
      </c>
      <c r="N647" s="13" t="s">
        <v>50</v>
      </c>
      <c r="O647" s="13"/>
      <c r="P647" s="12">
        <f>IF(Q647="", 0, 1)</f>
        <v>0</v>
      </c>
      <c r="Q647" s="15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2">
        <f>IF(AC647="", 0, 1)</f>
        <v>0</v>
      </c>
      <c r="AC647" s="13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>
        <f>IF(AO647="", 0, 1)</f>
        <v>1</v>
      </c>
      <c r="AO647" s="12">
        <v>1250</v>
      </c>
      <c r="AP647" s="12"/>
      <c r="AQ647" s="12"/>
      <c r="AR647" s="12">
        <v>7</v>
      </c>
      <c r="AS647" s="12"/>
      <c r="AT647" s="12"/>
      <c r="AU647" s="12">
        <v>30</v>
      </c>
      <c r="AV647" s="12"/>
      <c r="AW647" s="12"/>
      <c r="AX647" s="12" t="str">
        <f>IF(AR647="", "mean", "med")</f>
        <v>med</v>
      </c>
      <c r="AY647" s="12">
        <f>IF(AR647="", AP647, AR647)</f>
        <v>7</v>
      </c>
      <c r="AZ647" s="12" t="s">
        <v>52</v>
      </c>
      <c r="BA647" s="12" t="str">
        <f>IF(AZ647="high","high","lower")</f>
        <v>high</v>
      </c>
      <c r="BB647" s="49">
        <v>0.89700000000000002</v>
      </c>
      <c r="BC647" s="12">
        <v>85.3</v>
      </c>
      <c r="BD647" s="12">
        <v>96.3</v>
      </c>
      <c r="BE647" s="12">
        <v>91.7</v>
      </c>
      <c r="BF647" s="12">
        <v>80</v>
      </c>
      <c r="BG647" s="18" t="s">
        <v>1030</v>
      </c>
      <c r="BH647" s="18" t="s">
        <v>1031</v>
      </c>
    </row>
    <row r="648" spans="1:60" ht="15.75" customHeight="1" x14ac:dyDescent="0.2">
      <c r="A648" s="11">
        <v>651</v>
      </c>
      <c r="B648" s="12">
        <v>11374</v>
      </c>
      <c r="C648" s="13" t="s">
        <v>822</v>
      </c>
      <c r="D648" s="13" t="s">
        <v>103</v>
      </c>
      <c r="E648" s="23">
        <v>2005</v>
      </c>
      <c r="F648" s="23">
        <v>2007</v>
      </c>
      <c r="G648" s="13" t="s">
        <v>77</v>
      </c>
      <c r="H648" s="13" t="s">
        <v>823</v>
      </c>
      <c r="I648" s="31" t="s">
        <v>104</v>
      </c>
      <c r="J648" s="13" t="s">
        <v>105</v>
      </c>
      <c r="K648" s="14"/>
      <c r="L648" s="15" t="s">
        <v>41</v>
      </c>
      <c r="M648" s="16" t="s">
        <v>41</v>
      </c>
      <c r="N648" s="13" t="s">
        <v>50</v>
      </c>
      <c r="O648" s="13"/>
      <c r="P648" s="12">
        <f>IF(Q648="", 0, 1)</f>
        <v>0</v>
      </c>
      <c r="Q648" s="15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2">
        <f>IF(AC648="", 0, 1)</f>
        <v>0</v>
      </c>
      <c r="AC648" s="13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>
        <f>IF(AO648="", 0, 1)</f>
        <v>1</v>
      </c>
      <c r="AO648" s="12">
        <v>69</v>
      </c>
      <c r="AP648" s="12"/>
      <c r="AQ648" s="12"/>
      <c r="AR648" s="12">
        <v>6.5</v>
      </c>
      <c r="AS648" s="12"/>
      <c r="AT648" s="12"/>
      <c r="AU648" s="12">
        <v>48</v>
      </c>
      <c r="AV648" s="12"/>
      <c r="AW648" s="12"/>
      <c r="AX648" s="12" t="str">
        <f>IF(AR648="", "mean", "med")</f>
        <v>med</v>
      </c>
      <c r="AY648" s="12">
        <f>IF(AR648="", AP648, AR648)</f>
        <v>6.5</v>
      </c>
      <c r="AZ648" s="12" t="s">
        <v>52</v>
      </c>
      <c r="BA648" s="12" t="str">
        <f>IF(AZ648="high","high","lower")</f>
        <v>high</v>
      </c>
      <c r="BB648" s="49">
        <v>0.89700000000000002</v>
      </c>
      <c r="BC648" s="12">
        <v>85.3</v>
      </c>
      <c r="BD648" s="12">
        <v>96.3</v>
      </c>
      <c r="BE648" s="12">
        <v>91.7</v>
      </c>
      <c r="BF648" s="12">
        <v>80</v>
      </c>
      <c r="BG648" s="18" t="s">
        <v>1030</v>
      </c>
      <c r="BH648" s="18" t="s">
        <v>1031</v>
      </c>
    </row>
    <row r="649" spans="1:60" ht="15.75" customHeight="1" x14ac:dyDescent="0.2">
      <c r="A649" s="11">
        <v>652</v>
      </c>
      <c r="B649" s="22">
        <v>11374</v>
      </c>
      <c r="C649" s="13" t="s">
        <v>822</v>
      </c>
      <c r="D649" s="13" t="s">
        <v>285</v>
      </c>
      <c r="E649" s="23">
        <v>2005</v>
      </c>
      <c r="F649" s="23">
        <v>2007</v>
      </c>
      <c r="G649" s="13" t="s">
        <v>77</v>
      </c>
      <c r="H649" s="13" t="s">
        <v>823</v>
      </c>
      <c r="I649" s="13" t="s">
        <v>54</v>
      </c>
      <c r="J649" s="13" t="s">
        <v>55</v>
      </c>
      <c r="K649" s="13"/>
      <c r="L649" s="15" t="s">
        <v>41</v>
      </c>
      <c r="M649" s="16" t="s">
        <v>41</v>
      </c>
      <c r="N649" s="13" t="s">
        <v>50</v>
      </c>
      <c r="O649" s="14"/>
      <c r="P649" s="12">
        <f>IF(Q649="", 0, 1)</f>
        <v>0</v>
      </c>
      <c r="Q649" s="15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2">
        <f>IF(AC649="", 0, 1)</f>
        <v>0</v>
      </c>
      <c r="AC649" s="13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>
        <f>IF(AO649="", 0, 1)</f>
        <v>1</v>
      </c>
      <c r="AO649" s="12">
        <v>1074</v>
      </c>
      <c r="AP649" s="12"/>
      <c r="AQ649" s="12"/>
      <c r="AR649" s="12">
        <v>21</v>
      </c>
      <c r="AS649" s="12"/>
      <c r="AT649" s="12"/>
      <c r="AU649" s="12">
        <v>59</v>
      </c>
      <c r="AV649" s="12"/>
      <c r="AW649" s="12"/>
      <c r="AX649" s="12" t="str">
        <f>IF(AR649="", "mean", "med")</f>
        <v>med</v>
      </c>
      <c r="AY649" s="12">
        <f>IF(AR649="", AP649, AR649)</f>
        <v>21</v>
      </c>
      <c r="AZ649" s="12" t="s">
        <v>52</v>
      </c>
      <c r="BA649" s="12" t="str">
        <f>IF(AZ649="high","high","lower")</f>
        <v>high</v>
      </c>
      <c r="BB649" s="49">
        <v>0.89700000000000002</v>
      </c>
      <c r="BC649" s="12">
        <v>85.3</v>
      </c>
      <c r="BD649" s="12">
        <v>96.3</v>
      </c>
      <c r="BE649" s="12">
        <v>91.7</v>
      </c>
      <c r="BF649" s="12">
        <v>80</v>
      </c>
      <c r="BG649" s="18" t="s">
        <v>1030</v>
      </c>
      <c r="BH649" s="18" t="s">
        <v>1031</v>
      </c>
    </row>
    <row r="650" spans="1:60" ht="15.75" customHeight="1" x14ac:dyDescent="0.2">
      <c r="A650" s="11">
        <v>653</v>
      </c>
      <c r="B650" s="22">
        <v>11374</v>
      </c>
      <c r="C650" s="13" t="s">
        <v>822</v>
      </c>
      <c r="D650" s="13" t="s">
        <v>79</v>
      </c>
      <c r="E650" s="23">
        <v>2005</v>
      </c>
      <c r="F650" s="23">
        <v>2007</v>
      </c>
      <c r="G650" s="13" t="s">
        <v>77</v>
      </c>
      <c r="H650" s="13" t="s">
        <v>823</v>
      </c>
      <c r="I650" s="13" t="s">
        <v>79</v>
      </c>
      <c r="J650" s="13" t="s">
        <v>79</v>
      </c>
      <c r="K650" s="13"/>
      <c r="L650" s="19" t="s">
        <v>41</v>
      </c>
      <c r="M650" s="16" t="s">
        <v>41</v>
      </c>
      <c r="N650" s="13" t="s">
        <v>50</v>
      </c>
      <c r="O650" s="14"/>
      <c r="P650" s="12">
        <f>IF(Q650="", 0, 1)</f>
        <v>0</v>
      </c>
      <c r="Q650" s="15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2">
        <f>IF(AC650="", 0, 1)</f>
        <v>0</v>
      </c>
      <c r="AC650" s="13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>
        <f>IF(AO650="", 0, 1)</f>
        <v>1</v>
      </c>
      <c r="AO650" s="12">
        <v>273</v>
      </c>
      <c r="AP650" s="12"/>
      <c r="AQ650" s="12"/>
      <c r="AR650" s="12">
        <v>30</v>
      </c>
      <c r="AS650" s="12"/>
      <c r="AT650" s="12"/>
      <c r="AU650" s="12">
        <v>54</v>
      </c>
      <c r="AV650" s="12"/>
      <c r="AW650" s="12"/>
      <c r="AX650" s="12" t="str">
        <f>IF(AR650="", "mean", "med")</f>
        <v>med</v>
      </c>
      <c r="AY650" s="12">
        <f>IF(AR650="", AP650, AR650)</f>
        <v>30</v>
      </c>
      <c r="AZ650" s="12" t="s">
        <v>52</v>
      </c>
      <c r="BA650" s="12" t="str">
        <f>IF(AZ650="high","high","lower")</f>
        <v>high</v>
      </c>
      <c r="BB650" s="49">
        <v>0.89700000000000002</v>
      </c>
      <c r="BC650" s="12">
        <v>85.3</v>
      </c>
      <c r="BD650" s="12">
        <v>96.3</v>
      </c>
      <c r="BE650" s="12">
        <v>91.7</v>
      </c>
      <c r="BF650" s="12">
        <v>80</v>
      </c>
      <c r="BG650" s="18" t="s">
        <v>1030</v>
      </c>
      <c r="BH650" s="18" t="s">
        <v>1031</v>
      </c>
    </row>
    <row r="651" spans="1:60" ht="15.75" customHeight="1" x14ac:dyDescent="0.2">
      <c r="A651" s="11">
        <v>654</v>
      </c>
      <c r="B651" s="22">
        <v>11374</v>
      </c>
      <c r="C651" s="13" t="s">
        <v>822</v>
      </c>
      <c r="D651" s="13" t="s">
        <v>824</v>
      </c>
      <c r="E651" s="23">
        <v>2005</v>
      </c>
      <c r="F651" s="23">
        <v>2007</v>
      </c>
      <c r="G651" s="13" t="s">
        <v>77</v>
      </c>
      <c r="H651" s="13" t="s">
        <v>823</v>
      </c>
      <c r="I651" s="13" t="s">
        <v>94</v>
      </c>
      <c r="J651" s="13" t="s">
        <v>299</v>
      </c>
      <c r="K651" s="13"/>
      <c r="L651" s="19" t="s">
        <v>41</v>
      </c>
      <c r="M651" s="16" t="s">
        <v>41</v>
      </c>
      <c r="N651" s="13" t="s">
        <v>50</v>
      </c>
      <c r="O651" s="14"/>
      <c r="P651" s="12">
        <f>IF(Q651="", 0, 1)</f>
        <v>0</v>
      </c>
      <c r="Q651" s="15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2">
        <f>IF(AC651="", 0, 1)</f>
        <v>0</v>
      </c>
      <c r="AC651" s="13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>
        <f>IF(AO651="", 0, 1)</f>
        <v>1</v>
      </c>
      <c r="AO651" s="12">
        <v>181</v>
      </c>
      <c r="AP651" s="12"/>
      <c r="AQ651" s="12"/>
      <c r="AR651" s="12">
        <v>4</v>
      </c>
      <c r="AS651" s="12"/>
      <c r="AT651" s="12"/>
      <c r="AU651" s="12">
        <v>23</v>
      </c>
      <c r="AV651" s="12"/>
      <c r="AW651" s="12"/>
      <c r="AX651" s="12" t="str">
        <f>IF(AR651="", "mean", "med")</f>
        <v>med</v>
      </c>
      <c r="AY651" s="12">
        <f>IF(AR651="", AP651, AR651)</f>
        <v>4</v>
      </c>
      <c r="AZ651" s="12" t="s">
        <v>52</v>
      </c>
      <c r="BA651" s="12" t="str">
        <f>IF(AZ651="high","high","lower")</f>
        <v>high</v>
      </c>
      <c r="BB651" s="49">
        <v>0.89700000000000002</v>
      </c>
      <c r="BC651" s="12">
        <v>85.3</v>
      </c>
      <c r="BD651" s="12">
        <v>96.3</v>
      </c>
      <c r="BE651" s="12">
        <v>91.7</v>
      </c>
      <c r="BF651" s="12">
        <v>80</v>
      </c>
      <c r="BG651" s="18" t="s">
        <v>1030</v>
      </c>
      <c r="BH651" s="18" t="s">
        <v>1031</v>
      </c>
    </row>
    <row r="652" spans="1:60" ht="15.75" customHeight="1" x14ac:dyDescent="0.2">
      <c r="A652" s="11">
        <v>655</v>
      </c>
      <c r="B652" s="22">
        <v>11374</v>
      </c>
      <c r="C652" s="13" t="s">
        <v>822</v>
      </c>
      <c r="D652" s="13" t="s">
        <v>203</v>
      </c>
      <c r="E652" s="23">
        <v>2005</v>
      </c>
      <c r="F652" s="23">
        <v>2007</v>
      </c>
      <c r="G652" s="13" t="s">
        <v>77</v>
      </c>
      <c r="H652" s="13" t="s">
        <v>823</v>
      </c>
      <c r="I652" s="13" t="s">
        <v>57</v>
      </c>
      <c r="J652" s="13" t="s">
        <v>58</v>
      </c>
      <c r="K652" s="13"/>
      <c r="L652" s="19" t="s">
        <v>41</v>
      </c>
      <c r="M652" s="16" t="s">
        <v>41</v>
      </c>
      <c r="N652" s="13" t="s">
        <v>50</v>
      </c>
      <c r="O652" s="13"/>
      <c r="P652" s="12">
        <f>IF(Q652="", 0, 1)</f>
        <v>0</v>
      </c>
      <c r="Q652" s="19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2">
        <f>IF(AC652="", 0, 1)</f>
        <v>0</v>
      </c>
      <c r="AC652" s="13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>
        <f>IF(AO652="", 0, 1)</f>
        <v>1</v>
      </c>
      <c r="AO652" s="12">
        <v>981</v>
      </c>
      <c r="AP652" s="12"/>
      <c r="AQ652" s="12"/>
      <c r="AR652" s="12">
        <v>9.5</v>
      </c>
      <c r="AS652" s="12"/>
      <c r="AT652" s="12"/>
      <c r="AU652" s="12">
        <v>31</v>
      </c>
      <c r="AV652" s="12"/>
      <c r="AW652" s="12"/>
      <c r="AX652" s="12" t="str">
        <f>IF(AR652="", "mean", "med")</f>
        <v>med</v>
      </c>
      <c r="AY652" s="12">
        <f>IF(AR652="", AP652, AR652)</f>
        <v>9.5</v>
      </c>
      <c r="AZ652" s="12" t="s">
        <v>52</v>
      </c>
      <c r="BA652" s="12" t="str">
        <f>IF(AZ652="high","high","lower")</f>
        <v>high</v>
      </c>
      <c r="BB652" s="49">
        <v>0.89700000000000002</v>
      </c>
      <c r="BC652" s="12">
        <v>85.3</v>
      </c>
      <c r="BD652" s="12">
        <v>96.3</v>
      </c>
      <c r="BE652" s="12">
        <v>91.7</v>
      </c>
      <c r="BF652" s="12">
        <v>80</v>
      </c>
      <c r="BG652" s="18" t="s">
        <v>1030</v>
      </c>
      <c r="BH652" s="18" t="s">
        <v>1031</v>
      </c>
    </row>
    <row r="653" spans="1:60" ht="15.75" customHeight="1" x14ac:dyDescent="0.2">
      <c r="A653" s="11">
        <v>656</v>
      </c>
      <c r="B653" s="22">
        <v>11374</v>
      </c>
      <c r="C653" s="13" t="s">
        <v>822</v>
      </c>
      <c r="D653" s="13" t="s">
        <v>95</v>
      </c>
      <c r="E653" s="23">
        <v>2005</v>
      </c>
      <c r="F653" s="23">
        <v>2007</v>
      </c>
      <c r="G653" s="13" t="s">
        <v>77</v>
      </c>
      <c r="H653" s="13" t="s">
        <v>823</v>
      </c>
      <c r="I653" s="13" t="s">
        <v>94</v>
      </c>
      <c r="J653" s="13" t="s">
        <v>95</v>
      </c>
      <c r="K653" s="13"/>
      <c r="L653" s="15" t="s">
        <v>41</v>
      </c>
      <c r="M653" s="16" t="s">
        <v>41</v>
      </c>
      <c r="N653" s="13" t="s">
        <v>50</v>
      </c>
      <c r="O653" s="13"/>
      <c r="P653" s="12">
        <f>IF(Q653="", 0, 1)</f>
        <v>0</v>
      </c>
      <c r="Q653" s="19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2">
        <f>IF(AC653="", 0, 1)</f>
        <v>0</v>
      </c>
      <c r="AC653" s="13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>
        <f>IF(AO653="", 0, 1)</f>
        <v>1</v>
      </c>
      <c r="AO653" s="12">
        <v>260</v>
      </c>
      <c r="AP653" s="12"/>
      <c r="AQ653" s="12"/>
      <c r="AR653" s="12">
        <v>10</v>
      </c>
      <c r="AS653" s="12"/>
      <c r="AT653" s="12"/>
      <c r="AU653" s="12">
        <v>31</v>
      </c>
      <c r="AV653" s="12"/>
      <c r="AW653" s="12"/>
      <c r="AX653" s="12" t="str">
        <f>IF(AR653="", "mean", "med")</f>
        <v>med</v>
      </c>
      <c r="AY653" s="12">
        <f>IF(AR653="", AP653, AR653)</f>
        <v>10</v>
      </c>
      <c r="AZ653" s="12" t="s">
        <v>52</v>
      </c>
      <c r="BA653" s="12" t="str">
        <f>IF(AZ653="high","high","lower")</f>
        <v>high</v>
      </c>
      <c r="BB653" s="49">
        <v>0.89700000000000002</v>
      </c>
      <c r="BC653" s="12">
        <v>85.3</v>
      </c>
      <c r="BD653" s="12">
        <v>96.3</v>
      </c>
      <c r="BE653" s="12">
        <v>91.7</v>
      </c>
      <c r="BF653" s="12">
        <v>80</v>
      </c>
      <c r="BG653" s="18" t="s">
        <v>1030</v>
      </c>
      <c r="BH653" s="18" t="s">
        <v>1031</v>
      </c>
    </row>
    <row r="654" spans="1:60" ht="15.75" customHeight="1" x14ac:dyDescent="0.2">
      <c r="A654" s="11">
        <v>657</v>
      </c>
      <c r="B654" s="22">
        <v>11374</v>
      </c>
      <c r="C654" s="13" t="s">
        <v>822</v>
      </c>
      <c r="D654" s="13" t="s">
        <v>119</v>
      </c>
      <c r="E654" s="23">
        <v>2005</v>
      </c>
      <c r="F654" s="23">
        <v>2007</v>
      </c>
      <c r="G654" s="13" t="s">
        <v>77</v>
      </c>
      <c r="H654" s="13" t="s">
        <v>823</v>
      </c>
      <c r="I654" s="13" t="s">
        <v>70</v>
      </c>
      <c r="J654" s="13" t="s">
        <v>119</v>
      </c>
      <c r="K654" s="13"/>
      <c r="L654" s="15" t="s">
        <v>41</v>
      </c>
      <c r="M654" s="16" t="s">
        <v>41</v>
      </c>
      <c r="N654" s="13" t="s">
        <v>50</v>
      </c>
      <c r="O654" s="13"/>
      <c r="P654" s="12">
        <f>IF(Q654="", 0, 1)</f>
        <v>0</v>
      </c>
      <c r="Q654" s="15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2">
        <f>IF(AC654="", 0, 1)</f>
        <v>0</v>
      </c>
      <c r="AC654" s="13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>
        <f>IF(AO654="", 0, 1)</f>
        <v>1</v>
      </c>
      <c r="AO654" s="12">
        <v>353</v>
      </c>
      <c r="AP654" s="12"/>
      <c r="AQ654" s="12"/>
      <c r="AR654" s="12">
        <v>26</v>
      </c>
      <c r="AS654" s="12"/>
      <c r="AT654" s="12"/>
      <c r="AU654" s="12">
        <v>70</v>
      </c>
      <c r="AV654" s="12"/>
      <c r="AW654" s="12"/>
      <c r="AX654" s="12" t="str">
        <f>IF(AR654="", "mean", "med")</f>
        <v>med</v>
      </c>
      <c r="AY654" s="12">
        <f>IF(AR654="", AP654, AR654)</f>
        <v>26</v>
      </c>
      <c r="AZ654" s="12" t="s">
        <v>52</v>
      </c>
      <c r="BA654" s="12" t="str">
        <f>IF(AZ654="high","high","lower")</f>
        <v>high</v>
      </c>
      <c r="BB654" s="49">
        <v>0.89700000000000002</v>
      </c>
      <c r="BC654" s="12">
        <v>85.3</v>
      </c>
      <c r="BD654" s="12">
        <v>96.3</v>
      </c>
      <c r="BE654" s="12">
        <v>91.7</v>
      </c>
      <c r="BF654" s="12">
        <v>80</v>
      </c>
      <c r="BG654" s="18" t="s">
        <v>1030</v>
      </c>
      <c r="BH654" s="18" t="s">
        <v>1031</v>
      </c>
    </row>
    <row r="655" spans="1:60" ht="15.75" customHeight="1" x14ac:dyDescent="0.2">
      <c r="A655" s="11">
        <v>658</v>
      </c>
      <c r="B655" s="12">
        <v>11374</v>
      </c>
      <c r="C655" s="13" t="s">
        <v>822</v>
      </c>
      <c r="D655" s="13" t="s">
        <v>206</v>
      </c>
      <c r="E655" s="23">
        <v>2005</v>
      </c>
      <c r="F655" s="23">
        <v>2007</v>
      </c>
      <c r="G655" s="13" t="s">
        <v>77</v>
      </c>
      <c r="H655" s="13" t="s">
        <v>823</v>
      </c>
      <c r="I655" s="31" t="s">
        <v>104</v>
      </c>
      <c r="J655" s="13" t="s">
        <v>206</v>
      </c>
      <c r="K655" s="13"/>
      <c r="L655" s="15" t="s">
        <v>41</v>
      </c>
      <c r="M655" s="16" t="s">
        <v>41</v>
      </c>
      <c r="N655" s="13" t="s">
        <v>50</v>
      </c>
      <c r="O655" s="13"/>
      <c r="P655" s="12">
        <f>IF(Q655="", 0, 1)</f>
        <v>0</v>
      </c>
      <c r="Q655" s="15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2">
        <f>IF(AC655="", 0, 1)</f>
        <v>0</v>
      </c>
      <c r="AC655" s="13"/>
      <c r="AD655" s="12"/>
      <c r="AE655" s="12"/>
      <c r="AF655" s="12"/>
      <c r="AG655" s="12"/>
      <c r="AH655" s="22"/>
      <c r="AI655" s="12"/>
      <c r="AJ655" s="12"/>
      <c r="AK655" s="12"/>
      <c r="AL655" s="12"/>
      <c r="AM655" s="12"/>
      <c r="AN655" s="12">
        <f>IF(AO655="", 0, 1)</f>
        <v>1</v>
      </c>
      <c r="AO655" s="12">
        <v>152</v>
      </c>
      <c r="AP655" s="12"/>
      <c r="AQ655" s="12"/>
      <c r="AR655" s="12">
        <v>11</v>
      </c>
      <c r="AS655" s="12"/>
      <c r="AT655" s="12"/>
      <c r="AU655" s="12">
        <v>29</v>
      </c>
      <c r="AV655" s="12"/>
      <c r="AW655" s="12"/>
      <c r="AX655" s="12" t="str">
        <f>IF(AR655="", "mean", "med")</f>
        <v>med</v>
      </c>
      <c r="AY655" s="12">
        <f>IF(AR655="", AP655, AR655)</f>
        <v>11</v>
      </c>
      <c r="AZ655" s="12" t="s">
        <v>52</v>
      </c>
      <c r="BA655" s="12" t="str">
        <f>IF(AZ655="high","high","lower")</f>
        <v>high</v>
      </c>
      <c r="BB655" s="49">
        <v>0.89700000000000002</v>
      </c>
      <c r="BC655" s="12">
        <v>85.3</v>
      </c>
      <c r="BD655" s="12">
        <v>96.3</v>
      </c>
      <c r="BE655" s="12">
        <v>91.7</v>
      </c>
      <c r="BF655" s="12">
        <v>80</v>
      </c>
      <c r="BG655" s="18" t="s">
        <v>1030</v>
      </c>
      <c r="BH655" s="18" t="s">
        <v>1031</v>
      </c>
    </row>
    <row r="656" spans="1:60" ht="15.75" customHeight="1" x14ac:dyDescent="0.2">
      <c r="A656" s="11">
        <v>659</v>
      </c>
      <c r="B656" s="12">
        <v>11374</v>
      </c>
      <c r="C656" s="13" t="s">
        <v>822</v>
      </c>
      <c r="D656" s="13" t="s">
        <v>60</v>
      </c>
      <c r="E656" s="23">
        <v>2005</v>
      </c>
      <c r="F656" s="23">
        <v>2007</v>
      </c>
      <c r="G656" s="13" t="s">
        <v>77</v>
      </c>
      <c r="H656" s="13" t="s">
        <v>823</v>
      </c>
      <c r="I656" s="13" t="s">
        <v>59</v>
      </c>
      <c r="J656" s="13" t="s">
        <v>60</v>
      </c>
      <c r="K656" s="13"/>
      <c r="L656" s="19" t="s">
        <v>41</v>
      </c>
      <c r="M656" s="16" t="s">
        <v>41</v>
      </c>
      <c r="N656" s="13" t="s">
        <v>50</v>
      </c>
      <c r="O656" s="13"/>
      <c r="P656" s="12">
        <f>IF(Q656="", 0, 1)</f>
        <v>0</v>
      </c>
      <c r="Q656" s="19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2">
        <f>IF(AC656="", 0, 1)</f>
        <v>0</v>
      </c>
      <c r="AC656" s="13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>
        <f>IF(AO656="", 0, 1)</f>
        <v>1</v>
      </c>
      <c r="AO656" s="12">
        <v>874</v>
      </c>
      <c r="AP656" s="12"/>
      <c r="AQ656" s="12"/>
      <c r="AR656" s="12">
        <v>14</v>
      </c>
      <c r="AS656" s="12"/>
      <c r="AT656" s="12"/>
      <c r="AU656" s="12">
        <v>61</v>
      </c>
      <c r="AV656" s="12"/>
      <c r="AW656" s="12"/>
      <c r="AX656" s="12" t="str">
        <f>IF(AR656="", "mean", "med")</f>
        <v>med</v>
      </c>
      <c r="AY656" s="12">
        <f>IF(AR656="", AP656, AR656)</f>
        <v>14</v>
      </c>
      <c r="AZ656" s="12" t="s">
        <v>52</v>
      </c>
      <c r="BA656" s="12" t="str">
        <f>IF(AZ656="high","high","lower")</f>
        <v>high</v>
      </c>
      <c r="BB656" s="49">
        <v>0.89700000000000002</v>
      </c>
      <c r="BC656" s="12">
        <v>85.3</v>
      </c>
      <c r="BD656" s="12">
        <v>96.3</v>
      </c>
      <c r="BE656" s="12">
        <v>91.7</v>
      </c>
      <c r="BF656" s="12">
        <v>80</v>
      </c>
      <c r="BG656" s="18" t="s">
        <v>1030</v>
      </c>
      <c r="BH656" s="18" t="s">
        <v>1031</v>
      </c>
    </row>
    <row r="657" spans="1:60" ht="15.75" customHeight="1" x14ac:dyDescent="0.2">
      <c r="A657" s="11">
        <v>660</v>
      </c>
      <c r="B657" s="12">
        <v>11374</v>
      </c>
      <c r="C657" s="13" t="s">
        <v>822</v>
      </c>
      <c r="D657" s="13" t="s">
        <v>229</v>
      </c>
      <c r="E657" s="23">
        <v>2005</v>
      </c>
      <c r="F657" s="23">
        <v>2007</v>
      </c>
      <c r="G657" s="13" t="s">
        <v>77</v>
      </c>
      <c r="H657" s="13" t="s">
        <v>823</v>
      </c>
      <c r="I657" s="13" t="s">
        <v>54</v>
      </c>
      <c r="J657" s="13" t="s">
        <v>229</v>
      </c>
      <c r="K657" s="13" t="s">
        <v>229</v>
      </c>
      <c r="L657" s="15" t="s">
        <v>41</v>
      </c>
      <c r="M657" s="16" t="s">
        <v>41</v>
      </c>
      <c r="N657" s="13" t="s">
        <v>50</v>
      </c>
      <c r="O657" s="13"/>
      <c r="P657" s="12">
        <f>IF(Q657="", 0, 1)</f>
        <v>0</v>
      </c>
      <c r="Q657" s="15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2">
        <f>IF(AC657="", 0, 1)</f>
        <v>0</v>
      </c>
      <c r="AC657" s="13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>
        <f>IF(AO657="", 0, 1)</f>
        <v>1</v>
      </c>
      <c r="AO657" s="12">
        <v>599</v>
      </c>
      <c r="AP657" s="12"/>
      <c r="AQ657" s="12"/>
      <c r="AR657" s="12">
        <v>14</v>
      </c>
      <c r="AS657" s="12"/>
      <c r="AT657" s="12"/>
      <c r="AU657" s="12">
        <v>43</v>
      </c>
      <c r="AV657" s="12"/>
      <c r="AW657" s="12"/>
      <c r="AX657" s="12" t="str">
        <f>IF(AR657="", "mean", "med")</f>
        <v>med</v>
      </c>
      <c r="AY657" s="12">
        <f>IF(AR657="", AP657, AR657)</f>
        <v>14</v>
      </c>
      <c r="AZ657" s="12" t="s">
        <v>52</v>
      </c>
      <c r="BA657" s="12" t="str">
        <f>IF(AZ657="high","high","lower")</f>
        <v>high</v>
      </c>
      <c r="BB657" s="49">
        <v>0.89700000000000002</v>
      </c>
      <c r="BC657" s="12">
        <v>85.3</v>
      </c>
      <c r="BD657" s="12">
        <v>96.3</v>
      </c>
      <c r="BE657" s="12">
        <v>91.7</v>
      </c>
      <c r="BF657" s="12">
        <v>80</v>
      </c>
      <c r="BG657" s="18" t="s">
        <v>1030</v>
      </c>
      <c r="BH657" s="18" t="s">
        <v>1031</v>
      </c>
    </row>
    <row r="658" spans="1:60" ht="15.75" customHeight="1" x14ac:dyDescent="0.2">
      <c r="A658" s="11">
        <v>661</v>
      </c>
      <c r="B658" s="12">
        <v>11374</v>
      </c>
      <c r="C658" s="13" t="s">
        <v>822</v>
      </c>
      <c r="D658" s="13" t="s">
        <v>825</v>
      </c>
      <c r="E658" s="23">
        <v>2005</v>
      </c>
      <c r="F658" s="23">
        <v>2007</v>
      </c>
      <c r="G658" s="13" t="s">
        <v>77</v>
      </c>
      <c r="H658" s="13" t="s">
        <v>823</v>
      </c>
      <c r="I658" s="13" t="s">
        <v>59</v>
      </c>
      <c r="J658" s="13" t="s">
        <v>826</v>
      </c>
      <c r="K658" s="13" t="s">
        <v>825</v>
      </c>
      <c r="L658" s="15" t="s">
        <v>41</v>
      </c>
      <c r="M658" s="16" t="s">
        <v>41</v>
      </c>
      <c r="N658" s="13" t="s">
        <v>50</v>
      </c>
      <c r="O658" s="13"/>
      <c r="P658" s="12">
        <f>IF(Q658="", 0, 1)</f>
        <v>0</v>
      </c>
      <c r="Q658" s="19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2">
        <f>IF(AC658="", 0, 1)</f>
        <v>0</v>
      </c>
      <c r="AC658" s="13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>
        <f>IF(AO658="", 0, 1)</f>
        <v>1</v>
      </c>
      <c r="AO658" s="12">
        <v>258</v>
      </c>
      <c r="AP658" s="12"/>
      <c r="AQ658" s="12"/>
      <c r="AR658" s="12">
        <v>3</v>
      </c>
      <c r="AS658" s="12"/>
      <c r="AT658" s="12"/>
      <c r="AU658" s="12">
        <v>16.5</v>
      </c>
      <c r="AV658" s="12"/>
      <c r="AW658" s="12"/>
      <c r="AX658" s="12" t="str">
        <f>IF(AR658="", "mean", "med")</f>
        <v>med</v>
      </c>
      <c r="AY658" s="12">
        <f>IF(AR658="", AP658, AR658)</f>
        <v>3</v>
      </c>
      <c r="AZ658" s="12" t="s">
        <v>52</v>
      </c>
      <c r="BA658" s="12" t="str">
        <f>IF(AZ658="high","high","lower")</f>
        <v>high</v>
      </c>
      <c r="BB658" s="49">
        <v>0.89700000000000002</v>
      </c>
      <c r="BC658" s="12">
        <v>85.3</v>
      </c>
      <c r="BD658" s="12">
        <v>96.3</v>
      </c>
      <c r="BE658" s="12">
        <v>91.7</v>
      </c>
      <c r="BF658" s="12">
        <v>80</v>
      </c>
      <c r="BG658" s="18" t="s">
        <v>1030</v>
      </c>
      <c r="BH658" s="18" t="s">
        <v>1031</v>
      </c>
    </row>
    <row r="659" spans="1:60" ht="15.75" customHeight="1" x14ac:dyDescent="0.2">
      <c r="A659" s="11">
        <v>662</v>
      </c>
      <c r="B659" s="12">
        <v>11438</v>
      </c>
      <c r="C659" s="13" t="s">
        <v>44</v>
      </c>
      <c r="D659" s="13" t="s">
        <v>38</v>
      </c>
      <c r="E659" s="23">
        <v>2012</v>
      </c>
      <c r="F659" s="23">
        <v>2014</v>
      </c>
      <c r="G659" s="13" t="s">
        <v>45</v>
      </c>
      <c r="H659" s="13"/>
      <c r="I659" s="13" t="s">
        <v>54</v>
      </c>
      <c r="J659" s="13" t="s">
        <v>55</v>
      </c>
      <c r="K659" s="13"/>
      <c r="L659" s="15">
        <v>48.7</v>
      </c>
      <c r="M659" s="16">
        <v>57.5</v>
      </c>
      <c r="N659" s="13" t="s">
        <v>50</v>
      </c>
      <c r="O659" s="13" t="s">
        <v>41</v>
      </c>
      <c r="P659" s="12">
        <f>IF(Q659="", 0, 1)</f>
        <v>1</v>
      </c>
      <c r="Q659" s="15">
        <v>189</v>
      </c>
      <c r="R659" s="17">
        <v>20.3</v>
      </c>
      <c r="S659" s="17"/>
      <c r="T659" s="17">
        <v>14</v>
      </c>
      <c r="U659" s="17"/>
      <c r="V659" s="17"/>
      <c r="W659" s="17"/>
      <c r="X659" s="17"/>
      <c r="Y659" s="17"/>
      <c r="Z659" s="17" t="str">
        <f>IF(T659="", "mean", "med")</f>
        <v>med</v>
      </c>
      <c r="AA659" s="17">
        <f>IF(T659="", R659, T659)</f>
        <v>14</v>
      </c>
      <c r="AB659" s="12">
        <f>IF(AC659="", 0, 1)</f>
        <v>1</v>
      </c>
      <c r="AC659" s="13">
        <v>189</v>
      </c>
      <c r="AD659" s="12">
        <v>124.6</v>
      </c>
      <c r="AE659" s="12"/>
      <c r="AF659" s="12">
        <v>30</v>
      </c>
      <c r="AG659" s="12"/>
      <c r="AH659" s="12"/>
      <c r="AI659" s="12"/>
      <c r="AJ659" s="12"/>
      <c r="AK659" s="12"/>
      <c r="AL659" s="12" t="str">
        <f>IF(AF659="", "mean", "med")</f>
        <v>med</v>
      </c>
      <c r="AM659" s="12">
        <f>IF(AF659="", AD659, AF659)</f>
        <v>30</v>
      </c>
      <c r="AN659" s="12">
        <f>IF(AO659="", 0, 1)</f>
        <v>0</v>
      </c>
      <c r="AO659" s="12"/>
      <c r="AP659" s="12">
        <v>169</v>
      </c>
      <c r="AQ659" s="12"/>
      <c r="AR659" s="12">
        <v>30</v>
      </c>
      <c r="AS659" s="12"/>
      <c r="AT659" s="12"/>
      <c r="AU659" s="12"/>
      <c r="AV659" s="12"/>
      <c r="AW659" s="12"/>
      <c r="AX659" s="12"/>
      <c r="AY659" s="12"/>
      <c r="AZ659" s="49" t="s">
        <v>46</v>
      </c>
      <c r="BA659" s="49" t="str">
        <f>IF(AZ659="high","high","lower")</f>
        <v>lower</v>
      </c>
      <c r="BB659" s="49">
        <v>0.73099999999999998</v>
      </c>
      <c r="BC659" s="49"/>
      <c r="BD659" s="49"/>
      <c r="BE659" s="49"/>
      <c r="BF659" s="49"/>
      <c r="BG659" s="18" t="s">
        <v>1032</v>
      </c>
      <c r="BH659" s="18" t="s">
        <v>1033</v>
      </c>
    </row>
    <row r="660" spans="1:60" ht="15.75" customHeight="1" x14ac:dyDescent="0.2">
      <c r="A660" s="11">
        <v>663</v>
      </c>
      <c r="B660" s="22">
        <v>11454</v>
      </c>
      <c r="C660" s="13" t="s">
        <v>827</v>
      </c>
      <c r="D660" s="14" t="s">
        <v>38</v>
      </c>
      <c r="E660" s="23">
        <v>2005</v>
      </c>
      <c r="F660" s="23">
        <v>2010</v>
      </c>
      <c r="G660" s="13" t="s">
        <v>134</v>
      </c>
      <c r="H660" s="13"/>
      <c r="I660" s="13" t="s">
        <v>94</v>
      </c>
      <c r="J660" s="13" t="s">
        <v>95</v>
      </c>
      <c r="K660" s="13"/>
      <c r="L660" s="15">
        <v>48.3</v>
      </c>
      <c r="M660" s="16">
        <v>65</v>
      </c>
      <c r="N660" s="13" t="s">
        <v>42</v>
      </c>
      <c r="O660" s="13" t="s">
        <v>828</v>
      </c>
      <c r="P660" s="12">
        <f>IF(Q660="", 0, 1)</f>
        <v>1</v>
      </c>
      <c r="Q660" s="19">
        <v>998</v>
      </c>
      <c r="R660" s="17"/>
      <c r="S660" s="17"/>
      <c r="T660" s="17">
        <v>54</v>
      </c>
      <c r="U660" s="17"/>
      <c r="V660" s="17"/>
      <c r="W660" s="17"/>
      <c r="X660" s="17">
        <v>0</v>
      </c>
      <c r="Y660" s="17">
        <v>2931</v>
      </c>
      <c r="Z660" s="17" t="str">
        <f>IF(T660="", "mean", "med")</f>
        <v>med</v>
      </c>
      <c r="AA660" s="17">
        <f>IF(T660="", R660, T660)</f>
        <v>54</v>
      </c>
      <c r="AB660" s="12">
        <f>IF(AC660="", 0, 1)</f>
        <v>0</v>
      </c>
      <c r="AC660" s="13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>
        <f>IF(AO660="", 0, 1)</f>
        <v>0</v>
      </c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 t="s">
        <v>52</v>
      </c>
      <c r="BA660" s="12" t="str">
        <f>IF(AZ660="high","high","lower")</f>
        <v>high</v>
      </c>
      <c r="BB660" s="49">
        <v>0.9</v>
      </c>
      <c r="BC660" s="12">
        <v>84.8</v>
      </c>
      <c r="BD660" s="12">
        <v>94</v>
      </c>
      <c r="BE660" s="12">
        <v>100</v>
      </c>
      <c r="BF660" s="12">
        <v>82.2</v>
      </c>
      <c r="BG660" s="18" t="s">
        <v>1034</v>
      </c>
      <c r="BH660" s="18" t="s">
        <v>1031</v>
      </c>
    </row>
    <row r="661" spans="1:60" ht="15.75" customHeight="1" x14ac:dyDescent="0.2">
      <c r="A661" s="11">
        <v>664</v>
      </c>
      <c r="B661" s="12">
        <v>11455</v>
      </c>
      <c r="C661" s="13" t="s">
        <v>829</v>
      </c>
      <c r="D661" s="39" t="s">
        <v>830</v>
      </c>
      <c r="E661" s="23">
        <v>2007</v>
      </c>
      <c r="F661" s="23">
        <v>2010</v>
      </c>
      <c r="G661" s="13" t="s">
        <v>93</v>
      </c>
      <c r="H661" s="13"/>
      <c r="I661" s="13" t="s">
        <v>40</v>
      </c>
      <c r="J661" s="13" t="s">
        <v>40</v>
      </c>
      <c r="K661" s="13"/>
      <c r="L661" s="15">
        <v>100</v>
      </c>
      <c r="M661" s="16" t="s">
        <v>41</v>
      </c>
      <c r="N661" s="13" t="s">
        <v>42</v>
      </c>
      <c r="O661" s="13" t="s">
        <v>87</v>
      </c>
      <c r="P661" s="12">
        <f>IF(Q661="", 0, 1)</f>
        <v>1</v>
      </c>
      <c r="Q661" s="15">
        <v>39</v>
      </c>
      <c r="R661" s="17"/>
      <c r="S661" s="17"/>
      <c r="T661" s="17">
        <v>16</v>
      </c>
      <c r="U661" s="17"/>
      <c r="V661" s="17"/>
      <c r="W661" s="17"/>
      <c r="X661" s="17"/>
      <c r="Y661" s="17"/>
      <c r="Z661" s="17" t="str">
        <f>IF(T661="", "mean", "med")</f>
        <v>med</v>
      </c>
      <c r="AA661" s="17">
        <f>IF(T661="", R661, T661)</f>
        <v>16</v>
      </c>
      <c r="AB661" s="12">
        <f>IF(AC661="", 0, 1)</f>
        <v>0</v>
      </c>
      <c r="AC661" s="13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>
        <f>IF(AO661="", 0, 1)</f>
        <v>0</v>
      </c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 t="s">
        <v>43</v>
      </c>
      <c r="BA661" s="12" t="str">
        <f>IF(AZ661="high","high","lower")</f>
        <v>lower</v>
      </c>
      <c r="BB661" s="49">
        <v>0.64900000000000002</v>
      </c>
      <c r="BC661" s="12">
        <v>61.2</v>
      </c>
      <c r="BD661" s="12">
        <v>72.2</v>
      </c>
      <c r="BE661" s="12">
        <v>66.7</v>
      </c>
      <c r="BF661" s="12">
        <v>56.7</v>
      </c>
      <c r="BG661" s="18" t="s">
        <v>1034</v>
      </c>
      <c r="BH661" s="18" t="s">
        <v>1031</v>
      </c>
    </row>
    <row r="662" spans="1:60" ht="15.75" customHeight="1" x14ac:dyDescent="0.2">
      <c r="A662" s="11">
        <v>665</v>
      </c>
      <c r="B662" s="12">
        <v>11455</v>
      </c>
      <c r="C662" s="13" t="s">
        <v>829</v>
      </c>
      <c r="D662" s="13" t="s">
        <v>831</v>
      </c>
      <c r="E662" s="23">
        <v>2007</v>
      </c>
      <c r="F662" s="23">
        <v>2010</v>
      </c>
      <c r="G662" s="13" t="s">
        <v>93</v>
      </c>
      <c r="H662" s="13"/>
      <c r="I662" s="13" t="s">
        <v>40</v>
      </c>
      <c r="J662" s="14" t="s">
        <v>40</v>
      </c>
      <c r="K662" s="14"/>
      <c r="L662" s="19">
        <v>100</v>
      </c>
      <c r="M662" s="16" t="s">
        <v>41</v>
      </c>
      <c r="N662" s="13" t="s">
        <v>42</v>
      </c>
      <c r="O662" s="14" t="s">
        <v>87</v>
      </c>
      <c r="P662" s="12">
        <f>IF(Q662="", 0, 1)</f>
        <v>1</v>
      </c>
      <c r="Q662" s="15">
        <v>29</v>
      </c>
      <c r="R662" s="17"/>
      <c r="S662" s="17"/>
      <c r="T662" s="17">
        <v>173</v>
      </c>
      <c r="U662" s="17">
        <v>100</v>
      </c>
      <c r="V662" s="17">
        <v>245</v>
      </c>
      <c r="W662" s="17"/>
      <c r="X662" s="17">
        <v>5</v>
      </c>
      <c r="Y662" s="17">
        <v>370</v>
      </c>
      <c r="Z662" s="17" t="str">
        <f>IF(T662="", "mean", "med")</f>
        <v>med</v>
      </c>
      <c r="AA662" s="17">
        <f>IF(T662="", R662, T662)</f>
        <v>173</v>
      </c>
      <c r="AB662" s="12">
        <f>IF(AC662="", 0, 1)</f>
        <v>0</v>
      </c>
      <c r="AC662" s="13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>
        <f>IF(AO662="", 0, 1)</f>
        <v>0</v>
      </c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 t="s">
        <v>43</v>
      </c>
      <c r="BA662" s="12" t="str">
        <f>IF(AZ662="high","high","lower")</f>
        <v>lower</v>
      </c>
      <c r="BB662" s="49">
        <v>0.64900000000000002</v>
      </c>
      <c r="BC662" s="12">
        <v>61.2</v>
      </c>
      <c r="BD662" s="12">
        <v>72.2</v>
      </c>
      <c r="BE662" s="12">
        <v>66.7</v>
      </c>
      <c r="BF662" s="12">
        <v>56.7</v>
      </c>
      <c r="BG662" s="18" t="s">
        <v>1034</v>
      </c>
      <c r="BH662" s="18" t="s">
        <v>1031</v>
      </c>
    </row>
    <row r="663" spans="1:60" ht="15.75" customHeight="1" x14ac:dyDescent="0.2">
      <c r="A663" s="11">
        <v>666</v>
      </c>
      <c r="B663" s="12">
        <v>11456</v>
      </c>
      <c r="C663" s="13" t="s">
        <v>832</v>
      </c>
      <c r="D663" s="13" t="s">
        <v>38</v>
      </c>
      <c r="E663" s="23">
        <v>2014</v>
      </c>
      <c r="F663" s="13">
        <v>2014</v>
      </c>
      <c r="G663" s="13" t="s">
        <v>62</v>
      </c>
      <c r="H663" s="13"/>
      <c r="I663" s="13" t="s">
        <v>40</v>
      </c>
      <c r="J663" s="13" t="s">
        <v>40</v>
      </c>
      <c r="K663" s="14"/>
      <c r="L663" s="15">
        <v>100</v>
      </c>
      <c r="M663" s="16">
        <v>45.2</v>
      </c>
      <c r="N663" s="13" t="s">
        <v>42</v>
      </c>
      <c r="O663" s="13"/>
      <c r="P663" s="12">
        <f>IF(Q663="", 0, 1)</f>
        <v>0</v>
      </c>
      <c r="Q663" s="15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2">
        <f>IF(AC663="", 0, 1)</f>
        <v>1</v>
      </c>
      <c r="AC663" s="13">
        <v>266</v>
      </c>
      <c r="AD663" s="12"/>
      <c r="AE663" s="12"/>
      <c r="AF663" s="12">
        <f>3.5*30</f>
        <v>105</v>
      </c>
      <c r="AG663" s="12">
        <f>0.8*30</f>
        <v>24</v>
      </c>
      <c r="AH663" s="52">
        <f>8.3*30</f>
        <v>249.00000000000003</v>
      </c>
      <c r="AI663" s="12"/>
      <c r="AJ663" s="12"/>
      <c r="AK663" s="12"/>
      <c r="AL663" s="12" t="str">
        <f>IF(AF663="", "mean", "med")</f>
        <v>med</v>
      </c>
      <c r="AM663" s="12">
        <f>IF(AF663="", AD663, AF663)</f>
        <v>105</v>
      </c>
      <c r="AN663" s="12">
        <f>IF(AO663="", 0, 1)</f>
        <v>1</v>
      </c>
      <c r="AO663" s="12">
        <v>266</v>
      </c>
      <c r="AP663" s="12"/>
      <c r="AQ663" s="12"/>
      <c r="AR663" s="12">
        <f>3*30</f>
        <v>90</v>
      </c>
      <c r="AS663" s="12">
        <f>0.8*30</f>
        <v>24</v>
      </c>
      <c r="AT663" s="12">
        <f>8.5*30</f>
        <v>255</v>
      </c>
      <c r="AU663" s="12"/>
      <c r="AV663" s="12"/>
      <c r="AW663" s="12"/>
      <c r="AX663" s="12" t="str">
        <f>IF(AR663="", "mean", "med")</f>
        <v>med</v>
      </c>
      <c r="AY663" s="12">
        <f>IF(AR663="", AP663, AR663)</f>
        <v>90</v>
      </c>
      <c r="AZ663" s="49" t="s">
        <v>46</v>
      </c>
      <c r="BA663" s="49" t="str">
        <f>IF(AZ663="high","high","lower")</f>
        <v>lower</v>
      </c>
      <c r="BB663" s="47"/>
      <c r="BC663" s="49"/>
      <c r="BD663" s="49"/>
      <c r="BE663" s="49"/>
      <c r="BF663" s="49"/>
      <c r="BG663" s="18" t="s">
        <v>1030</v>
      </c>
      <c r="BH663" s="18" t="s">
        <v>1031</v>
      </c>
    </row>
    <row r="664" spans="1:60" ht="15.75" customHeight="1" x14ac:dyDescent="0.2">
      <c r="A664" s="11">
        <v>667</v>
      </c>
      <c r="B664" s="12">
        <v>11708</v>
      </c>
      <c r="C664" s="13" t="s">
        <v>833</v>
      </c>
      <c r="D664" s="44" t="s">
        <v>834</v>
      </c>
      <c r="E664" s="23">
        <v>2000</v>
      </c>
      <c r="F664" s="23">
        <v>2012</v>
      </c>
      <c r="G664" s="13" t="s">
        <v>131</v>
      </c>
      <c r="H664" s="13"/>
      <c r="I664" s="31" t="s">
        <v>467</v>
      </c>
      <c r="J664" s="13" t="s">
        <v>466</v>
      </c>
      <c r="K664" s="13" t="s">
        <v>834</v>
      </c>
      <c r="L664" s="15">
        <v>44.4</v>
      </c>
      <c r="M664" s="16">
        <v>28.9</v>
      </c>
      <c r="N664" s="13" t="s">
        <v>42</v>
      </c>
      <c r="O664" s="13"/>
      <c r="P664" s="12">
        <f>IF(Q664="", 0, 1)</f>
        <v>0</v>
      </c>
      <c r="Q664" s="15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2">
        <f>IF(AC664="", 0, 1)</f>
        <v>1</v>
      </c>
      <c r="AC664" s="13">
        <v>54</v>
      </c>
      <c r="AD664" s="12">
        <v>100</v>
      </c>
      <c r="AE664" s="12">
        <v>94.6</v>
      </c>
      <c r="AF664" s="12"/>
      <c r="AG664" s="12"/>
      <c r="AH664" s="12"/>
      <c r="AI664" s="12"/>
      <c r="AJ664" s="12"/>
      <c r="AK664" s="12"/>
      <c r="AL664" s="12" t="str">
        <f>IF(AF664="", "mean", "med")</f>
        <v>mean</v>
      </c>
      <c r="AM664" s="12">
        <f>IF(AF664="", AD664, AF664)</f>
        <v>100</v>
      </c>
      <c r="AN664" s="12">
        <f>IF(AO664="", 0, 1)</f>
        <v>1</v>
      </c>
      <c r="AO664" s="12">
        <v>54</v>
      </c>
      <c r="AP664" s="12">
        <v>44.8</v>
      </c>
      <c r="AQ664" s="12">
        <v>41.8</v>
      </c>
      <c r="AR664" s="12"/>
      <c r="AS664" s="12"/>
      <c r="AT664" s="12"/>
      <c r="AU664" s="12"/>
      <c r="AV664" s="12"/>
      <c r="AW664" s="12"/>
      <c r="AX664" s="12" t="str">
        <f>IF(AR664="", "mean", "med")</f>
        <v>mean</v>
      </c>
      <c r="AY664" s="12">
        <f>IF(AR664="", AP664, AR664)</f>
        <v>44.8</v>
      </c>
      <c r="AZ664" s="12" t="s">
        <v>52</v>
      </c>
      <c r="BA664" s="12" t="str">
        <f>IF(AZ664="high","high","lower")</f>
        <v>high</v>
      </c>
      <c r="BB664" s="49">
        <v>0.90300000000000002</v>
      </c>
      <c r="BC664" s="12">
        <v>89.9</v>
      </c>
      <c r="BD664" s="12">
        <v>94</v>
      </c>
      <c r="BE664" s="12">
        <v>100</v>
      </c>
      <c r="BF664" s="12">
        <v>92.1</v>
      </c>
      <c r="BG664" s="18" t="s">
        <v>1032</v>
      </c>
      <c r="BH664" s="18" t="s">
        <v>1033</v>
      </c>
    </row>
    <row r="665" spans="1:60" ht="15.75" customHeight="1" x14ac:dyDescent="0.2">
      <c r="A665" s="11">
        <v>668</v>
      </c>
      <c r="B665" s="12">
        <v>11708</v>
      </c>
      <c r="C665" s="13" t="s">
        <v>833</v>
      </c>
      <c r="D665" s="44" t="s">
        <v>835</v>
      </c>
      <c r="E665" s="23">
        <v>2000</v>
      </c>
      <c r="F665" s="23">
        <v>2012</v>
      </c>
      <c r="G665" s="13" t="s">
        <v>131</v>
      </c>
      <c r="H665" s="13"/>
      <c r="I665" s="31" t="s">
        <v>467</v>
      </c>
      <c r="J665" s="13" t="s">
        <v>466</v>
      </c>
      <c r="K665" s="13" t="s">
        <v>835</v>
      </c>
      <c r="L665" s="15">
        <v>57.9</v>
      </c>
      <c r="M665" s="16">
        <v>52.4</v>
      </c>
      <c r="N665" s="13" t="s">
        <v>42</v>
      </c>
      <c r="O665" s="13"/>
      <c r="P665" s="12">
        <f>IF(Q665="", 0, 1)</f>
        <v>0</v>
      </c>
      <c r="Q665" s="15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2">
        <f>IF(AC665="", 0, 1)</f>
        <v>1</v>
      </c>
      <c r="AC665" s="13">
        <v>19</v>
      </c>
      <c r="AD665" s="12">
        <v>332.3</v>
      </c>
      <c r="AE665" s="12">
        <v>312.7</v>
      </c>
      <c r="AF665" s="12"/>
      <c r="AG665" s="12"/>
      <c r="AH665" s="12"/>
      <c r="AI665" s="12"/>
      <c r="AJ665" s="12"/>
      <c r="AK665" s="12"/>
      <c r="AL665" s="12" t="str">
        <f>IF(AF665="", "mean", "med")</f>
        <v>mean</v>
      </c>
      <c r="AM665" s="12">
        <f>IF(AF665="", AD665, AF665)</f>
        <v>332.3</v>
      </c>
      <c r="AN665" s="12">
        <f>IF(AO665="", 0, 1)</f>
        <v>1</v>
      </c>
      <c r="AO665" s="12">
        <v>19</v>
      </c>
      <c r="AP665" s="12">
        <v>244.1</v>
      </c>
      <c r="AQ665" s="12">
        <v>433.5</v>
      </c>
      <c r="AR665" s="12"/>
      <c r="AS665" s="12"/>
      <c r="AT665" s="12"/>
      <c r="AU665" s="12"/>
      <c r="AV665" s="12"/>
      <c r="AW665" s="12"/>
      <c r="AX665" s="12" t="str">
        <f>IF(AR665="", "mean", "med")</f>
        <v>mean</v>
      </c>
      <c r="AY665" s="12">
        <f>IF(AR665="", AP665, AR665)</f>
        <v>244.1</v>
      </c>
      <c r="AZ665" s="12" t="s">
        <v>52</v>
      </c>
      <c r="BA665" s="12" t="str">
        <f>IF(AZ665="high","high","lower")</f>
        <v>high</v>
      </c>
      <c r="BB665" s="49">
        <v>0.90300000000000002</v>
      </c>
      <c r="BC665" s="12">
        <v>89.9</v>
      </c>
      <c r="BD665" s="12">
        <v>94</v>
      </c>
      <c r="BE665" s="12">
        <v>100</v>
      </c>
      <c r="BF665" s="12">
        <v>92.1</v>
      </c>
      <c r="BG665" s="18" t="s">
        <v>1032</v>
      </c>
      <c r="BH665" s="18" t="s">
        <v>1033</v>
      </c>
    </row>
    <row r="666" spans="1:60" ht="15.75" customHeight="1" x14ac:dyDescent="0.2">
      <c r="A666" s="11">
        <v>669</v>
      </c>
      <c r="B666" s="12">
        <v>11714</v>
      </c>
      <c r="C666" s="13" t="s">
        <v>836</v>
      </c>
      <c r="D666" s="14" t="s">
        <v>476</v>
      </c>
      <c r="E666" s="23">
        <v>1985</v>
      </c>
      <c r="F666" s="23">
        <v>2010</v>
      </c>
      <c r="G666" s="13" t="s">
        <v>77</v>
      </c>
      <c r="H666" s="13"/>
      <c r="I666" s="31" t="s">
        <v>467</v>
      </c>
      <c r="J666" s="13" t="s">
        <v>476</v>
      </c>
      <c r="K666" s="14"/>
      <c r="L666" s="19" t="s">
        <v>41</v>
      </c>
      <c r="M666" s="20" t="s">
        <v>41</v>
      </c>
      <c r="N666" s="13" t="s">
        <v>42</v>
      </c>
      <c r="O666" s="13"/>
      <c r="P666" s="12">
        <f>IF(Q666="", 0, 1)</f>
        <v>0</v>
      </c>
      <c r="Q666" s="12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2">
        <f>IF(AC666="", 0, 1)</f>
        <v>0</v>
      </c>
      <c r="AC666" s="13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>
        <f>IF(AO666="", 0, 1)</f>
        <v>1</v>
      </c>
      <c r="AO666" s="22">
        <f>1108+196</f>
        <v>1304</v>
      </c>
      <c r="AP666" s="12"/>
      <c r="AQ666" s="12"/>
      <c r="AR666" s="22">
        <f>28*7</f>
        <v>196</v>
      </c>
      <c r="AS666" s="12">
        <f>12*7</f>
        <v>84</v>
      </c>
      <c r="AT666" s="12">
        <f>75*7</f>
        <v>525</v>
      </c>
      <c r="AU666" s="12"/>
      <c r="AV666" s="12"/>
      <c r="AW666" s="12"/>
      <c r="AX666" s="12" t="str">
        <f>IF(AR666="", "mean", "med")</f>
        <v>med</v>
      </c>
      <c r="AY666" s="12">
        <f>IF(AR666="", AP666, AR666)</f>
        <v>196</v>
      </c>
      <c r="AZ666" s="12" t="s">
        <v>52</v>
      </c>
      <c r="BA666" s="12" t="str">
        <f>IF(AZ666="high","high","lower")</f>
        <v>high</v>
      </c>
      <c r="BB666" s="49">
        <v>0.86399999999999999</v>
      </c>
      <c r="BC666" s="12">
        <v>85.3</v>
      </c>
      <c r="BD666" s="12">
        <v>96.3</v>
      </c>
      <c r="BE666" s="12">
        <v>91.7</v>
      </c>
      <c r="BF666" s="12">
        <v>80</v>
      </c>
      <c r="BG666" s="18" t="s">
        <v>1030</v>
      </c>
      <c r="BH666" s="18" t="s">
        <v>1031</v>
      </c>
    </row>
    <row r="667" spans="1:60" ht="15.75" customHeight="1" x14ac:dyDescent="0.2">
      <c r="A667" s="11">
        <v>670</v>
      </c>
      <c r="B667" s="12">
        <v>11714</v>
      </c>
      <c r="C667" s="13" t="s">
        <v>836</v>
      </c>
      <c r="D667" s="13" t="s">
        <v>644</v>
      </c>
      <c r="E667" s="23">
        <v>1985</v>
      </c>
      <c r="F667" s="23">
        <v>2010</v>
      </c>
      <c r="G667" s="13" t="s">
        <v>77</v>
      </c>
      <c r="H667" s="13"/>
      <c r="I667" s="31" t="s">
        <v>467</v>
      </c>
      <c r="J667" s="13" t="s">
        <v>466</v>
      </c>
      <c r="K667" s="14"/>
      <c r="L667" s="15">
        <f>((848+118)/(848+118+1142+169))*100</f>
        <v>42.424242424242422</v>
      </c>
      <c r="M667" s="16">
        <v>57</v>
      </c>
      <c r="N667" s="13" t="s">
        <v>42</v>
      </c>
      <c r="O667" s="13"/>
      <c r="P667" s="12">
        <f>IF(Q667="", 0, 1)</f>
        <v>0</v>
      </c>
      <c r="Q667" s="12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2">
        <f>IF(AC667="", 0, 1)</f>
        <v>0</v>
      </c>
      <c r="AC667" s="13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>
        <f>IF(AO667="", 0, 1)</f>
        <v>1</v>
      </c>
      <c r="AO667" s="12">
        <v>2277</v>
      </c>
      <c r="AP667" s="12"/>
      <c r="AQ667" s="12"/>
      <c r="AR667" s="12">
        <f>26*7</f>
        <v>182</v>
      </c>
      <c r="AS667" s="12">
        <f>12*7</f>
        <v>84</v>
      </c>
      <c r="AT667" s="12">
        <f>52*7</f>
        <v>364</v>
      </c>
      <c r="AU667" s="12"/>
      <c r="AV667" s="12"/>
      <c r="AW667" s="12"/>
      <c r="AX667" s="12" t="str">
        <f>IF(AR667="", "mean", "med")</f>
        <v>med</v>
      </c>
      <c r="AY667" s="12">
        <f>IF(AR667="", AP667, AR667)</f>
        <v>182</v>
      </c>
      <c r="AZ667" s="12" t="s">
        <v>52</v>
      </c>
      <c r="BA667" s="12" t="str">
        <f>IF(AZ667="high","high","lower")</f>
        <v>high</v>
      </c>
      <c r="BB667" s="49">
        <v>0.86399999999999999</v>
      </c>
      <c r="BC667" s="12">
        <v>85.3</v>
      </c>
      <c r="BD667" s="12">
        <v>96.3</v>
      </c>
      <c r="BE667" s="12">
        <v>91.7</v>
      </c>
      <c r="BF667" s="12">
        <v>80</v>
      </c>
      <c r="BG667" s="18" t="s">
        <v>1030</v>
      </c>
      <c r="BH667" s="18" t="s">
        <v>1031</v>
      </c>
    </row>
    <row r="668" spans="1:60" ht="15.75" customHeight="1" x14ac:dyDescent="0.2">
      <c r="A668" s="11">
        <v>671</v>
      </c>
      <c r="B668" s="12">
        <v>11730</v>
      </c>
      <c r="C668" s="13" t="s">
        <v>837</v>
      </c>
      <c r="D668" s="14" t="s">
        <v>38</v>
      </c>
      <c r="E668" s="23">
        <v>2009</v>
      </c>
      <c r="F668" s="23">
        <v>2010</v>
      </c>
      <c r="G668" s="13" t="s">
        <v>252</v>
      </c>
      <c r="H668" s="13"/>
      <c r="I668" s="13" t="s">
        <v>79</v>
      </c>
      <c r="J668" s="31" t="s">
        <v>236</v>
      </c>
      <c r="K668" s="14"/>
      <c r="L668" s="19">
        <v>42.4</v>
      </c>
      <c r="M668" s="20">
        <v>58.3</v>
      </c>
      <c r="N668" s="13" t="s">
        <v>50</v>
      </c>
      <c r="O668" s="13"/>
      <c r="P668" s="12">
        <f>IF(Q668="", 0, 1)</f>
        <v>0</v>
      </c>
      <c r="Q668" s="15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2">
        <f>IF(AC668="", 0, 1)</f>
        <v>0</v>
      </c>
      <c r="AC668" s="13"/>
      <c r="AD668" s="12"/>
      <c r="AE668" s="12"/>
      <c r="AF668" s="12"/>
      <c r="AG668" s="12"/>
      <c r="AH668" s="22"/>
      <c r="AI668" s="12"/>
      <c r="AJ668" s="12"/>
      <c r="AK668" s="12"/>
      <c r="AL668" s="12"/>
      <c r="AM668" s="12"/>
      <c r="AN668" s="12">
        <f>IF(AO668="", 0, 1)</f>
        <v>1</v>
      </c>
      <c r="AO668" s="22">
        <v>206</v>
      </c>
      <c r="AP668" s="12">
        <v>57.6</v>
      </c>
      <c r="AQ668" s="12">
        <v>56.6</v>
      </c>
      <c r="AR668" s="22">
        <v>45</v>
      </c>
      <c r="AS668" s="12"/>
      <c r="AT668" s="12"/>
      <c r="AU668" s="12"/>
      <c r="AV668" s="12">
        <v>0</v>
      </c>
      <c r="AW668" s="12">
        <v>354</v>
      </c>
      <c r="AX668" s="12" t="str">
        <f>IF(AR668="", "mean", "med")</f>
        <v>med</v>
      </c>
      <c r="AY668" s="12">
        <f>IF(AR668="", AP668, AR668)</f>
        <v>45</v>
      </c>
      <c r="AZ668" s="49" t="s">
        <v>43</v>
      </c>
      <c r="BA668" s="49" t="str">
        <f>IF(AZ668="high","high","lower")</f>
        <v>lower</v>
      </c>
      <c r="BB668" s="49">
        <v>0.73799999999999999</v>
      </c>
      <c r="BC668" s="49"/>
      <c r="BD668" s="49"/>
      <c r="BE668" s="49"/>
      <c r="BF668" s="49"/>
      <c r="BG668" s="18" t="s">
        <v>1032</v>
      </c>
      <c r="BH668" s="18" t="s">
        <v>1033</v>
      </c>
    </row>
    <row r="669" spans="1:60" ht="15.75" customHeight="1" x14ac:dyDescent="0.2">
      <c r="A669" s="11">
        <v>672</v>
      </c>
      <c r="B669" s="12">
        <v>11754</v>
      </c>
      <c r="C669" s="13" t="s">
        <v>531</v>
      </c>
      <c r="D669" s="13" t="s">
        <v>38</v>
      </c>
      <c r="E669" s="23">
        <v>1996</v>
      </c>
      <c r="F669" s="23">
        <v>2009</v>
      </c>
      <c r="G669" s="13" t="s">
        <v>77</v>
      </c>
      <c r="H669" s="13"/>
      <c r="I669" s="13" t="s">
        <v>40</v>
      </c>
      <c r="J669" s="13" t="s">
        <v>40</v>
      </c>
      <c r="K669" s="13"/>
      <c r="L669" s="15">
        <v>100</v>
      </c>
      <c r="M669" s="16" t="s">
        <v>41</v>
      </c>
      <c r="N669" s="13" t="s">
        <v>99</v>
      </c>
      <c r="O669" s="14" t="s">
        <v>90</v>
      </c>
      <c r="P669" s="12">
        <f>IF(Q669="", 0, 1)</f>
        <v>1</v>
      </c>
      <c r="Q669" s="22">
        <v>53689</v>
      </c>
      <c r="R669" s="17"/>
      <c r="S669" s="17"/>
      <c r="T669" s="17">
        <v>22</v>
      </c>
      <c r="U669" s="17">
        <v>15</v>
      </c>
      <c r="V669" s="17">
        <v>30</v>
      </c>
      <c r="W669" s="17"/>
      <c r="X669" s="17"/>
      <c r="Y669" s="17"/>
      <c r="Z669" s="17" t="str">
        <f>IF(T669="", "mean", "med")</f>
        <v>med</v>
      </c>
      <c r="AA669" s="17">
        <f>IF(T669="", R669, T669)</f>
        <v>22</v>
      </c>
      <c r="AB669" s="12">
        <f>IF(AC669="", 0, 1)</f>
        <v>0</v>
      </c>
      <c r="AC669" s="13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>
        <f>IF(AO669="", 0, 1)</f>
        <v>0</v>
      </c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 t="s">
        <v>52</v>
      </c>
      <c r="BA669" s="12" t="str">
        <f>IF(AZ669="high","high","lower")</f>
        <v>high</v>
      </c>
      <c r="BB669" s="49">
        <v>0.88900000000000001</v>
      </c>
      <c r="BC669" s="12">
        <v>85.3</v>
      </c>
      <c r="BD669" s="12">
        <v>96.3</v>
      </c>
      <c r="BE669" s="12">
        <v>91.7</v>
      </c>
      <c r="BF669" s="12">
        <v>80</v>
      </c>
      <c r="BG669" s="18" t="s">
        <v>1030</v>
      </c>
      <c r="BH669" s="18" t="s">
        <v>1031</v>
      </c>
    </row>
    <row r="670" spans="1:60" ht="15.75" customHeight="1" x14ac:dyDescent="0.2">
      <c r="A670" s="11">
        <v>673</v>
      </c>
      <c r="B670" s="12">
        <v>11756</v>
      </c>
      <c r="C670" s="13" t="s">
        <v>838</v>
      </c>
      <c r="D670" s="13" t="s">
        <v>38</v>
      </c>
      <c r="E670" s="23">
        <v>2000</v>
      </c>
      <c r="F670" s="23">
        <v>2009</v>
      </c>
      <c r="G670" s="13" t="s">
        <v>115</v>
      </c>
      <c r="H670" s="13"/>
      <c r="I670" s="13" t="s">
        <v>94</v>
      </c>
      <c r="J670" s="13" t="s">
        <v>299</v>
      </c>
      <c r="K670" s="13" t="s">
        <v>839</v>
      </c>
      <c r="L670" s="19">
        <v>46</v>
      </c>
      <c r="M670" s="16">
        <v>58</v>
      </c>
      <c r="N670" s="13" t="s">
        <v>50</v>
      </c>
      <c r="O670" s="14" t="s">
        <v>840</v>
      </c>
      <c r="P670" s="12">
        <f>IF(Q670="", 0, 1)</f>
        <v>1</v>
      </c>
      <c r="Q670" s="15">
        <v>599</v>
      </c>
      <c r="R670" s="17"/>
      <c r="S670" s="17"/>
      <c r="T670" s="17">
        <v>8</v>
      </c>
      <c r="U670" s="17">
        <v>4</v>
      </c>
      <c r="V670" s="17">
        <v>16</v>
      </c>
      <c r="W670" s="17"/>
      <c r="X670" s="17"/>
      <c r="Y670" s="17"/>
      <c r="Z670" s="17" t="str">
        <f>IF(T670="", "mean", "med")</f>
        <v>med</v>
      </c>
      <c r="AA670" s="17">
        <f>IF(T670="", R670, T670)</f>
        <v>8</v>
      </c>
      <c r="AB670" s="12">
        <f>IF(AC670="", 0, 1)</f>
        <v>0</v>
      </c>
      <c r="AC670" s="13"/>
      <c r="AD670" s="12"/>
      <c r="AE670" s="12"/>
      <c r="AF670" s="12"/>
      <c r="AG670" s="12"/>
      <c r="AH670" s="22"/>
      <c r="AI670" s="12"/>
      <c r="AJ670" s="12"/>
      <c r="AK670" s="12"/>
      <c r="AL670" s="12"/>
      <c r="AM670" s="12"/>
      <c r="AN670" s="12">
        <f>IF(AO670="", 0, 1)</f>
        <v>0</v>
      </c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 t="s">
        <v>52</v>
      </c>
      <c r="BA670" s="12" t="str">
        <f>IF(AZ670="high","high","lower")</f>
        <v>high</v>
      </c>
      <c r="BB670" s="49">
        <v>0.86299999999999999</v>
      </c>
      <c r="BC670" s="12">
        <v>87.5</v>
      </c>
      <c r="BD670" s="12">
        <v>93.8</v>
      </c>
      <c r="BE670" s="12">
        <v>100</v>
      </c>
      <c r="BF670" s="12">
        <v>86.9</v>
      </c>
      <c r="BG670" s="18" t="s">
        <v>1030</v>
      </c>
      <c r="BH670" s="18" t="s">
        <v>1031</v>
      </c>
    </row>
    <row r="671" spans="1:60" ht="15.75" customHeight="1" x14ac:dyDescent="0.2">
      <c r="A671" s="11">
        <v>674</v>
      </c>
      <c r="B671" s="12">
        <v>11757</v>
      </c>
      <c r="C671" s="13" t="s">
        <v>841</v>
      </c>
      <c r="D671" s="13" t="s">
        <v>38</v>
      </c>
      <c r="E671" s="23">
        <v>2004</v>
      </c>
      <c r="F671" s="23">
        <v>2011</v>
      </c>
      <c r="G671" s="13" t="s">
        <v>49</v>
      </c>
      <c r="H671" s="13"/>
      <c r="I671" s="13" t="s">
        <v>40</v>
      </c>
      <c r="J671" s="13" t="s">
        <v>40</v>
      </c>
      <c r="K671" s="14"/>
      <c r="L671" s="15">
        <v>100</v>
      </c>
      <c r="M671" s="16" t="s">
        <v>41</v>
      </c>
      <c r="N671" s="13" t="s">
        <v>42</v>
      </c>
      <c r="O671" s="14" t="s">
        <v>41</v>
      </c>
      <c r="P671" s="12">
        <f>IF(Q671="", 0, 1)</f>
        <v>1</v>
      </c>
      <c r="Q671" s="15">
        <v>301</v>
      </c>
      <c r="R671" s="17">
        <v>46</v>
      </c>
      <c r="S671" s="17"/>
      <c r="T671" s="17"/>
      <c r="U671" s="17"/>
      <c r="V671" s="17"/>
      <c r="W671" s="17"/>
      <c r="X671" s="17"/>
      <c r="Y671" s="17"/>
      <c r="Z671" s="17" t="str">
        <f>IF(T671="", "mean", "med")</f>
        <v>mean</v>
      </c>
      <c r="AA671" s="17">
        <f>IF(T671="", R671, T671)</f>
        <v>46</v>
      </c>
      <c r="AB671" s="12">
        <f>IF(AC671="", 0, 1)</f>
        <v>0</v>
      </c>
      <c r="AC671" s="13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>
        <f>IF(AO671="", 0, 1)</f>
        <v>0</v>
      </c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 t="s">
        <v>52</v>
      </c>
      <c r="BA671" s="12" t="str">
        <f>IF(AZ671="high","high","lower")</f>
        <v>high</v>
      </c>
      <c r="BB671" s="49">
        <v>0.90800000000000003</v>
      </c>
      <c r="BC671" s="12">
        <v>84</v>
      </c>
      <c r="BD671" s="12">
        <v>88</v>
      </c>
      <c r="BE671" s="12">
        <v>100</v>
      </c>
      <c r="BF671" s="12">
        <v>84.2</v>
      </c>
      <c r="BG671" s="18" t="s">
        <v>1030</v>
      </c>
      <c r="BH671" s="18" t="s">
        <v>1031</v>
      </c>
    </row>
    <row r="672" spans="1:60" ht="15.75" customHeight="1" x14ac:dyDescent="0.2">
      <c r="A672" s="11">
        <v>675</v>
      </c>
      <c r="B672" s="52">
        <v>11759</v>
      </c>
      <c r="C672" s="13" t="s">
        <v>842</v>
      </c>
      <c r="D672" s="13">
        <v>1992</v>
      </c>
      <c r="E672" s="23">
        <v>1992</v>
      </c>
      <c r="F672" s="23">
        <v>1992</v>
      </c>
      <c r="G672" s="13" t="s">
        <v>205</v>
      </c>
      <c r="H672" s="13"/>
      <c r="I672" s="13" t="s">
        <v>79</v>
      </c>
      <c r="J672" s="13" t="s">
        <v>79</v>
      </c>
      <c r="K672" s="13"/>
      <c r="L672" s="19">
        <v>28</v>
      </c>
      <c r="M672" s="16" t="s">
        <v>41</v>
      </c>
      <c r="N672" s="13" t="s">
        <v>42</v>
      </c>
      <c r="O672" s="42" t="s">
        <v>843</v>
      </c>
      <c r="P672" s="12">
        <f>IF(Q672="", 0, 1)</f>
        <v>1</v>
      </c>
      <c r="Q672" s="12">
        <v>168</v>
      </c>
      <c r="R672" s="17"/>
      <c r="S672" s="17"/>
      <c r="T672" s="17">
        <v>31</v>
      </c>
      <c r="U672" s="17"/>
      <c r="V672" s="17"/>
      <c r="W672" s="17"/>
      <c r="X672" s="17"/>
      <c r="Y672" s="17"/>
      <c r="Z672" s="17" t="str">
        <f>IF(T672="", "mean", "med")</f>
        <v>med</v>
      </c>
      <c r="AA672" s="17">
        <f>IF(T672="", R672, T672)</f>
        <v>31</v>
      </c>
      <c r="AB672" s="12">
        <f>IF(AC672="", 0, 1)</f>
        <v>1</v>
      </c>
      <c r="AC672" s="13">
        <v>168</v>
      </c>
      <c r="AD672" s="12"/>
      <c r="AE672" s="12"/>
      <c r="AF672" s="12">
        <v>20</v>
      </c>
      <c r="AG672" s="12"/>
      <c r="AH672" s="12"/>
      <c r="AI672" s="12"/>
      <c r="AJ672" s="12"/>
      <c r="AK672" s="12"/>
      <c r="AL672" s="12" t="str">
        <f>IF(AF672="", "mean", "med")</f>
        <v>med</v>
      </c>
      <c r="AM672" s="12">
        <f>IF(AF672="", AD672, AF672)</f>
        <v>20</v>
      </c>
      <c r="AN672" s="12">
        <f>IF(AO672="", 0, 1)</f>
        <v>0</v>
      </c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49" t="s">
        <v>52</v>
      </c>
      <c r="BA672" s="49" t="str">
        <f>IF(AZ672="high","high","lower")</f>
        <v>high</v>
      </c>
      <c r="BB672" s="49">
        <v>0.81499999999999995</v>
      </c>
      <c r="BC672" s="49"/>
      <c r="BD672" s="49"/>
      <c r="BE672" s="49"/>
      <c r="BF672" s="49"/>
      <c r="BG672" s="18" t="s">
        <v>1030</v>
      </c>
      <c r="BH672" s="18" t="s">
        <v>1031</v>
      </c>
    </row>
    <row r="673" spans="1:60" ht="15.75" customHeight="1" x14ac:dyDescent="0.2">
      <c r="A673" s="11">
        <v>676</v>
      </c>
      <c r="B673" s="52">
        <v>11759</v>
      </c>
      <c r="C673" s="13" t="s">
        <v>842</v>
      </c>
      <c r="D673" s="13">
        <v>2002</v>
      </c>
      <c r="E673" s="23">
        <v>2002</v>
      </c>
      <c r="F673" s="23">
        <v>2002</v>
      </c>
      <c r="G673" s="13" t="s">
        <v>205</v>
      </c>
      <c r="H673" s="13"/>
      <c r="I673" s="13" t="s">
        <v>79</v>
      </c>
      <c r="J673" s="13" t="s">
        <v>79</v>
      </c>
      <c r="K673" s="13"/>
      <c r="L673" s="19">
        <v>30</v>
      </c>
      <c r="M673" s="16" t="s">
        <v>41</v>
      </c>
      <c r="N673" s="13" t="s">
        <v>42</v>
      </c>
      <c r="O673" s="42" t="s">
        <v>843</v>
      </c>
      <c r="P673" s="12">
        <f>IF(Q673="", 0, 1)</f>
        <v>1</v>
      </c>
      <c r="Q673" s="22">
        <v>221</v>
      </c>
      <c r="R673" s="17"/>
      <c r="S673" s="17"/>
      <c r="T673" s="17">
        <v>47</v>
      </c>
      <c r="U673" s="17"/>
      <c r="V673" s="17"/>
      <c r="W673" s="17"/>
      <c r="X673" s="17"/>
      <c r="Y673" s="17"/>
      <c r="Z673" s="17" t="str">
        <f>IF(T673="", "mean", "med")</f>
        <v>med</v>
      </c>
      <c r="AA673" s="17">
        <f>IF(T673="", R673, T673)</f>
        <v>47</v>
      </c>
      <c r="AB673" s="12">
        <f>IF(AC673="", 0, 1)</f>
        <v>1</v>
      </c>
      <c r="AC673" s="13">
        <v>221</v>
      </c>
      <c r="AD673" s="12"/>
      <c r="AE673" s="12"/>
      <c r="AF673" s="12">
        <v>17</v>
      </c>
      <c r="AG673" s="12"/>
      <c r="AH673" s="12"/>
      <c r="AI673" s="12"/>
      <c r="AJ673" s="12"/>
      <c r="AK673" s="12"/>
      <c r="AL673" s="12" t="str">
        <f>IF(AF673="", "mean", "med")</f>
        <v>med</v>
      </c>
      <c r="AM673" s="12">
        <f>IF(AF673="", AD673, AF673)</f>
        <v>17</v>
      </c>
      <c r="AN673" s="12">
        <f>IF(AO673="", 0, 1)</f>
        <v>0</v>
      </c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49" t="s">
        <v>52</v>
      </c>
      <c r="BA673" s="49" t="str">
        <f>IF(AZ673="high","high","lower")</f>
        <v>high</v>
      </c>
      <c r="BB673" s="49">
        <v>0.89</v>
      </c>
      <c r="BC673" s="49"/>
      <c r="BD673" s="49"/>
      <c r="BE673" s="49"/>
      <c r="BF673" s="49"/>
      <c r="BG673" s="18" t="s">
        <v>1030</v>
      </c>
      <c r="BH673" s="18" t="s">
        <v>1031</v>
      </c>
    </row>
    <row r="674" spans="1:60" ht="15.75" customHeight="1" x14ac:dyDescent="0.2">
      <c r="A674" s="11">
        <v>677</v>
      </c>
      <c r="B674" s="52">
        <v>11759</v>
      </c>
      <c r="C674" s="13" t="s">
        <v>842</v>
      </c>
      <c r="D674" s="14">
        <v>2010</v>
      </c>
      <c r="E674" s="23">
        <v>2010</v>
      </c>
      <c r="F674" s="23">
        <v>2010</v>
      </c>
      <c r="G674" s="13" t="s">
        <v>205</v>
      </c>
      <c r="H674" s="13"/>
      <c r="I674" s="13" t="s">
        <v>79</v>
      </c>
      <c r="J674" s="13" t="s">
        <v>79</v>
      </c>
      <c r="K674" s="13"/>
      <c r="L674" s="15">
        <v>27</v>
      </c>
      <c r="M674" s="16" t="s">
        <v>41</v>
      </c>
      <c r="N674" s="13" t="s">
        <v>42</v>
      </c>
      <c r="O674" s="42" t="s">
        <v>843</v>
      </c>
      <c r="P674" s="12">
        <f>IF(Q674="", 0, 1)</f>
        <v>1</v>
      </c>
      <c r="Q674" s="12">
        <v>253</v>
      </c>
      <c r="R674" s="17"/>
      <c r="S674" s="17"/>
      <c r="T674" s="17">
        <v>25</v>
      </c>
      <c r="U674" s="17"/>
      <c r="V674" s="17"/>
      <c r="W674" s="17"/>
      <c r="X674" s="17"/>
      <c r="Y674" s="17"/>
      <c r="Z674" s="17" t="str">
        <f>IF(T674="", "mean", "med")</f>
        <v>med</v>
      </c>
      <c r="AA674" s="17">
        <f>IF(T674="", R674, T674)</f>
        <v>25</v>
      </c>
      <c r="AB674" s="12">
        <f>IF(AC674="", 0, 1)</f>
        <v>1</v>
      </c>
      <c r="AC674" s="13">
        <v>253</v>
      </c>
      <c r="AD674" s="12"/>
      <c r="AE674" s="12"/>
      <c r="AF674" s="12">
        <v>13</v>
      </c>
      <c r="AG674" s="12"/>
      <c r="AH674" s="12"/>
      <c r="AI674" s="12"/>
      <c r="AJ674" s="12"/>
      <c r="AK674" s="12"/>
      <c r="AL674" s="12" t="str">
        <f>IF(AF674="", "mean", "med")</f>
        <v>med</v>
      </c>
      <c r="AM674" s="12">
        <f>IF(AF674="", AD674, AF674)</f>
        <v>13</v>
      </c>
      <c r="AN674" s="12">
        <f>IF(AO674="", 0, 1)</f>
        <v>0</v>
      </c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49" t="s">
        <v>52</v>
      </c>
      <c r="BA674" s="49" t="str">
        <f>IF(AZ674="high","high","lower")</f>
        <v>high</v>
      </c>
      <c r="BB674" s="49">
        <v>0.91700000000000004</v>
      </c>
      <c r="BC674" s="49"/>
      <c r="BD674" s="49"/>
      <c r="BE674" s="49"/>
      <c r="BF674" s="49"/>
      <c r="BG674" s="18" t="s">
        <v>1030</v>
      </c>
      <c r="BH674" s="18" t="s">
        <v>1031</v>
      </c>
    </row>
    <row r="675" spans="1:60" ht="15.75" customHeight="1" x14ac:dyDescent="0.2">
      <c r="A675" s="11">
        <v>678</v>
      </c>
      <c r="B675" s="22">
        <v>11792</v>
      </c>
      <c r="C675" s="13" t="s">
        <v>844</v>
      </c>
      <c r="D675" s="13" t="s">
        <v>845</v>
      </c>
      <c r="E675" s="23">
        <v>2004</v>
      </c>
      <c r="F675" s="23">
        <v>2007</v>
      </c>
      <c r="G675" s="13" t="s">
        <v>125</v>
      </c>
      <c r="H675" s="13"/>
      <c r="I675" s="13" t="s">
        <v>54</v>
      </c>
      <c r="J675" s="32" t="s">
        <v>55</v>
      </c>
      <c r="K675" s="44"/>
      <c r="L675" s="19">
        <v>46.2</v>
      </c>
      <c r="M675" s="16" t="s">
        <v>41</v>
      </c>
      <c r="N675" s="13" t="s">
        <v>42</v>
      </c>
      <c r="O675" s="14" t="s">
        <v>90</v>
      </c>
      <c r="P675" s="12">
        <f>IF(Q675="", 0, 1)</f>
        <v>1</v>
      </c>
      <c r="Q675" s="22">
        <v>52</v>
      </c>
      <c r="R675" s="17">
        <v>28.6</v>
      </c>
      <c r="S675" s="17">
        <v>23.9</v>
      </c>
      <c r="T675" s="17"/>
      <c r="U675" s="17"/>
      <c r="V675" s="17"/>
      <c r="W675" s="17"/>
      <c r="X675" s="17"/>
      <c r="Y675" s="17"/>
      <c r="Z675" s="17" t="str">
        <f>IF(T675="", "mean", "med")</f>
        <v>mean</v>
      </c>
      <c r="AA675" s="17">
        <f>IF(T675="", R675, T675)</f>
        <v>28.6</v>
      </c>
      <c r="AB675" s="12">
        <f>IF(AC675="", 0, 1)</f>
        <v>0</v>
      </c>
      <c r="AC675" s="13"/>
      <c r="AD675" s="12"/>
      <c r="AE675" s="12"/>
      <c r="AF675" s="12"/>
      <c r="AG675" s="12"/>
      <c r="AH675" s="22"/>
      <c r="AI675" s="12"/>
      <c r="AJ675" s="12"/>
      <c r="AK675" s="12"/>
      <c r="AL675" s="12"/>
      <c r="AM675" s="12"/>
      <c r="AN675" s="12">
        <f>IF(AO675="", 0, 1)</f>
        <v>0</v>
      </c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 t="s">
        <v>52</v>
      </c>
      <c r="BA675" s="12" t="str">
        <f>IF(AZ675="high","high","lower")</f>
        <v>high</v>
      </c>
      <c r="BB675" s="49">
        <v>0.85299999999999998</v>
      </c>
      <c r="BC675" s="12">
        <v>84</v>
      </c>
      <c r="BD675" s="12">
        <v>89.7</v>
      </c>
      <c r="BE675" s="12">
        <v>70.8</v>
      </c>
      <c r="BF675" s="12">
        <v>89.2</v>
      </c>
      <c r="BG675" s="18" t="s">
        <v>1030</v>
      </c>
      <c r="BH675" s="18" t="s">
        <v>1031</v>
      </c>
    </row>
    <row r="676" spans="1:60" ht="15.75" customHeight="1" x14ac:dyDescent="0.2">
      <c r="A676" s="11">
        <v>679</v>
      </c>
      <c r="B676" s="22">
        <v>11792</v>
      </c>
      <c r="C676" s="13" t="s">
        <v>844</v>
      </c>
      <c r="D676" s="13" t="s">
        <v>846</v>
      </c>
      <c r="E676" s="23">
        <v>2004</v>
      </c>
      <c r="F676" s="23">
        <v>2007</v>
      </c>
      <c r="G676" s="13" t="s">
        <v>125</v>
      </c>
      <c r="H676" s="13"/>
      <c r="I676" s="13" t="s">
        <v>54</v>
      </c>
      <c r="J676" s="32" t="s">
        <v>55</v>
      </c>
      <c r="K676" s="44"/>
      <c r="L676" s="15">
        <v>37.9</v>
      </c>
      <c r="M676" s="16" t="s">
        <v>41</v>
      </c>
      <c r="N676" s="13" t="s">
        <v>42</v>
      </c>
      <c r="O676" s="13" t="s">
        <v>90</v>
      </c>
      <c r="P676" s="12">
        <f>IF(Q676="", 0, 1)</f>
        <v>1</v>
      </c>
      <c r="Q676" s="12">
        <v>311</v>
      </c>
      <c r="R676" s="17">
        <v>31</v>
      </c>
      <c r="S676" s="17">
        <v>34.4</v>
      </c>
      <c r="T676" s="17"/>
      <c r="U676" s="17"/>
      <c r="V676" s="17"/>
      <c r="W676" s="17"/>
      <c r="X676" s="17"/>
      <c r="Y676" s="17"/>
      <c r="Z676" s="17" t="str">
        <f>IF(T676="", "mean", "med")</f>
        <v>mean</v>
      </c>
      <c r="AA676" s="17">
        <f>IF(T676="", R676, T676)</f>
        <v>31</v>
      </c>
      <c r="AB676" s="12">
        <f>IF(AC676="", 0, 1)</f>
        <v>0</v>
      </c>
      <c r="AC676" s="13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>
        <f>IF(AO676="", 0, 1)</f>
        <v>0</v>
      </c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 t="s">
        <v>52</v>
      </c>
      <c r="BA676" s="12" t="str">
        <f>IF(AZ676="high","high","lower")</f>
        <v>high</v>
      </c>
      <c r="BB676" s="49">
        <v>0.85299999999999998</v>
      </c>
      <c r="BC676" s="12">
        <v>84</v>
      </c>
      <c r="BD676" s="12">
        <v>89.7</v>
      </c>
      <c r="BE676" s="12">
        <v>70.8</v>
      </c>
      <c r="BF676" s="12">
        <v>89.2</v>
      </c>
      <c r="BG676" s="18" t="s">
        <v>1030</v>
      </c>
      <c r="BH676" s="18" t="s">
        <v>1031</v>
      </c>
    </row>
    <row r="677" spans="1:60" ht="15.75" customHeight="1" x14ac:dyDescent="0.2">
      <c r="A677" s="11">
        <v>680</v>
      </c>
      <c r="B677" s="12">
        <v>11797</v>
      </c>
      <c r="C677" s="14" t="s">
        <v>847</v>
      </c>
      <c r="D677" s="14" t="s">
        <v>38</v>
      </c>
      <c r="E677" s="23">
        <v>1990</v>
      </c>
      <c r="F677" s="23">
        <v>2009</v>
      </c>
      <c r="G677" s="14" t="s">
        <v>49</v>
      </c>
      <c r="H677" s="14"/>
      <c r="I677" s="13" t="s">
        <v>59</v>
      </c>
      <c r="J677" s="13" t="s">
        <v>60</v>
      </c>
      <c r="K677" s="13"/>
      <c r="L677" s="15">
        <v>0</v>
      </c>
      <c r="M677" s="16">
        <v>60</v>
      </c>
      <c r="N677" s="13" t="s">
        <v>42</v>
      </c>
      <c r="O677" s="14" t="s">
        <v>848</v>
      </c>
      <c r="P677" s="12">
        <f>IF(Q677="", 0, 1)</f>
        <v>1</v>
      </c>
      <c r="Q677" s="12">
        <v>1568</v>
      </c>
      <c r="R677" s="17"/>
      <c r="S677" s="17"/>
      <c r="T677" s="17">
        <v>45</v>
      </c>
      <c r="U677" s="17">
        <v>42</v>
      </c>
      <c r="V677" s="17">
        <v>65</v>
      </c>
      <c r="W677" s="17"/>
      <c r="X677" s="17">
        <v>36</v>
      </c>
      <c r="Y677" s="17">
        <v>847</v>
      </c>
      <c r="Z677" s="17" t="str">
        <f>IF(T677="", "mean", "med")</f>
        <v>med</v>
      </c>
      <c r="AA677" s="17">
        <f>IF(T677="", R677, T677)</f>
        <v>45</v>
      </c>
      <c r="AB677" s="12">
        <f>IF(AC677="", 0, 1)</f>
        <v>0</v>
      </c>
      <c r="AC677" s="13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>
        <f>IF(AO677="", 0, 1)</f>
        <v>0</v>
      </c>
      <c r="AO677" s="2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 t="s">
        <v>52</v>
      </c>
      <c r="BA677" s="12" t="str">
        <f>IF(AZ677="high","high","lower")</f>
        <v>high</v>
      </c>
      <c r="BB677" s="49">
        <v>0.88900000000000001</v>
      </c>
      <c r="BC677" s="12">
        <v>84</v>
      </c>
      <c r="BD677" s="12">
        <v>88</v>
      </c>
      <c r="BE677" s="12">
        <v>100</v>
      </c>
      <c r="BF677" s="12">
        <v>84.2</v>
      </c>
      <c r="BG677" s="18" t="s">
        <v>1030</v>
      </c>
      <c r="BH677" s="18" t="s">
        <v>1031</v>
      </c>
    </row>
    <row r="678" spans="1:60" ht="15.75" customHeight="1" x14ac:dyDescent="0.2">
      <c r="A678" s="11">
        <v>681</v>
      </c>
      <c r="B678" s="12">
        <v>11802</v>
      </c>
      <c r="C678" s="13" t="s">
        <v>849</v>
      </c>
      <c r="D678" s="13" t="s">
        <v>38</v>
      </c>
      <c r="E678" s="23">
        <v>1972</v>
      </c>
      <c r="F678" s="23">
        <v>2010</v>
      </c>
      <c r="G678" s="13" t="s">
        <v>161</v>
      </c>
      <c r="H678" s="13"/>
      <c r="I678" s="31" t="s">
        <v>467</v>
      </c>
      <c r="J678" s="13" t="s">
        <v>850</v>
      </c>
      <c r="K678" s="14"/>
      <c r="L678" s="15">
        <v>38.9</v>
      </c>
      <c r="M678" s="45">
        <v>32.4</v>
      </c>
      <c r="N678" s="13" t="s">
        <v>42</v>
      </c>
      <c r="O678" s="14"/>
      <c r="P678" s="12">
        <f>IF(Q678="", 0, 1)</f>
        <v>0</v>
      </c>
      <c r="Q678" s="15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2">
        <f>IF(AC678="", 0, 1)</f>
        <v>0</v>
      </c>
      <c r="AC678" s="13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>
        <f>IF(AO678="", 0, 1)</f>
        <v>1</v>
      </c>
      <c r="AO678" s="12">
        <v>36</v>
      </c>
      <c r="AP678" s="12">
        <v>111</v>
      </c>
      <c r="AQ678" s="12"/>
      <c r="AR678" s="12"/>
      <c r="AS678" s="12"/>
      <c r="AT678" s="12"/>
      <c r="AU678" s="12"/>
      <c r="AV678" s="12">
        <v>30</v>
      </c>
      <c r="AW678" s="12">
        <v>720</v>
      </c>
      <c r="AX678" s="12" t="str">
        <f>IF(AR678="", "mean", "med")</f>
        <v>mean</v>
      </c>
      <c r="AY678" s="12">
        <f>IF(AR678="", AP678, AR678)</f>
        <v>111</v>
      </c>
      <c r="AZ678" s="12" t="s">
        <v>52</v>
      </c>
      <c r="BA678" s="12" t="str">
        <f>IF(AZ678="high","high","lower")</f>
        <v>high</v>
      </c>
      <c r="BB678" s="49">
        <v>0.874</v>
      </c>
      <c r="BC678" s="12">
        <v>88.7</v>
      </c>
      <c r="BD678" s="12">
        <v>91.8</v>
      </c>
      <c r="BE678" s="12">
        <v>100</v>
      </c>
      <c r="BF678" s="12">
        <v>91.8</v>
      </c>
      <c r="BG678" s="18" t="s">
        <v>1032</v>
      </c>
      <c r="BH678" s="18" t="s">
        <v>1033</v>
      </c>
    </row>
    <row r="679" spans="1:60" ht="15.75" customHeight="1" x14ac:dyDescent="0.2">
      <c r="A679" s="11">
        <v>682</v>
      </c>
      <c r="B679" s="12">
        <v>11844</v>
      </c>
      <c r="C679" s="13" t="s">
        <v>851</v>
      </c>
      <c r="D679" s="14" t="s">
        <v>38</v>
      </c>
      <c r="E679" s="23">
        <v>2001</v>
      </c>
      <c r="F679" s="23">
        <v>2005</v>
      </c>
      <c r="G679" s="13" t="s">
        <v>131</v>
      </c>
      <c r="H679" s="13"/>
      <c r="I679" s="13" t="s">
        <v>54</v>
      </c>
      <c r="J679" s="13" t="s">
        <v>227</v>
      </c>
      <c r="K679" s="14"/>
      <c r="L679" s="15">
        <v>38.200000000000003</v>
      </c>
      <c r="M679" s="16">
        <v>68.400000000000006</v>
      </c>
      <c r="N679" s="13" t="s">
        <v>42</v>
      </c>
      <c r="O679" s="14" t="s">
        <v>852</v>
      </c>
      <c r="P679" s="12">
        <f>IF(Q679="", 0, 1)</f>
        <v>1</v>
      </c>
      <c r="Q679" s="15">
        <v>819</v>
      </c>
      <c r="R679" s="17"/>
      <c r="S679" s="17"/>
      <c r="T679" s="17">
        <v>40</v>
      </c>
      <c r="U679" s="17">
        <v>28</v>
      </c>
      <c r="V679" s="17">
        <v>53</v>
      </c>
      <c r="W679" s="17"/>
      <c r="X679" s="17"/>
      <c r="Y679" s="17"/>
      <c r="Z679" s="17" t="str">
        <f>IF(T679="", "mean", "med")</f>
        <v>med</v>
      </c>
      <c r="AA679" s="17">
        <f>IF(T679="", R679, T679)</f>
        <v>40</v>
      </c>
      <c r="AB679" s="12">
        <f>IF(AC679="", 0, 1)</f>
        <v>0</v>
      </c>
      <c r="AC679" s="13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>
        <f>IF(AO679="", 0, 1)</f>
        <v>0</v>
      </c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 t="s">
        <v>52</v>
      </c>
      <c r="BA679" s="12" t="str">
        <f>IF(AZ679="high","high","lower")</f>
        <v>high</v>
      </c>
      <c r="BB679" s="49">
        <v>0.89</v>
      </c>
      <c r="BC679" s="12">
        <v>89.9</v>
      </c>
      <c r="BD679" s="12">
        <v>94</v>
      </c>
      <c r="BE679" s="12">
        <v>100</v>
      </c>
      <c r="BF679" s="12">
        <v>92.1</v>
      </c>
      <c r="BG679" s="18" t="s">
        <v>1030</v>
      </c>
      <c r="BH679" s="18" t="s">
        <v>1031</v>
      </c>
    </row>
    <row r="680" spans="1:60" ht="15.75" customHeight="1" x14ac:dyDescent="0.2">
      <c r="A680" s="11">
        <v>683</v>
      </c>
      <c r="B680" s="12">
        <v>11850</v>
      </c>
      <c r="C680" s="13" t="s">
        <v>853</v>
      </c>
      <c r="D680" s="13" t="s">
        <v>38</v>
      </c>
      <c r="E680" s="23">
        <v>2000</v>
      </c>
      <c r="F680" s="23">
        <v>2007</v>
      </c>
      <c r="G680" s="13" t="s">
        <v>312</v>
      </c>
      <c r="H680" s="13" t="s">
        <v>854</v>
      </c>
      <c r="I680" s="13" t="s">
        <v>59</v>
      </c>
      <c r="J680" s="13" t="s">
        <v>803</v>
      </c>
      <c r="K680" s="13" t="s">
        <v>804</v>
      </c>
      <c r="L680" s="15">
        <v>19.8</v>
      </c>
      <c r="M680" s="16">
        <v>71</v>
      </c>
      <c r="N680" s="13" t="s">
        <v>50</v>
      </c>
      <c r="O680" s="14" t="s">
        <v>855</v>
      </c>
      <c r="P680" s="12">
        <f>IF(Q680="", 0, 1)</f>
        <v>1</v>
      </c>
      <c r="Q680" s="15">
        <v>187</v>
      </c>
      <c r="R680" s="17"/>
      <c r="S680" s="17"/>
      <c r="T680" s="17">
        <v>45</v>
      </c>
      <c r="U680" s="17"/>
      <c r="V680" s="17"/>
      <c r="W680" s="55">
        <v>68</v>
      </c>
      <c r="X680" s="17">
        <v>3</v>
      </c>
      <c r="Y680" s="17">
        <v>137</v>
      </c>
      <c r="Z680" s="17" t="str">
        <f>IF(T680="", "mean", "med")</f>
        <v>med</v>
      </c>
      <c r="AA680" s="17">
        <f>IF(T680="", R680, T680)</f>
        <v>45</v>
      </c>
      <c r="AB680" s="12">
        <f>IF(AC680="", 0, 1)</f>
        <v>0</v>
      </c>
      <c r="AC680" s="13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>
        <f>IF(AO680="", 0, 1)</f>
        <v>0</v>
      </c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49" t="s">
        <v>52</v>
      </c>
      <c r="BA680" s="49" t="str">
        <f>IF(AZ680="high","high","lower")</f>
        <v>high</v>
      </c>
      <c r="BB680" s="49">
        <v>0.86799999999999999</v>
      </c>
      <c r="BC680" s="49"/>
      <c r="BD680" s="49"/>
      <c r="BE680" s="49"/>
      <c r="BF680" s="49"/>
      <c r="BG680" s="18" t="s">
        <v>1032</v>
      </c>
      <c r="BH680" s="18" t="s">
        <v>1033</v>
      </c>
    </row>
    <row r="681" spans="1:60" ht="15.75" customHeight="1" x14ac:dyDescent="0.2">
      <c r="A681" s="11">
        <v>684</v>
      </c>
      <c r="B681" s="12">
        <v>11852</v>
      </c>
      <c r="C681" s="13" t="s">
        <v>856</v>
      </c>
      <c r="D681" s="13" t="s">
        <v>38</v>
      </c>
      <c r="E681" s="23">
        <v>2005</v>
      </c>
      <c r="F681" s="23">
        <v>2008</v>
      </c>
      <c r="G681" s="13" t="s">
        <v>49</v>
      </c>
      <c r="H681" s="13"/>
      <c r="I681" s="13" t="s">
        <v>40</v>
      </c>
      <c r="J681" s="13" t="s">
        <v>40</v>
      </c>
      <c r="K681" s="13"/>
      <c r="L681" s="15">
        <v>100</v>
      </c>
      <c r="M681" s="16" t="s">
        <v>41</v>
      </c>
      <c r="N681" s="13" t="s">
        <v>42</v>
      </c>
      <c r="O681" s="14" t="s">
        <v>857</v>
      </c>
      <c r="P681" s="12">
        <f>IF(Q681="", 0, 1)</f>
        <v>1</v>
      </c>
      <c r="Q681" s="15">
        <v>1337</v>
      </c>
      <c r="R681" s="21">
        <v>43</v>
      </c>
      <c r="S681" s="17"/>
      <c r="T681" s="17"/>
      <c r="U681" s="17"/>
      <c r="V681" s="17"/>
      <c r="W681" s="17"/>
      <c r="X681" s="17"/>
      <c r="Y681" s="17"/>
      <c r="Z681" s="17" t="str">
        <f>IF(T681="", "mean", "med")</f>
        <v>mean</v>
      </c>
      <c r="AA681" s="17">
        <f>IF(T681="", R681, T681)</f>
        <v>43</v>
      </c>
      <c r="AB681" s="12">
        <f>IF(AC681="", 0, 1)</f>
        <v>0</v>
      </c>
      <c r="AC681" s="13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>
        <f>IF(AO681="", 0, 1)</f>
        <v>0</v>
      </c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 t="s">
        <v>52</v>
      </c>
      <c r="BA681" s="12" t="str">
        <f>IF(AZ681="high","high","lower")</f>
        <v>high</v>
      </c>
      <c r="BB681" s="49">
        <v>0.90500000000000003</v>
      </c>
      <c r="BC681" s="12">
        <v>84</v>
      </c>
      <c r="BD681" s="12">
        <v>88</v>
      </c>
      <c r="BE681" s="12">
        <v>100</v>
      </c>
      <c r="BF681" s="12">
        <v>84.2</v>
      </c>
      <c r="BG681" s="18" t="s">
        <v>1030</v>
      </c>
      <c r="BH681" s="18" t="s">
        <v>1031</v>
      </c>
    </row>
    <row r="682" spans="1:60" ht="15.75" customHeight="1" x14ac:dyDescent="0.2">
      <c r="A682" s="11">
        <v>685</v>
      </c>
      <c r="B682" s="12">
        <v>11872</v>
      </c>
      <c r="C682" s="13" t="s">
        <v>858</v>
      </c>
      <c r="D682" s="14" t="s">
        <v>859</v>
      </c>
      <c r="E682" s="23">
        <v>1991</v>
      </c>
      <c r="F682" s="23">
        <v>2000</v>
      </c>
      <c r="G682" s="13" t="s">
        <v>259</v>
      </c>
      <c r="H682" s="13"/>
      <c r="I682" s="13" t="s">
        <v>59</v>
      </c>
      <c r="J682" s="13" t="s">
        <v>82</v>
      </c>
      <c r="K682" s="14" t="s">
        <v>860</v>
      </c>
      <c r="L682" s="19" t="s">
        <v>41</v>
      </c>
      <c r="M682" s="16" t="s">
        <v>41</v>
      </c>
      <c r="N682" s="13" t="s">
        <v>42</v>
      </c>
      <c r="O682" s="13"/>
      <c r="P682" s="12">
        <f>IF(Q682="", 0, 1)</f>
        <v>0</v>
      </c>
      <c r="Q682" s="22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2">
        <f>IF(AC682="", 0, 1)</f>
        <v>0</v>
      </c>
      <c r="AC682" s="13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>
        <f>IF(AO682="", 0, 1)</f>
        <v>1</v>
      </c>
      <c r="AO682" s="12">
        <v>83</v>
      </c>
      <c r="AP682" s="12">
        <v>79.400000000000006</v>
      </c>
      <c r="AQ682" s="12">
        <v>155.80000000000001</v>
      </c>
      <c r="AR682" s="12">
        <v>30</v>
      </c>
      <c r="AS682" s="12">
        <v>10</v>
      </c>
      <c r="AT682" s="12">
        <v>60</v>
      </c>
      <c r="AU682" s="12"/>
      <c r="AV682" s="12"/>
      <c r="AW682" s="12"/>
      <c r="AX682" s="12" t="str">
        <f>IF(AR682="", "mean", "med")</f>
        <v>med</v>
      </c>
      <c r="AY682" s="12">
        <f>IF(AR682="", AP682, AR682)</f>
        <v>30</v>
      </c>
      <c r="AZ682" s="12" t="s">
        <v>52</v>
      </c>
      <c r="BA682" s="12" t="str">
        <f>IF(AZ682="high","high","lower")</f>
        <v>high</v>
      </c>
      <c r="BB682" s="49">
        <v>0.90800000000000003</v>
      </c>
      <c r="BC682" s="12">
        <v>83.2</v>
      </c>
      <c r="BD682" s="12">
        <v>83.1</v>
      </c>
      <c r="BE682" s="12">
        <v>100</v>
      </c>
      <c r="BF682" s="12">
        <v>96.6</v>
      </c>
      <c r="BG682" s="18" t="s">
        <v>1034</v>
      </c>
      <c r="BH682" s="18" t="s">
        <v>1031</v>
      </c>
    </row>
    <row r="683" spans="1:60" ht="15.75" customHeight="1" x14ac:dyDescent="0.2">
      <c r="A683" s="11">
        <v>686</v>
      </c>
      <c r="B683" s="22">
        <v>11872</v>
      </c>
      <c r="C683" s="13" t="s">
        <v>858</v>
      </c>
      <c r="D683" s="14" t="s">
        <v>382</v>
      </c>
      <c r="E683" s="23">
        <v>1991</v>
      </c>
      <c r="F683" s="23">
        <v>2000</v>
      </c>
      <c r="G683" s="13" t="s">
        <v>259</v>
      </c>
      <c r="H683" s="13"/>
      <c r="I683" s="13" t="s">
        <v>324</v>
      </c>
      <c r="J683" s="13" t="s">
        <v>382</v>
      </c>
      <c r="K683" s="13"/>
      <c r="L683" s="15" t="s">
        <v>41</v>
      </c>
      <c r="M683" s="16" t="s">
        <v>41</v>
      </c>
      <c r="N683" s="13" t="s">
        <v>42</v>
      </c>
      <c r="O683" s="13"/>
      <c r="P683" s="12">
        <f>IF(Q683="", 0, 1)</f>
        <v>0</v>
      </c>
      <c r="Q683" s="12"/>
      <c r="R683" s="21"/>
      <c r="S683" s="17"/>
      <c r="T683" s="17"/>
      <c r="U683" s="17"/>
      <c r="V683" s="17"/>
      <c r="W683" s="17"/>
      <c r="X683" s="17"/>
      <c r="Y683" s="17"/>
      <c r="Z683" s="17"/>
      <c r="AA683" s="17"/>
      <c r="AB683" s="12">
        <f>IF(AC683="", 0, 1)</f>
        <v>0</v>
      </c>
      <c r="AC683" s="13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>
        <f>IF(AO683="", 0, 1)</f>
        <v>1</v>
      </c>
      <c r="AO683" s="12">
        <v>67</v>
      </c>
      <c r="AP683" s="12">
        <v>34.200000000000003</v>
      </c>
      <c r="AQ683" s="12">
        <v>47.4</v>
      </c>
      <c r="AR683" s="12">
        <v>15</v>
      </c>
      <c r="AS683" s="12">
        <v>2</v>
      </c>
      <c r="AT683" s="12">
        <v>60</v>
      </c>
      <c r="AU683" s="12"/>
      <c r="AV683" s="12"/>
      <c r="AW683" s="12"/>
      <c r="AX683" s="12" t="str">
        <f>IF(AR683="", "mean", "med")</f>
        <v>med</v>
      </c>
      <c r="AY683" s="12">
        <f>IF(AR683="", AP683, AR683)</f>
        <v>15</v>
      </c>
      <c r="AZ683" s="12" t="s">
        <v>52</v>
      </c>
      <c r="BA683" s="12" t="str">
        <f>IF(AZ683="high","high","lower")</f>
        <v>high</v>
      </c>
      <c r="BB683" s="49">
        <v>0.90800000000000003</v>
      </c>
      <c r="BC683" s="12">
        <v>83.2</v>
      </c>
      <c r="BD683" s="12">
        <v>83.1</v>
      </c>
      <c r="BE683" s="12">
        <v>100</v>
      </c>
      <c r="BF683" s="12">
        <v>96.6</v>
      </c>
      <c r="BG683" s="18" t="s">
        <v>1034</v>
      </c>
      <c r="BH683" s="18" t="s">
        <v>1031</v>
      </c>
    </row>
    <row r="684" spans="1:60" ht="15.75" customHeight="1" x14ac:dyDescent="0.2">
      <c r="A684" s="11">
        <v>687</v>
      </c>
      <c r="B684" s="12">
        <v>11872</v>
      </c>
      <c r="C684" s="13" t="s">
        <v>858</v>
      </c>
      <c r="D684" s="14" t="s">
        <v>40</v>
      </c>
      <c r="E684" s="23">
        <v>1991</v>
      </c>
      <c r="F684" s="23">
        <v>2000</v>
      </c>
      <c r="G684" s="13" t="s">
        <v>259</v>
      </c>
      <c r="H684" s="13"/>
      <c r="I684" s="13" t="s">
        <v>40</v>
      </c>
      <c r="J684" s="13" t="s">
        <v>40</v>
      </c>
      <c r="K684" s="13"/>
      <c r="L684" s="15" t="s">
        <v>41</v>
      </c>
      <c r="M684" s="16" t="s">
        <v>41</v>
      </c>
      <c r="N684" s="13" t="s">
        <v>42</v>
      </c>
      <c r="O684" s="13"/>
      <c r="P684" s="12">
        <f>IF(Q684="", 0, 1)</f>
        <v>0</v>
      </c>
      <c r="Q684" s="12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2">
        <f>IF(AC684="", 0, 1)</f>
        <v>0</v>
      </c>
      <c r="AC684" s="13"/>
      <c r="AD684" s="12"/>
      <c r="AE684" s="12"/>
      <c r="AF684" s="12"/>
      <c r="AG684" s="12"/>
      <c r="AH684" s="22"/>
      <c r="AI684" s="12"/>
      <c r="AJ684" s="12"/>
      <c r="AK684" s="12"/>
      <c r="AL684" s="12"/>
      <c r="AM684" s="12"/>
      <c r="AN684" s="12">
        <f>IF(AO684="", 0, 1)</f>
        <v>1</v>
      </c>
      <c r="AO684" s="12">
        <v>338</v>
      </c>
      <c r="AP684" s="12">
        <v>145.30000000000001</v>
      </c>
      <c r="AQ684" s="12">
        <v>322.39999999999998</v>
      </c>
      <c r="AR684" s="12">
        <v>45</v>
      </c>
      <c r="AS684" s="12">
        <v>30</v>
      </c>
      <c r="AT684" s="12">
        <v>122</v>
      </c>
      <c r="AU684" s="12"/>
      <c r="AV684" s="12"/>
      <c r="AW684" s="12"/>
      <c r="AX684" s="12" t="str">
        <f>IF(AR684="", "mean", "med")</f>
        <v>med</v>
      </c>
      <c r="AY684" s="12">
        <f>IF(AR684="", AP684, AR684)</f>
        <v>45</v>
      </c>
      <c r="AZ684" s="12" t="s">
        <v>52</v>
      </c>
      <c r="BA684" s="12" t="str">
        <f>IF(AZ684="high","high","lower")</f>
        <v>high</v>
      </c>
      <c r="BB684" s="49">
        <v>0.90800000000000003</v>
      </c>
      <c r="BC684" s="12">
        <v>83.2</v>
      </c>
      <c r="BD684" s="12">
        <v>83.1</v>
      </c>
      <c r="BE684" s="12">
        <v>100</v>
      </c>
      <c r="BF684" s="12">
        <v>96.6</v>
      </c>
      <c r="BG684" s="18" t="s">
        <v>1034</v>
      </c>
      <c r="BH684" s="18" t="s">
        <v>1031</v>
      </c>
    </row>
    <row r="685" spans="1:60" ht="15.75" customHeight="1" x14ac:dyDescent="0.2">
      <c r="A685" s="11">
        <v>688</v>
      </c>
      <c r="B685" s="12">
        <v>11872</v>
      </c>
      <c r="C685" s="13" t="s">
        <v>858</v>
      </c>
      <c r="D685" s="13" t="s">
        <v>861</v>
      </c>
      <c r="E685" s="23">
        <v>1991</v>
      </c>
      <c r="F685" s="23">
        <v>2000</v>
      </c>
      <c r="G685" s="13" t="s">
        <v>259</v>
      </c>
      <c r="H685" s="13"/>
      <c r="I685" s="31" t="s">
        <v>104</v>
      </c>
      <c r="J685" s="13" t="s">
        <v>105</v>
      </c>
      <c r="K685" s="14"/>
      <c r="L685" s="15" t="s">
        <v>41</v>
      </c>
      <c r="M685" s="16" t="s">
        <v>41</v>
      </c>
      <c r="N685" s="13" t="s">
        <v>42</v>
      </c>
      <c r="O685" s="14"/>
      <c r="P685" s="12">
        <f>IF(Q685="", 0, 1)</f>
        <v>0</v>
      </c>
      <c r="Q685" s="12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2">
        <f>IF(AC685="", 0, 1)</f>
        <v>0</v>
      </c>
      <c r="AC685" s="13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>
        <f>IF(AO685="", 0, 1)</f>
        <v>1</v>
      </c>
      <c r="AO685" s="12">
        <v>201</v>
      </c>
      <c r="AP685" s="12">
        <v>83.3</v>
      </c>
      <c r="AQ685" s="12">
        <v>157.19999999999999</v>
      </c>
      <c r="AR685" s="12">
        <v>30</v>
      </c>
      <c r="AS685" s="12">
        <v>13</v>
      </c>
      <c r="AT685" s="12">
        <v>90</v>
      </c>
      <c r="AU685" s="12"/>
      <c r="AV685" s="12"/>
      <c r="AW685" s="12"/>
      <c r="AX685" s="12" t="str">
        <f>IF(AR685="", "mean", "med")</f>
        <v>med</v>
      </c>
      <c r="AY685" s="12">
        <f>IF(AR685="", AP685, AR685)</f>
        <v>30</v>
      </c>
      <c r="AZ685" s="12" t="s">
        <v>52</v>
      </c>
      <c r="BA685" s="12" t="str">
        <f>IF(AZ685="high","high","lower")</f>
        <v>high</v>
      </c>
      <c r="BB685" s="49">
        <v>0.90800000000000003</v>
      </c>
      <c r="BC685" s="12">
        <v>83.2</v>
      </c>
      <c r="BD685" s="12">
        <v>83.1</v>
      </c>
      <c r="BE685" s="12">
        <v>100</v>
      </c>
      <c r="BF685" s="12">
        <v>96.6</v>
      </c>
      <c r="BG685" s="18" t="s">
        <v>1034</v>
      </c>
      <c r="BH685" s="18" t="s">
        <v>1031</v>
      </c>
    </row>
    <row r="686" spans="1:60" ht="15.75" customHeight="1" x14ac:dyDescent="0.2">
      <c r="A686" s="11">
        <v>689</v>
      </c>
      <c r="B686" s="22">
        <v>11872</v>
      </c>
      <c r="C686" s="13" t="s">
        <v>858</v>
      </c>
      <c r="D686" s="14" t="s">
        <v>55</v>
      </c>
      <c r="E686" s="23">
        <v>1991</v>
      </c>
      <c r="F686" s="23">
        <v>2000</v>
      </c>
      <c r="G686" s="13" t="s">
        <v>259</v>
      </c>
      <c r="H686" s="13"/>
      <c r="I686" s="13" t="s">
        <v>54</v>
      </c>
      <c r="J686" s="13" t="s">
        <v>55</v>
      </c>
      <c r="K686" s="13"/>
      <c r="L686" s="15" t="s">
        <v>41</v>
      </c>
      <c r="M686" s="20" t="s">
        <v>41</v>
      </c>
      <c r="N686" s="13" t="s">
        <v>42</v>
      </c>
      <c r="O686" s="14"/>
      <c r="P686" s="12">
        <f>IF(Q686="", 0, 1)</f>
        <v>0</v>
      </c>
      <c r="Q686" s="12"/>
      <c r="R686" s="17"/>
      <c r="S686" s="17"/>
      <c r="T686" s="17"/>
      <c r="U686" s="21"/>
      <c r="V686" s="17"/>
      <c r="W686" s="17"/>
      <c r="X686" s="17"/>
      <c r="Y686" s="17"/>
      <c r="Z686" s="17"/>
      <c r="AA686" s="17"/>
      <c r="AB686" s="12">
        <f>IF(AC686="", 0, 1)</f>
        <v>0</v>
      </c>
      <c r="AC686" s="13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>
        <f>IF(AO686="", 0, 1)</f>
        <v>1</v>
      </c>
      <c r="AO686" s="12">
        <v>549</v>
      </c>
      <c r="AP686" s="12">
        <v>75.099999999999994</v>
      </c>
      <c r="AQ686" s="12">
        <v>193.8</v>
      </c>
      <c r="AR686" s="12">
        <v>30</v>
      </c>
      <c r="AS686" s="12">
        <v>7</v>
      </c>
      <c r="AT686" s="12">
        <v>66</v>
      </c>
      <c r="AU686" s="12"/>
      <c r="AV686" s="12"/>
      <c r="AW686" s="12"/>
      <c r="AX686" s="12" t="str">
        <f>IF(AR686="", "mean", "med")</f>
        <v>med</v>
      </c>
      <c r="AY686" s="12">
        <f>IF(AR686="", AP686, AR686)</f>
        <v>30</v>
      </c>
      <c r="AZ686" s="12" t="s">
        <v>52</v>
      </c>
      <c r="BA686" s="12" t="str">
        <f>IF(AZ686="high","high","lower")</f>
        <v>high</v>
      </c>
      <c r="BB686" s="49">
        <v>0.90800000000000003</v>
      </c>
      <c r="BC686" s="12">
        <v>83.2</v>
      </c>
      <c r="BD686" s="12">
        <v>83.1</v>
      </c>
      <c r="BE686" s="12">
        <v>100</v>
      </c>
      <c r="BF686" s="12">
        <v>96.6</v>
      </c>
      <c r="BG686" s="18" t="s">
        <v>1034</v>
      </c>
      <c r="BH686" s="18" t="s">
        <v>1031</v>
      </c>
    </row>
    <row r="687" spans="1:60" ht="15.75" customHeight="1" x14ac:dyDescent="0.2">
      <c r="A687" s="11">
        <v>690</v>
      </c>
      <c r="B687" s="22">
        <v>11872</v>
      </c>
      <c r="C687" s="13" t="s">
        <v>858</v>
      </c>
      <c r="D687" s="13" t="s">
        <v>862</v>
      </c>
      <c r="E687" s="23">
        <v>1991</v>
      </c>
      <c r="F687" s="23">
        <v>2000</v>
      </c>
      <c r="G687" s="13" t="s">
        <v>259</v>
      </c>
      <c r="H687" s="13"/>
      <c r="I687" s="31" t="s">
        <v>104</v>
      </c>
      <c r="J687" s="13" t="s">
        <v>298</v>
      </c>
      <c r="K687" s="13"/>
      <c r="L687" s="19" t="s">
        <v>41</v>
      </c>
      <c r="M687" s="16" t="s">
        <v>41</v>
      </c>
      <c r="N687" s="13" t="s">
        <v>42</v>
      </c>
      <c r="O687" s="14"/>
      <c r="P687" s="12">
        <f>IF(Q687="", 0, 1)</f>
        <v>0</v>
      </c>
      <c r="Q687" s="22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2">
        <f>IF(AC687="", 0, 1)</f>
        <v>0</v>
      </c>
      <c r="AC687" s="13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>
        <f>IF(AO687="", 0, 1)</f>
        <v>1</v>
      </c>
      <c r="AO687" s="12">
        <v>98</v>
      </c>
      <c r="AP687" s="12">
        <v>106.1</v>
      </c>
      <c r="AQ687" s="12">
        <v>220.1</v>
      </c>
      <c r="AR687" s="12">
        <v>43</v>
      </c>
      <c r="AS687" s="12">
        <v>20</v>
      </c>
      <c r="AT687" s="12">
        <v>90</v>
      </c>
      <c r="AU687" s="12"/>
      <c r="AV687" s="12"/>
      <c r="AW687" s="12"/>
      <c r="AX687" s="12" t="str">
        <f>IF(AR687="", "mean", "med")</f>
        <v>med</v>
      </c>
      <c r="AY687" s="12">
        <f>IF(AR687="", AP687, AR687)</f>
        <v>43</v>
      </c>
      <c r="AZ687" s="12" t="s">
        <v>52</v>
      </c>
      <c r="BA687" s="12" t="str">
        <f>IF(AZ687="high","high","lower")</f>
        <v>high</v>
      </c>
      <c r="BB687" s="49">
        <v>0.90800000000000003</v>
      </c>
      <c r="BC687" s="12">
        <v>83.2</v>
      </c>
      <c r="BD687" s="12">
        <v>83.1</v>
      </c>
      <c r="BE687" s="12">
        <v>100</v>
      </c>
      <c r="BF687" s="12">
        <v>96.6</v>
      </c>
      <c r="BG687" s="18" t="s">
        <v>1034</v>
      </c>
      <c r="BH687" s="18" t="s">
        <v>1031</v>
      </c>
    </row>
    <row r="688" spans="1:60" ht="15.75" customHeight="1" x14ac:dyDescent="0.2">
      <c r="A688" s="11">
        <v>691</v>
      </c>
      <c r="B688" s="12">
        <v>11872</v>
      </c>
      <c r="C688" s="13" t="s">
        <v>858</v>
      </c>
      <c r="D688" s="14" t="s">
        <v>223</v>
      </c>
      <c r="E688" s="23">
        <v>1991</v>
      </c>
      <c r="F688" s="23">
        <v>2000</v>
      </c>
      <c r="G688" s="13" t="s">
        <v>259</v>
      </c>
      <c r="H688" s="13"/>
      <c r="I688" s="13" t="s">
        <v>54</v>
      </c>
      <c r="J688" s="13" t="s">
        <v>229</v>
      </c>
      <c r="K688" s="14" t="s">
        <v>224</v>
      </c>
      <c r="L688" s="19" t="s">
        <v>41</v>
      </c>
      <c r="M688" s="20" t="s">
        <v>41</v>
      </c>
      <c r="N688" s="13" t="s">
        <v>42</v>
      </c>
      <c r="O688" s="13"/>
      <c r="P688" s="12">
        <f>IF(Q688="", 0, 1)</f>
        <v>0</v>
      </c>
      <c r="Q688" s="12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2">
        <f>IF(AC688="", 0, 1)</f>
        <v>0</v>
      </c>
      <c r="AC688" s="13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>
        <f>IF(AO688="", 0, 1)</f>
        <v>1</v>
      </c>
      <c r="AO688" s="22">
        <v>154</v>
      </c>
      <c r="AP688" s="12">
        <v>68.7</v>
      </c>
      <c r="AQ688" s="12">
        <v>113</v>
      </c>
      <c r="AR688" s="22">
        <v>30</v>
      </c>
      <c r="AS688" s="12">
        <v>10</v>
      </c>
      <c r="AT688" s="12">
        <v>90</v>
      </c>
      <c r="AU688" s="12"/>
      <c r="AV688" s="12"/>
      <c r="AW688" s="12"/>
      <c r="AX688" s="12" t="str">
        <f>IF(AR688="", "mean", "med")</f>
        <v>med</v>
      </c>
      <c r="AY688" s="12">
        <f>IF(AR688="", AP688, AR688)</f>
        <v>30</v>
      </c>
      <c r="AZ688" s="12" t="s">
        <v>52</v>
      </c>
      <c r="BA688" s="12" t="str">
        <f>IF(AZ688="high","high","lower")</f>
        <v>high</v>
      </c>
      <c r="BB688" s="49">
        <v>0.90800000000000003</v>
      </c>
      <c r="BC688" s="12">
        <v>83.2</v>
      </c>
      <c r="BD688" s="12">
        <v>83.1</v>
      </c>
      <c r="BE688" s="12">
        <v>100</v>
      </c>
      <c r="BF688" s="12">
        <v>96.6</v>
      </c>
      <c r="BG688" s="18" t="s">
        <v>1034</v>
      </c>
      <c r="BH688" s="18" t="s">
        <v>1031</v>
      </c>
    </row>
    <row r="689" spans="1:60" ht="15.75" customHeight="1" x14ac:dyDescent="0.2">
      <c r="A689" s="11">
        <v>692</v>
      </c>
      <c r="B689" s="22">
        <v>11872</v>
      </c>
      <c r="C689" s="13" t="s">
        <v>858</v>
      </c>
      <c r="D689" s="13" t="s">
        <v>387</v>
      </c>
      <c r="E689" s="23">
        <v>1991</v>
      </c>
      <c r="F689" s="23">
        <v>2000</v>
      </c>
      <c r="G689" s="13" t="s">
        <v>259</v>
      </c>
      <c r="H689" s="13"/>
      <c r="I689" s="13" t="s">
        <v>54</v>
      </c>
      <c r="J689" s="13" t="s">
        <v>226</v>
      </c>
      <c r="K689" s="13"/>
      <c r="L689" s="15" t="s">
        <v>41</v>
      </c>
      <c r="M689" s="16" t="s">
        <v>41</v>
      </c>
      <c r="N689" s="13" t="s">
        <v>42</v>
      </c>
      <c r="O689" s="14"/>
      <c r="P689" s="12">
        <f>IF(Q689="", 0, 1)</f>
        <v>0</v>
      </c>
      <c r="Q689" s="22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2">
        <f>IF(AC689="", 0, 1)</f>
        <v>0</v>
      </c>
      <c r="AC689" s="13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>
        <f>IF(AO689="", 0, 1)</f>
        <v>1</v>
      </c>
      <c r="AO689" s="12">
        <v>314</v>
      </c>
      <c r="AP689" s="12">
        <v>59</v>
      </c>
      <c r="AQ689" s="12">
        <v>80.599999999999994</v>
      </c>
      <c r="AR689" s="12">
        <v>30</v>
      </c>
      <c r="AS689" s="12">
        <v>11</v>
      </c>
      <c r="AT689" s="12">
        <v>63</v>
      </c>
      <c r="AU689" s="12"/>
      <c r="AV689" s="12"/>
      <c r="AW689" s="22"/>
      <c r="AX689" s="12" t="str">
        <f>IF(AR689="", "mean", "med")</f>
        <v>med</v>
      </c>
      <c r="AY689" s="12">
        <f>IF(AR689="", AP689, AR689)</f>
        <v>30</v>
      </c>
      <c r="AZ689" s="12" t="s">
        <v>52</v>
      </c>
      <c r="BA689" s="12" t="str">
        <f>IF(AZ689="high","high","lower")</f>
        <v>high</v>
      </c>
      <c r="BB689" s="49">
        <v>0.90800000000000003</v>
      </c>
      <c r="BC689" s="12">
        <v>83.2</v>
      </c>
      <c r="BD689" s="12">
        <v>83.1</v>
      </c>
      <c r="BE689" s="12">
        <v>100</v>
      </c>
      <c r="BF689" s="12">
        <v>96.6</v>
      </c>
      <c r="BG689" s="18" t="s">
        <v>1034</v>
      </c>
      <c r="BH689" s="18" t="s">
        <v>1031</v>
      </c>
    </row>
    <row r="690" spans="1:60" ht="15.75" customHeight="1" x14ac:dyDescent="0.2">
      <c r="A690" s="11">
        <v>693</v>
      </c>
      <c r="B690" s="12">
        <v>11872</v>
      </c>
      <c r="C690" s="13" t="s">
        <v>858</v>
      </c>
      <c r="D690" s="13" t="s">
        <v>79</v>
      </c>
      <c r="E690" s="23">
        <v>1991</v>
      </c>
      <c r="F690" s="23">
        <v>2000</v>
      </c>
      <c r="G690" s="13" t="s">
        <v>259</v>
      </c>
      <c r="H690" s="13"/>
      <c r="I690" s="13" t="s">
        <v>79</v>
      </c>
      <c r="J690" s="13" t="s">
        <v>79</v>
      </c>
      <c r="K690" s="14"/>
      <c r="L690" s="15" t="s">
        <v>41</v>
      </c>
      <c r="M690" s="20" t="s">
        <v>41</v>
      </c>
      <c r="N690" s="13" t="s">
        <v>42</v>
      </c>
      <c r="O690" s="13"/>
      <c r="P690" s="12">
        <f>IF(Q690="", 0, 1)</f>
        <v>0</v>
      </c>
      <c r="Q690" s="12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2">
        <f>IF(AC690="", 0, 1)</f>
        <v>0</v>
      </c>
      <c r="AC690" s="13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>
        <f>IF(AO690="", 0, 1)</f>
        <v>1</v>
      </c>
      <c r="AO690" s="12">
        <v>303</v>
      </c>
      <c r="AP690" s="12">
        <v>146.1</v>
      </c>
      <c r="AQ690" s="12">
        <v>268.7</v>
      </c>
      <c r="AR690" s="12">
        <v>60</v>
      </c>
      <c r="AS690" s="12">
        <v>30</v>
      </c>
      <c r="AT690" s="12">
        <v>150</v>
      </c>
      <c r="AU690" s="12"/>
      <c r="AV690" s="12"/>
      <c r="AW690" s="12"/>
      <c r="AX690" s="12" t="str">
        <f>IF(AR690="", "mean", "med")</f>
        <v>med</v>
      </c>
      <c r="AY690" s="12">
        <f>IF(AR690="", AP690, AR690)</f>
        <v>60</v>
      </c>
      <c r="AZ690" s="12" t="s">
        <v>52</v>
      </c>
      <c r="BA690" s="12" t="str">
        <f>IF(AZ690="high","high","lower")</f>
        <v>high</v>
      </c>
      <c r="BB690" s="49">
        <v>0.90800000000000003</v>
      </c>
      <c r="BC690" s="12">
        <v>83.2</v>
      </c>
      <c r="BD690" s="12">
        <v>83.1</v>
      </c>
      <c r="BE690" s="12">
        <v>100</v>
      </c>
      <c r="BF690" s="12">
        <v>96.6</v>
      </c>
      <c r="BG690" s="18" t="s">
        <v>1034</v>
      </c>
      <c r="BH690" s="18" t="s">
        <v>1031</v>
      </c>
    </row>
    <row r="691" spans="1:60" ht="15.75" customHeight="1" x14ac:dyDescent="0.2">
      <c r="A691" s="11">
        <v>694</v>
      </c>
      <c r="B691" s="12">
        <v>11872</v>
      </c>
      <c r="C691" s="13" t="s">
        <v>858</v>
      </c>
      <c r="D691" s="13" t="s">
        <v>209</v>
      </c>
      <c r="E691" s="23">
        <v>1991</v>
      </c>
      <c r="F691" s="23">
        <v>2000</v>
      </c>
      <c r="G691" s="13" t="s">
        <v>259</v>
      </c>
      <c r="H691" s="13"/>
      <c r="I691" s="13" t="s">
        <v>59</v>
      </c>
      <c r="J691" s="13" t="s">
        <v>320</v>
      </c>
      <c r="K691" s="13"/>
      <c r="L691" s="15" t="s">
        <v>41</v>
      </c>
      <c r="M691" s="16" t="s">
        <v>41</v>
      </c>
      <c r="N691" s="13" t="s">
        <v>42</v>
      </c>
      <c r="O691" s="14"/>
      <c r="P691" s="12">
        <f>IF(Q691="", 0, 1)</f>
        <v>0</v>
      </c>
      <c r="Q691" s="12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2">
        <f>IF(AC691="", 0, 1)</f>
        <v>0</v>
      </c>
      <c r="AC691" s="13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>
        <f>IF(AO691="", 0, 1)</f>
        <v>1</v>
      </c>
      <c r="AO691" s="12">
        <v>74</v>
      </c>
      <c r="AP691" s="12">
        <v>91.2</v>
      </c>
      <c r="AQ691" s="12">
        <v>284.7</v>
      </c>
      <c r="AR691" s="12">
        <v>30</v>
      </c>
      <c r="AS691" s="12">
        <v>8</v>
      </c>
      <c r="AT691" s="12">
        <v>60</v>
      </c>
      <c r="AU691" s="12"/>
      <c r="AV691" s="12"/>
      <c r="AW691" s="12"/>
      <c r="AX691" s="12" t="str">
        <f>IF(AR691="", "mean", "med")</f>
        <v>med</v>
      </c>
      <c r="AY691" s="12">
        <f>IF(AR691="", AP691, AR691)</f>
        <v>30</v>
      </c>
      <c r="AZ691" s="12" t="s">
        <v>52</v>
      </c>
      <c r="BA691" s="12" t="str">
        <f>IF(AZ691="high","high","lower")</f>
        <v>high</v>
      </c>
      <c r="BB691" s="49">
        <v>0.90800000000000003</v>
      </c>
      <c r="BC691" s="12">
        <v>83.2</v>
      </c>
      <c r="BD691" s="12">
        <v>83.1</v>
      </c>
      <c r="BE691" s="12">
        <v>100</v>
      </c>
      <c r="BF691" s="12">
        <v>96.6</v>
      </c>
      <c r="BG691" s="18" t="s">
        <v>1034</v>
      </c>
      <c r="BH691" s="18" t="s">
        <v>1031</v>
      </c>
    </row>
    <row r="692" spans="1:60" ht="15.75" customHeight="1" x14ac:dyDescent="0.2">
      <c r="A692" s="11">
        <v>695</v>
      </c>
      <c r="B692" s="12">
        <v>11872</v>
      </c>
      <c r="C692" s="13" t="s">
        <v>858</v>
      </c>
      <c r="D692" s="13" t="s">
        <v>863</v>
      </c>
      <c r="E692" s="23">
        <v>1991</v>
      </c>
      <c r="F692" s="23">
        <v>2000</v>
      </c>
      <c r="G692" s="13" t="s">
        <v>259</v>
      </c>
      <c r="H692" s="13"/>
      <c r="I692" s="13" t="s">
        <v>94</v>
      </c>
      <c r="J692" s="13" t="s">
        <v>299</v>
      </c>
      <c r="K692" s="14" t="s">
        <v>863</v>
      </c>
      <c r="L692" s="15" t="s">
        <v>41</v>
      </c>
      <c r="M692" s="16" t="s">
        <v>41</v>
      </c>
      <c r="N692" s="13" t="s">
        <v>42</v>
      </c>
      <c r="O692" s="13"/>
      <c r="P692" s="12">
        <f>IF(Q692="", 0, 1)</f>
        <v>0</v>
      </c>
      <c r="Q692" s="12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2">
        <f>IF(AC692="", 0, 1)</f>
        <v>0</v>
      </c>
      <c r="AC692" s="13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>
        <f>IF(AO692="", 0, 1)</f>
        <v>1</v>
      </c>
      <c r="AO692" s="12">
        <v>173</v>
      </c>
      <c r="AP692" s="12">
        <v>34.700000000000003</v>
      </c>
      <c r="AQ692" s="12">
        <v>61.9</v>
      </c>
      <c r="AR692" s="12">
        <v>13</v>
      </c>
      <c r="AS692" s="12">
        <v>2</v>
      </c>
      <c r="AT692" s="12">
        <v>30</v>
      </c>
      <c r="AU692" s="12"/>
      <c r="AV692" s="12"/>
      <c r="AW692" s="12"/>
      <c r="AX692" s="12" t="str">
        <f>IF(AR692="", "mean", "med")</f>
        <v>med</v>
      </c>
      <c r="AY692" s="12">
        <f>IF(AR692="", AP692, AR692)</f>
        <v>13</v>
      </c>
      <c r="AZ692" s="12" t="s">
        <v>52</v>
      </c>
      <c r="BA692" s="12" t="str">
        <f>IF(AZ692="high","high","lower")</f>
        <v>high</v>
      </c>
      <c r="BB692" s="49">
        <v>0.90800000000000003</v>
      </c>
      <c r="BC692" s="12">
        <v>83.2</v>
      </c>
      <c r="BD692" s="12">
        <v>83.1</v>
      </c>
      <c r="BE692" s="12">
        <v>100</v>
      </c>
      <c r="BF692" s="12">
        <v>96.6</v>
      </c>
      <c r="BG692" s="18" t="s">
        <v>1034</v>
      </c>
      <c r="BH692" s="18" t="s">
        <v>1031</v>
      </c>
    </row>
    <row r="693" spans="1:60" ht="15.75" customHeight="1" x14ac:dyDescent="0.2">
      <c r="A693" s="11">
        <v>696</v>
      </c>
      <c r="B693" s="22">
        <v>11872</v>
      </c>
      <c r="C693" s="13" t="s">
        <v>858</v>
      </c>
      <c r="D693" s="13" t="s">
        <v>58</v>
      </c>
      <c r="E693" s="23">
        <v>1991</v>
      </c>
      <c r="F693" s="23">
        <v>2000</v>
      </c>
      <c r="G693" s="13" t="s">
        <v>259</v>
      </c>
      <c r="H693" s="13"/>
      <c r="I693" s="13" t="s">
        <v>57</v>
      </c>
      <c r="J693" s="13" t="s">
        <v>58</v>
      </c>
      <c r="K693" s="13"/>
      <c r="L693" s="15" t="s">
        <v>41</v>
      </c>
      <c r="M693" s="16" t="s">
        <v>41</v>
      </c>
      <c r="N693" s="13" t="s">
        <v>42</v>
      </c>
      <c r="O693" s="13"/>
      <c r="P693" s="12">
        <f>IF(Q693="", 0, 1)</f>
        <v>0</v>
      </c>
      <c r="Q693" s="12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2">
        <f>IF(AC693="", 0, 1)</f>
        <v>0</v>
      </c>
      <c r="AC693" s="13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>
        <f>IF(AO693="", 0, 1)</f>
        <v>1</v>
      </c>
      <c r="AO693" s="12">
        <v>490</v>
      </c>
      <c r="AP693" s="12">
        <v>50.7</v>
      </c>
      <c r="AQ693" s="12">
        <v>125.2</v>
      </c>
      <c r="AR693" s="12">
        <v>30</v>
      </c>
      <c r="AS693" s="12">
        <v>6</v>
      </c>
      <c r="AT693" s="12">
        <v>60</v>
      </c>
      <c r="AU693" s="12"/>
      <c r="AV693" s="12"/>
      <c r="AW693" s="12"/>
      <c r="AX693" s="12" t="str">
        <f>IF(AR693="", "mean", "med")</f>
        <v>med</v>
      </c>
      <c r="AY693" s="12">
        <f>IF(AR693="", AP693, AR693)</f>
        <v>30</v>
      </c>
      <c r="AZ693" s="12" t="s">
        <v>52</v>
      </c>
      <c r="BA693" s="12" t="str">
        <f>IF(AZ693="high","high","lower")</f>
        <v>high</v>
      </c>
      <c r="BB693" s="49">
        <v>0.90800000000000003</v>
      </c>
      <c r="BC693" s="12">
        <v>83.2</v>
      </c>
      <c r="BD693" s="12">
        <v>83.1</v>
      </c>
      <c r="BE693" s="12">
        <v>100</v>
      </c>
      <c r="BF693" s="12">
        <v>96.6</v>
      </c>
      <c r="BG693" s="18" t="s">
        <v>1034</v>
      </c>
      <c r="BH693" s="18" t="s">
        <v>1031</v>
      </c>
    </row>
    <row r="694" spans="1:60" ht="15.75" customHeight="1" x14ac:dyDescent="0.2">
      <c r="A694" s="11">
        <v>697</v>
      </c>
      <c r="B694" s="22">
        <v>11872</v>
      </c>
      <c r="C694" s="13" t="s">
        <v>858</v>
      </c>
      <c r="D694" s="13" t="s">
        <v>95</v>
      </c>
      <c r="E694" s="23">
        <v>1991</v>
      </c>
      <c r="F694" s="23">
        <v>2000</v>
      </c>
      <c r="G694" s="13" t="s">
        <v>259</v>
      </c>
      <c r="H694" s="13"/>
      <c r="I694" s="13" t="s">
        <v>94</v>
      </c>
      <c r="J694" s="13" t="s">
        <v>95</v>
      </c>
      <c r="K694" s="13"/>
      <c r="L694" s="15" t="s">
        <v>41</v>
      </c>
      <c r="M694" s="20" t="s">
        <v>41</v>
      </c>
      <c r="N694" s="13" t="s">
        <v>42</v>
      </c>
      <c r="O694" s="14"/>
      <c r="P694" s="12">
        <f>IF(Q694="", 0, 1)</f>
        <v>0</v>
      </c>
      <c r="Q694" s="12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2">
        <f>IF(AC694="", 0, 1)</f>
        <v>0</v>
      </c>
      <c r="AC694" s="13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>
        <f>IF(AO694="", 0, 1)</f>
        <v>1</v>
      </c>
      <c r="AO694" s="12">
        <v>117</v>
      </c>
      <c r="AP694" s="12">
        <v>43.2</v>
      </c>
      <c r="AQ694" s="12">
        <v>58.7</v>
      </c>
      <c r="AR694" s="12">
        <v>30</v>
      </c>
      <c r="AS694" s="12">
        <v>14</v>
      </c>
      <c r="AT694" s="12">
        <v>60</v>
      </c>
      <c r="AU694" s="12"/>
      <c r="AV694" s="12"/>
      <c r="AW694" s="12"/>
      <c r="AX694" s="12" t="str">
        <f>IF(AR694="", "mean", "med")</f>
        <v>med</v>
      </c>
      <c r="AY694" s="12">
        <f>IF(AR694="", AP694, AR694)</f>
        <v>30</v>
      </c>
      <c r="AZ694" s="12" t="s">
        <v>52</v>
      </c>
      <c r="BA694" s="12" t="str">
        <f>IF(AZ694="high","high","lower")</f>
        <v>high</v>
      </c>
      <c r="BB694" s="49">
        <v>0.90800000000000003</v>
      </c>
      <c r="BC694" s="12">
        <v>83.2</v>
      </c>
      <c r="BD694" s="12">
        <v>83.1</v>
      </c>
      <c r="BE694" s="12">
        <v>100</v>
      </c>
      <c r="BF694" s="12">
        <v>96.6</v>
      </c>
      <c r="BG694" s="18" t="s">
        <v>1034</v>
      </c>
      <c r="BH694" s="18" t="s">
        <v>1031</v>
      </c>
    </row>
    <row r="695" spans="1:60" ht="15.75" customHeight="1" x14ac:dyDescent="0.2">
      <c r="A695" s="11">
        <v>698</v>
      </c>
      <c r="B695" s="22">
        <v>11872</v>
      </c>
      <c r="C695" s="13" t="s">
        <v>858</v>
      </c>
      <c r="D695" s="13" t="s">
        <v>255</v>
      </c>
      <c r="E695" s="23">
        <v>1991</v>
      </c>
      <c r="F695" s="23">
        <v>2000</v>
      </c>
      <c r="G695" s="13" t="s">
        <v>259</v>
      </c>
      <c r="H695" s="13"/>
      <c r="I695" s="13" t="s">
        <v>94</v>
      </c>
      <c r="J695" s="13" t="s">
        <v>255</v>
      </c>
      <c r="K695" s="13"/>
      <c r="L695" s="15" t="s">
        <v>41</v>
      </c>
      <c r="M695" s="16" t="s">
        <v>41</v>
      </c>
      <c r="N695" s="13" t="s">
        <v>42</v>
      </c>
      <c r="O695" s="13"/>
      <c r="P695" s="12">
        <f>IF(Q695="", 0, 1)</f>
        <v>0</v>
      </c>
      <c r="Q695" s="12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2">
        <f>IF(AC695="", 0, 1)</f>
        <v>0</v>
      </c>
      <c r="AC695" s="13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>
        <f>IF(AO695="", 0, 1)</f>
        <v>1</v>
      </c>
      <c r="AO695" s="12">
        <v>34</v>
      </c>
      <c r="AP695" s="12">
        <v>87.1</v>
      </c>
      <c r="AQ695" s="12">
        <v>192.4</v>
      </c>
      <c r="AR695" s="12">
        <v>24</v>
      </c>
      <c r="AS695" s="12">
        <v>2</v>
      </c>
      <c r="AT695" s="12">
        <v>90</v>
      </c>
      <c r="AU695" s="12"/>
      <c r="AV695" s="12"/>
      <c r="AW695" s="12"/>
      <c r="AX695" s="12" t="str">
        <f>IF(AR695="", "mean", "med")</f>
        <v>med</v>
      </c>
      <c r="AY695" s="12">
        <f>IF(AR695="", AP695, AR695)</f>
        <v>24</v>
      </c>
      <c r="AZ695" s="12" t="s">
        <v>52</v>
      </c>
      <c r="BA695" s="12" t="str">
        <f>IF(AZ695="high","high","lower")</f>
        <v>high</v>
      </c>
      <c r="BB695" s="49">
        <v>0.90800000000000003</v>
      </c>
      <c r="BC695" s="12">
        <v>83.2</v>
      </c>
      <c r="BD695" s="12">
        <v>83.1</v>
      </c>
      <c r="BE695" s="12">
        <v>100</v>
      </c>
      <c r="BF695" s="12">
        <v>96.6</v>
      </c>
      <c r="BG695" s="18" t="s">
        <v>1034</v>
      </c>
      <c r="BH695" s="18" t="s">
        <v>1031</v>
      </c>
    </row>
    <row r="696" spans="1:60" ht="15.75" customHeight="1" x14ac:dyDescent="0.2">
      <c r="A696" s="11">
        <v>699</v>
      </c>
      <c r="B696" s="12">
        <v>11872</v>
      </c>
      <c r="C696" s="13" t="s">
        <v>858</v>
      </c>
      <c r="D696" s="13" t="s">
        <v>864</v>
      </c>
      <c r="E696" s="23">
        <v>1991</v>
      </c>
      <c r="F696" s="23">
        <v>2000</v>
      </c>
      <c r="G696" s="13" t="s">
        <v>259</v>
      </c>
      <c r="H696" s="13"/>
      <c r="I696" s="31" t="s">
        <v>104</v>
      </c>
      <c r="J696" s="13" t="s">
        <v>206</v>
      </c>
      <c r="K696" s="13"/>
      <c r="L696" s="15" t="s">
        <v>41</v>
      </c>
      <c r="M696" s="20" t="s">
        <v>41</v>
      </c>
      <c r="N696" s="13" t="s">
        <v>42</v>
      </c>
      <c r="O696" s="13"/>
      <c r="P696" s="12">
        <f>IF(Q696="", 0, 1)</f>
        <v>0</v>
      </c>
      <c r="Q696" s="12"/>
      <c r="R696" s="17"/>
      <c r="S696" s="17"/>
      <c r="T696" s="17"/>
      <c r="U696" s="17"/>
      <c r="V696" s="17"/>
      <c r="W696" s="21"/>
      <c r="X696" s="17"/>
      <c r="Y696" s="17"/>
      <c r="Z696" s="17"/>
      <c r="AA696" s="17"/>
      <c r="AB696" s="12">
        <f>IF(AC696="", 0, 1)</f>
        <v>0</v>
      </c>
      <c r="AC696" s="13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>
        <f>IF(AO696="", 0, 1)</f>
        <v>1</v>
      </c>
      <c r="AO696" s="12">
        <v>58</v>
      </c>
      <c r="AP696" s="12">
        <v>38.5</v>
      </c>
      <c r="AQ696" s="12">
        <v>57.6</v>
      </c>
      <c r="AR696" s="12">
        <v>15</v>
      </c>
      <c r="AS696" s="12">
        <v>3</v>
      </c>
      <c r="AT696" s="12">
        <v>60</v>
      </c>
      <c r="AU696" s="12"/>
      <c r="AV696" s="12"/>
      <c r="AW696" s="12"/>
      <c r="AX696" s="12" t="str">
        <f>IF(AR696="", "mean", "med")</f>
        <v>med</v>
      </c>
      <c r="AY696" s="12">
        <f>IF(AR696="", AP696, AR696)</f>
        <v>15</v>
      </c>
      <c r="AZ696" s="12" t="s">
        <v>52</v>
      </c>
      <c r="BA696" s="12" t="str">
        <f>IF(AZ696="high","high","lower")</f>
        <v>high</v>
      </c>
      <c r="BB696" s="49">
        <v>0.90800000000000003</v>
      </c>
      <c r="BC696" s="12">
        <v>83.2</v>
      </c>
      <c r="BD696" s="12">
        <v>83.1</v>
      </c>
      <c r="BE696" s="12">
        <v>100</v>
      </c>
      <c r="BF696" s="12">
        <v>96.6</v>
      </c>
      <c r="BG696" s="18" t="s">
        <v>1034</v>
      </c>
      <c r="BH696" s="18" t="s">
        <v>1031</v>
      </c>
    </row>
    <row r="697" spans="1:60" ht="15.75" customHeight="1" x14ac:dyDescent="0.2">
      <c r="A697" s="11">
        <v>700</v>
      </c>
      <c r="B697" s="12">
        <v>11872</v>
      </c>
      <c r="C697" s="13" t="s">
        <v>858</v>
      </c>
      <c r="D697" s="14" t="s">
        <v>287</v>
      </c>
      <c r="E697" s="23">
        <v>1991</v>
      </c>
      <c r="F697" s="23">
        <v>2000</v>
      </c>
      <c r="G697" s="13" t="s">
        <v>259</v>
      </c>
      <c r="H697" s="13"/>
      <c r="I697" s="13" t="s">
        <v>54</v>
      </c>
      <c r="J697" s="13" t="s">
        <v>229</v>
      </c>
      <c r="K697" s="14" t="s">
        <v>288</v>
      </c>
      <c r="L697" s="19" t="s">
        <v>41</v>
      </c>
      <c r="M697" s="20" t="s">
        <v>41</v>
      </c>
      <c r="N697" s="13" t="s">
        <v>42</v>
      </c>
      <c r="O697" s="13"/>
      <c r="P697" s="12">
        <f>IF(Q697="", 0, 1)</f>
        <v>0</v>
      </c>
      <c r="Q697" s="12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2">
        <f>IF(AC697="", 0, 1)</f>
        <v>0</v>
      </c>
      <c r="AC697" s="13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>
        <f>IF(AO697="", 0, 1)</f>
        <v>1</v>
      </c>
      <c r="AO697" s="22">
        <v>57</v>
      </c>
      <c r="AP697" s="12">
        <v>42.7</v>
      </c>
      <c r="AQ697" s="12">
        <v>52.5</v>
      </c>
      <c r="AR697" s="22">
        <v>21</v>
      </c>
      <c r="AS697" s="12">
        <v>4</v>
      </c>
      <c r="AT697" s="12">
        <v>60</v>
      </c>
      <c r="AU697" s="12"/>
      <c r="AV697" s="12"/>
      <c r="AW697" s="12"/>
      <c r="AX697" s="12" t="str">
        <f>IF(AR697="", "mean", "med")</f>
        <v>med</v>
      </c>
      <c r="AY697" s="12">
        <f>IF(AR697="", AP697, AR697)</f>
        <v>21</v>
      </c>
      <c r="AZ697" s="12" t="s">
        <v>52</v>
      </c>
      <c r="BA697" s="12" t="str">
        <f>IF(AZ697="high","high","lower")</f>
        <v>high</v>
      </c>
      <c r="BB697" s="49">
        <v>0.90800000000000003</v>
      </c>
      <c r="BC697" s="12">
        <v>83.2</v>
      </c>
      <c r="BD697" s="12">
        <v>83.1</v>
      </c>
      <c r="BE697" s="12">
        <v>100</v>
      </c>
      <c r="BF697" s="12">
        <v>96.6</v>
      </c>
      <c r="BG697" s="18" t="s">
        <v>1034</v>
      </c>
      <c r="BH697" s="18" t="s">
        <v>1031</v>
      </c>
    </row>
    <row r="698" spans="1:60" ht="15.75" customHeight="1" x14ac:dyDescent="0.2">
      <c r="A698" s="11">
        <v>701</v>
      </c>
      <c r="B698" s="12">
        <v>11872</v>
      </c>
      <c r="C698" s="13" t="s">
        <v>858</v>
      </c>
      <c r="D698" s="13" t="s">
        <v>60</v>
      </c>
      <c r="E698" s="23">
        <v>1991</v>
      </c>
      <c r="F698" s="23">
        <v>2000</v>
      </c>
      <c r="G698" s="13" t="s">
        <v>259</v>
      </c>
      <c r="H698" s="13"/>
      <c r="I698" s="13" t="s">
        <v>59</v>
      </c>
      <c r="J698" s="13" t="s">
        <v>60</v>
      </c>
      <c r="K698" s="13"/>
      <c r="L698" s="19" t="s">
        <v>41</v>
      </c>
      <c r="M698" s="20" t="s">
        <v>41</v>
      </c>
      <c r="N698" s="13" t="s">
        <v>42</v>
      </c>
      <c r="O698" s="13"/>
      <c r="P698" s="12">
        <f>IF(Q698="", 0, 1)</f>
        <v>0</v>
      </c>
      <c r="Q698" s="22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2">
        <f>IF(AC698="", 0, 1)</f>
        <v>0</v>
      </c>
      <c r="AC698" s="13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>
        <f>IF(AO698="", 0, 1)</f>
        <v>1</v>
      </c>
      <c r="AO698" s="12">
        <v>76</v>
      </c>
      <c r="AP698" s="12">
        <v>84.3</v>
      </c>
      <c r="AQ698" s="12">
        <v>158.69999999999999</v>
      </c>
      <c r="AR698" s="12">
        <v>22</v>
      </c>
      <c r="AS698" s="12">
        <v>2</v>
      </c>
      <c r="AT698" s="12">
        <v>90</v>
      </c>
      <c r="AU698" s="12"/>
      <c r="AV698" s="12"/>
      <c r="AW698" s="22"/>
      <c r="AX698" s="12" t="str">
        <f>IF(AR698="", "mean", "med")</f>
        <v>med</v>
      </c>
      <c r="AY698" s="12">
        <f>IF(AR698="", AP698, AR698)</f>
        <v>22</v>
      </c>
      <c r="AZ698" s="12" t="s">
        <v>52</v>
      </c>
      <c r="BA698" s="12" t="str">
        <f>IF(AZ698="high","high","lower")</f>
        <v>high</v>
      </c>
      <c r="BB698" s="49">
        <v>0.90800000000000003</v>
      </c>
      <c r="BC698" s="12">
        <v>83.2</v>
      </c>
      <c r="BD698" s="12">
        <v>83.1</v>
      </c>
      <c r="BE698" s="12">
        <v>100</v>
      </c>
      <c r="BF698" s="12">
        <v>96.6</v>
      </c>
      <c r="BG698" s="18" t="s">
        <v>1034</v>
      </c>
      <c r="BH698" s="18" t="s">
        <v>1031</v>
      </c>
    </row>
    <row r="699" spans="1:60" ht="15.75" customHeight="1" x14ac:dyDescent="0.2">
      <c r="A699" s="11">
        <v>702</v>
      </c>
      <c r="B699" s="12">
        <v>11872</v>
      </c>
      <c r="C699" s="13" t="s">
        <v>858</v>
      </c>
      <c r="D699" s="13" t="s">
        <v>70</v>
      </c>
      <c r="E699" s="23">
        <v>1991</v>
      </c>
      <c r="F699" s="23">
        <v>2000</v>
      </c>
      <c r="G699" s="13" t="s">
        <v>259</v>
      </c>
      <c r="H699" s="13"/>
      <c r="I699" s="13" t="s">
        <v>70</v>
      </c>
      <c r="J699" s="13" t="s">
        <v>70</v>
      </c>
      <c r="K699" s="13"/>
      <c r="L699" s="15" t="s">
        <v>41</v>
      </c>
      <c r="M699" s="16" t="s">
        <v>41</v>
      </c>
      <c r="N699" s="13" t="s">
        <v>42</v>
      </c>
      <c r="O699" s="13"/>
      <c r="P699" s="12">
        <f>IF(Q699="", 0, 1)</f>
        <v>0</v>
      </c>
      <c r="Q699" s="12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2">
        <f>IF(AC699="", 0, 1)</f>
        <v>0</v>
      </c>
      <c r="AC699" s="13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>
        <f>IF(AO699="", 0, 1)</f>
        <v>1</v>
      </c>
      <c r="AO699" s="12">
        <v>123</v>
      </c>
      <c r="AP699" s="12">
        <v>318.39999999999998</v>
      </c>
      <c r="AQ699" s="12">
        <v>453.5</v>
      </c>
      <c r="AR699" s="12">
        <v>90</v>
      </c>
      <c r="AS699" s="12">
        <v>30</v>
      </c>
      <c r="AT699" s="12">
        <v>365</v>
      </c>
      <c r="AU699" s="12"/>
      <c r="AV699" s="12"/>
      <c r="AW699" s="12"/>
      <c r="AX699" s="12" t="str">
        <f>IF(AR699="", "mean", "med")</f>
        <v>med</v>
      </c>
      <c r="AY699" s="12">
        <f>IF(AR699="", AP699, AR699)</f>
        <v>90</v>
      </c>
      <c r="AZ699" s="12" t="s">
        <v>52</v>
      </c>
      <c r="BA699" s="12" t="str">
        <f>IF(AZ699="high","high","lower")</f>
        <v>high</v>
      </c>
      <c r="BB699" s="49">
        <v>0.90800000000000003</v>
      </c>
      <c r="BC699" s="12">
        <v>83.2</v>
      </c>
      <c r="BD699" s="12">
        <v>83.1</v>
      </c>
      <c r="BE699" s="12">
        <v>100</v>
      </c>
      <c r="BF699" s="12">
        <v>96.6</v>
      </c>
      <c r="BG699" s="18" t="s">
        <v>1034</v>
      </c>
      <c r="BH699" s="18" t="s">
        <v>1031</v>
      </c>
    </row>
    <row r="700" spans="1:60" ht="15.75" customHeight="1" x14ac:dyDescent="0.2">
      <c r="A700" s="11">
        <v>703</v>
      </c>
      <c r="B700" s="12">
        <v>11872</v>
      </c>
      <c r="C700" s="13" t="s">
        <v>858</v>
      </c>
      <c r="D700" s="14" t="s">
        <v>364</v>
      </c>
      <c r="E700" s="23">
        <v>1991</v>
      </c>
      <c r="F700" s="23">
        <v>2000</v>
      </c>
      <c r="G700" s="13" t="s">
        <v>259</v>
      </c>
      <c r="H700" s="13"/>
      <c r="I700" s="13" t="s">
        <v>599</v>
      </c>
      <c r="J700" s="13" t="s">
        <v>364</v>
      </c>
      <c r="K700" s="14"/>
      <c r="L700" s="19" t="s">
        <v>41</v>
      </c>
      <c r="M700" s="20" t="s">
        <v>41</v>
      </c>
      <c r="N700" s="13" t="s">
        <v>42</v>
      </c>
      <c r="O700" s="13"/>
      <c r="P700" s="12">
        <f>IF(Q700="", 0, 1)</f>
        <v>0</v>
      </c>
      <c r="Q700" s="12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2">
        <f>IF(AC700="", 0, 1)</f>
        <v>0</v>
      </c>
      <c r="AC700" s="13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>
        <f>IF(AO700="", 0, 1)</f>
        <v>1</v>
      </c>
      <c r="AO700" s="22">
        <v>99</v>
      </c>
      <c r="AP700" s="12">
        <v>193.4</v>
      </c>
      <c r="AQ700" s="12">
        <v>424.5</v>
      </c>
      <c r="AR700" s="22">
        <v>60</v>
      </c>
      <c r="AS700" s="12">
        <v>30</v>
      </c>
      <c r="AT700" s="12">
        <v>180</v>
      </c>
      <c r="AU700" s="12"/>
      <c r="AV700" s="12"/>
      <c r="AW700" s="12"/>
      <c r="AX700" s="12" t="str">
        <f>IF(AR700="", "mean", "med")</f>
        <v>med</v>
      </c>
      <c r="AY700" s="12">
        <f>IF(AR700="", AP700, AR700)</f>
        <v>60</v>
      </c>
      <c r="AZ700" s="12" t="s">
        <v>52</v>
      </c>
      <c r="BA700" s="12" t="str">
        <f>IF(AZ700="high","high","lower")</f>
        <v>high</v>
      </c>
      <c r="BB700" s="49">
        <v>0.90800000000000003</v>
      </c>
      <c r="BC700" s="12">
        <v>83.2</v>
      </c>
      <c r="BD700" s="12">
        <v>83.1</v>
      </c>
      <c r="BE700" s="12">
        <v>100</v>
      </c>
      <c r="BF700" s="12">
        <v>96.6</v>
      </c>
      <c r="BG700" s="18" t="s">
        <v>1034</v>
      </c>
      <c r="BH700" s="18" t="s">
        <v>1031</v>
      </c>
    </row>
    <row r="701" spans="1:60" ht="15.75" customHeight="1" x14ac:dyDescent="0.2">
      <c r="A701" s="11">
        <v>704</v>
      </c>
      <c r="B701" s="12">
        <v>11872</v>
      </c>
      <c r="C701" s="13" t="s">
        <v>858</v>
      </c>
      <c r="D701" s="14" t="s">
        <v>865</v>
      </c>
      <c r="E701" s="23">
        <v>1991</v>
      </c>
      <c r="F701" s="23">
        <v>2000</v>
      </c>
      <c r="G701" s="13" t="s">
        <v>259</v>
      </c>
      <c r="H701" s="13"/>
      <c r="I701" s="13" t="s">
        <v>54</v>
      </c>
      <c r="J701" s="13" t="s">
        <v>229</v>
      </c>
      <c r="K701" s="14" t="s">
        <v>865</v>
      </c>
      <c r="L701" s="19" t="s">
        <v>41</v>
      </c>
      <c r="M701" s="20" t="s">
        <v>41</v>
      </c>
      <c r="N701" s="13" t="s">
        <v>42</v>
      </c>
      <c r="O701" s="13"/>
      <c r="P701" s="12">
        <f>IF(Q701="", 0, 1)</f>
        <v>0</v>
      </c>
      <c r="Q701" s="12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2">
        <f>IF(AC701="", 0, 1)</f>
        <v>0</v>
      </c>
      <c r="AC701" s="13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>
        <f>IF(AO701="", 0, 1)</f>
        <v>1</v>
      </c>
      <c r="AO701" s="22">
        <v>251</v>
      </c>
      <c r="AP701" s="12">
        <v>39.799999999999997</v>
      </c>
      <c r="AQ701" s="12">
        <v>76.400000000000006</v>
      </c>
      <c r="AR701" s="22">
        <v>15</v>
      </c>
      <c r="AS701" s="12">
        <v>1</v>
      </c>
      <c r="AT701" s="12">
        <v>40</v>
      </c>
      <c r="AU701" s="12"/>
      <c r="AV701" s="12"/>
      <c r="AW701" s="12"/>
      <c r="AX701" s="12" t="str">
        <f>IF(AR701="", "mean", "med")</f>
        <v>med</v>
      </c>
      <c r="AY701" s="12">
        <f>IF(AR701="", AP701, AR701)</f>
        <v>15</v>
      </c>
      <c r="AZ701" s="12" t="s">
        <v>52</v>
      </c>
      <c r="BA701" s="12" t="str">
        <f>IF(AZ701="high","high","lower")</f>
        <v>high</v>
      </c>
      <c r="BB701" s="49">
        <v>0.90800000000000003</v>
      </c>
      <c r="BC701" s="12">
        <v>83.2</v>
      </c>
      <c r="BD701" s="12">
        <v>83.1</v>
      </c>
      <c r="BE701" s="12">
        <v>100</v>
      </c>
      <c r="BF701" s="12">
        <v>96.6</v>
      </c>
      <c r="BG701" s="18" t="s">
        <v>1034</v>
      </c>
      <c r="BH701" s="18" t="s">
        <v>1031</v>
      </c>
    </row>
    <row r="702" spans="1:60" ht="15.75" customHeight="1" x14ac:dyDescent="0.2">
      <c r="A702" s="11">
        <v>705</v>
      </c>
      <c r="B702" s="22">
        <v>11873</v>
      </c>
      <c r="C702" s="13" t="s">
        <v>681</v>
      </c>
      <c r="D702" s="14" t="s">
        <v>38</v>
      </c>
      <c r="E702" s="23">
        <v>2004</v>
      </c>
      <c r="F702" s="23">
        <v>2006</v>
      </c>
      <c r="G702" s="13" t="s">
        <v>77</v>
      </c>
      <c r="H702" s="13"/>
      <c r="I702" s="13" t="s">
        <v>57</v>
      </c>
      <c r="J702" s="13" t="s">
        <v>58</v>
      </c>
      <c r="K702" s="14"/>
      <c r="L702" s="19">
        <v>42</v>
      </c>
      <c r="M702" s="16">
        <v>68</v>
      </c>
      <c r="N702" s="13" t="s">
        <v>50</v>
      </c>
      <c r="O702" s="14"/>
      <c r="P702" s="12">
        <f>IF(Q702="", 0, 1)</f>
        <v>0</v>
      </c>
      <c r="Q702" s="22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2">
        <f>IF(AC702="", 0, 1)</f>
        <v>0</v>
      </c>
      <c r="AC702" s="13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>
        <f>IF(AO702="", 0, 1)</f>
        <v>1</v>
      </c>
      <c r="AO702" s="12">
        <v>360</v>
      </c>
      <c r="AP702" s="12"/>
      <c r="AQ702" s="12"/>
      <c r="AR702" s="12">
        <v>21</v>
      </c>
      <c r="AS702" s="12">
        <v>7</v>
      </c>
      <c r="AT702" s="12">
        <v>56</v>
      </c>
      <c r="AU702" s="12"/>
      <c r="AV702" s="12"/>
      <c r="AW702" s="12"/>
      <c r="AX702" s="12" t="str">
        <f>IF(AR702="", "mean", "med")</f>
        <v>med</v>
      </c>
      <c r="AY702" s="12">
        <f>IF(AR702="", AP702, AR702)</f>
        <v>21</v>
      </c>
      <c r="AZ702" s="12" t="s">
        <v>52</v>
      </c>
      <c r="BA702" s="12" t="str">
        <f>IF(AZ702="high","high","lower")</f>
        <v>high</v>
      </c>
      <c r="BB702" s="49">
        <v>0.89500000000000002</v>
      </c>
      <c r="BC702" s="12">
        <v>85.3</v>
      </c>
      <c r="BD702" s="12">
        <v>96.3</v>
      </c>
      <c r="BE702" s="12">
        <v>91.7</v>
      </c>
      <c r="BF702" s="12">
        <v>80</v>
      </c>
      <c r="BG702" s="18" t="s">
        <v>1030</v>
      </c>
      <c r="BH702" s="18" t="s">
        <v>1031</v>
      </c>
    </row>
    <row r="703" spans="1:60" ht="15.75" customHeight="1" x14ac:dyDescent="0.2">
      <c r="A703" s="11">
        <v>706</v>
      </c>
      <c r="B703" s="12">
        <v>11883</v>
      </c>
      <c r="C703" s="13" t="s">
        <v>866</v>
      </c>
      <c r="D703" s="14" t="s">
        <v>591</v>
      </c>
      <c r="E703" s="23">
        <v>2007</v>
      </c>
      <c r="F703" s="23">
        <v>2009</v>
      </c>
      <c r="G703" s="13" t="s">
        <v>49</v>
      </c>
      <c r="H703" s="13"/>
      <c r="I703" s="13" t="s">
        <v>59</v>
      </c>
      <c r="J703" s="13" t="s">
        <v>82</v>
      </c>
      <c r="K703" s="13"/>
      <c r="L703" s="15">
        <v>0</v>
      </c>
      <c r="M703" s="45">
        <v>76.599999999999994</v>
      </c>
      <c r="N703" s="13" t="s">
        <v>99</v>
      </c>
      <c r="O703" s="14"/>
      <c r="P703" s="12">
        <f>IF(Q703="", 0, 1)</f>
        <v>0</v>
      </c>
      <c r="Q703" s="12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2">
        <f>IF(AC703="", 0, 1)</f>
        <v>1</v>
      </c>
      <c r="AC703" s="13">
        <v>9326</v>
      </c>
      <c r="AD703" s="12">
        <v>58.9</v>
      </c>
      <c r="AE703" s="12"/>
      <c r="AF703" s="12"/>
      <c r="AG703" s="12"/>
      <c r="AH703" s="12"/>
      <c r="AI703" s="12"/>
      <c r="AJ703" s="12"/>
      <c r="AK703" s="12"/>
      <c r="AL703" s="12" t="str">
        <f>IF(AF703="", "mean", "med")</f>
        <v>mean</v>
      </c>
      <c r="AM703" s="12">
        <f>IF(AF703="", AD703, AF703)</f>
        <v>58.9</v>
      </c>
      <c r="AN703" s="12">
        <f>IF(AO703="", 0, 1)</f>
        <v>0</v>
      </c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 t="s">
        <v>52</v>
      </c>
      <c r="BA703" s="12" t="str">
        <f>IF(AZ703="high","high","lower")</f>
        <v>high</v>
      </c>
      <c r="BB703" s="49">
        <v>0.91</v>
      </c>
      <c r="BC703" s="12">
        <v>84</v>
      </c>
      <c r="BD703" s="12">
        <v>88</v>
      </c>
      <c r="BE703" s="12">
        <v>100</v>
      </c>
      <c r="BF703" s="12">
        <v>84.2</v>
      </c>
      <c r="BG703" s="18" t="s">
        <v>1030</v>
      </c>
      <c r="BH703" s="18" t="s">
        <v>1031</v>
      </c>
    </row>
    <row r="704" spans="1:60" ht="15.75" customHeight="1" x14ac:dyDescent="0.2">
      <c r="A704" s="11">
        <v>707</v>
      </c>
      <c r="B704" s="12">
        <v>11883</v>
      </c>
      <c r="C704" s="13" t="s">
        <v>866</v>
      </c>
      <c r="D704" s="14" t="s">
        <v>590</v>
      </c>
      <c r="E704" s="23">
        <v>2007</v>
      </c>
      <c r="F704" s="23">
        <v>2009</v>
      </c>
      <c r="G704" s="13" t="s">
        <v>49</v>
      </c>
      <c r="H704" s="13"/>
      <c r="I704" s="13" t="s">
        <v>59</v>
      </c>
      <c r="J704" s="13" t="s">
        <v>82</v>
      </c>
      <c r="K704" s="13"/>
      <c r="L704" s="19">
        <v>100</v>
      </c>
      <c r="M704" s="45">
        <v>78.2</v>
      </c>
      <c r="N704" s="13" t="s">
        <v>99</v>
      </c>
      <c r="O704" s="14"/>
      <c r="P704" s="12">
        <f>IF(Q704="", 0, 1)</f>
        <v>0</v>
      </c>
      <c r="Q704" s="12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2">
        <f>IF(AC704="", 0, 1)</f>
        <v>1</v>
      </c>
      <c r="AC704" s="13">
        <v>2869</v>
      </c>
      <c r="AD704" s="12">
        <v>72.2</v>
      </c>
      <c r="AE704" s="12"/>
      <c r="AF704" s="12"/>
      <c r="AG704" s="12"/>
      <c r="AH704" s="12"/>
      <c r="AI704" s="12"/>
      <c r="AJ704" s="12"/>
      <c r="AK704" s="12"/>
      <c r="AL704" s="12" t="str">
        <f>IF(AF704="", "mean", "med")</f>
        <v>mean</v>
      </c>
      <c r="AM704" s="12">
        <f>IF(AF704="", AD704, AF704)</f>
        <v>72.2</v>
      </c>
      <c r="AN704" s="12">
        <f>IF(AO704="", 0, 1)</f>
        <v>0</v>
      </c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 t="s">
        <v>52</v>
      </c>
      <c r="BA704" s="12" t="str">
        <f>IF(AZ704="high","high","lower")</f>
        <v>high</v>
      </c>
      <c r="BB704" s="49">
        <v>0.91</v>
      </c>
      <c r="BC704" s="12">
        <v>84</v>
      </c>
      <c r="BD704" s="12">
        <v>88</v>
      </c>
      <c r="BE704" s="12">
        <v>100</v>
      </c>
      <c r="BF704" s="12">
        <v>84.2</v>
      </c>
      <c r="BG704" s="18" t="s">
        <v>1030</v>
      </c>
      <c r="BH704" s="18" t="s">
        <v>1031</v>
      </c>
    </row>
    <row r="705" spans="1:60" ht="15.75" customHeight="1" x14ac:dyDescent="0.2">
      <c r="A705" s="11">
        <v>708</v>
      </c>
      <c r="B705" s="12">
        <v>12211</v>
      </c>
      <c r="C705" s="13" t="s">
        <v>867</v>
      </c>
      <c r="D705" s="13" t="s">
        <v>38</v>
      </c>
      <c r="E705" s="13">
        <v>2020</v>
      </c>
      <c r="F705" s="13">
        <v>2020</v>
      </c>
      <c r="G705" s="13" t="s">
        <v>312</v>
      </c>
      <c r="H705" s="13" t="s">
        <v>868</v>
      </c>
      <c r="I705" s="13" t="s">
        <v>94</v>
      </c>
      <c r="J705" s="13" t="s">
        <v>95</v>
      </c>
      <c r="K705" s="13" t="s">
        <v>869</v>
      </c>
      <c r="L705" s="15" t="s">
        <v>41</v>
      </c>
      <c r="M705" s="26">
        <v>60</v>
      </c>
      <c r="N705" s="13" t="s">
        <v>42</v>
      </c>
      <c r="O705" s="14" t="s">
        <v>870</v>
      </c>
      <c r="P705" s="12">
        <f>IF(Q705="", 0, 1)</f>
        <v>1</v>
      </c>
      <c r="Q705" s="12">
        <v>267</v>
      </c>
      <c r="R705" s="17">
        <v>21</v>
      </c>
      <c r="S705" s="17"/>
      <c r="T705" s="17"/>
      <c r="U705" s="17"/>
      <c r="V705" s="17"/>
      <c r="W705" s="17"/>
      <c r="X705" s="17">
        <v>0</v>
      </c>
      <c r="Y705" s="17">
        <v>154</v>
      </c>
      <c r="Z705" s="17" t="str">
        <f>IF(T705="", "mean", "med")</f>
        <v>mean</v>
      </c>
      <c r="AA705" s="17">
        <f>IF(T705="", R705, T705)</f>
        <v>21</v>
      </c>
      <c r="AB705" s="12">
        <f>IF(AC705="", 0, 1)</f>
        <v>0</v>
      </c>
      <c r="AC705" s="13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>
        <v>0</v>
      </c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 t="s">
        <v>52</v>
      </c>
      <c r="BA705" s="12" t="str">
        <f>IF(AZ705="high","high","lower")</f>
        <v>high</v>
      </c>
      <c r="BB705" s="47"/>
      <c r="BC705" s="12">
        <v>85</v>
      </c>
      <c r="BD705" s="12">
        <v>89.9</v>
      </c>
      <c r="BE705" s="12">
        <v>92.7</v>
      </c>
      <c r="BF705" s="12">
        <v>86.9</v>
      </c>
      <c r="BG705" s="18" t="s">
        <v>1030</v>
      </c>
      <c r="BH705" s="18" t="s">
        <v>1031</v>
      </c>
    </row>
    <row r="706" spans="1:60" ht="15.75" customHeight="1" x14ac:dyDescent="0.2">
      <c r="A706" s="11">
        <v>709</v>
      </c>
      <c r="B706" s="22">
        <v>12427</v>
      </c>
      <c r="C706" s="13" t="s">
        <v>871</v>
      </c>
      <c r="D706" s="13" t="s">
        <v>38</v>
      </c>
      <c r="E706" s="13">
        <v>2005</v>
      </c>
      <c r="F706" s="13">
        <v>2015</v>
      </c>
      <c r="G706" s="13" t="s">
        <v>815</v>
      </c>
      <c r="H706" s="13"/>
      <c r="I706" s="13" t="s">
        <v>79</v>
      </c>
      <c r="J706" s="31" t="s">
        <v>236</v>
      </c>
      <c r="K706" s="13"/>
      <c r="L706" s="15">
        <f>27/63*100</f>
        <v>42.857142857142854</v>
      </c>
      <c r="M706" s="26">
        <v>61</v>
      </c>
      <c r="N706" s="13" t="s">
        <v>42</v>
      </c>
      <c r="O706" s="14" t="s">
        <v>41</v>
      </c>
      <c r="P706" s="12">
        <f>IF(Q706="", 0, 1)</f>
        <v>1</v>
      </c>
      <c r="Q706" s="12">
        <v>17</v>
      </c>
      <c r="R706" s="17">
        <v>82.35</v>
      </c>
      <c r="S706" s="17">
        <v>196.53</v>
      </c>
      <c r="T706" s="17"/>
      <c r="U706" s="17"/>
      <c r="V706" s="17"/>
      <c r="W706" s="17"/>
      <c r="X706" s="17">
        <v>1</v>
      </c>
      <c r="Y706" s="17">
        <v>781</v>
      </c>
      <c r="Z706" s="17" t="str">
        <f>IF(T706="", "mean", "med")</f>
        <v>mean</v>
      </c>
      <c r="AA706" s="17">
        <f>IF(T706="", R706, T706)</f>
        <v>82.35</v>
      </c>
      <c r="AB706" s="12">
        <f>IF(AC706="", 0, 1)</f>
        <v>0</v>
      </c>
      <c r="AC706" s="13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>
        <v>0</v>
      </c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 t="s">
        <v>52</v>
      </c>
      <c r="BA706" s="12" t="str">
        <f>IF(AZ706="high","high","lower")</f>
        <v>high</v>
      </c>
      <c r="BB706" s="47">
        <v>0.81299999999999994</v>
      </c>
      <c r="BC706" s="12">
        <v>53</v>
      </c>
      <c r="BD706" s="12">
        <v>62.6</v>
      </c>
      <c r="BE706" s="12">
        <v>91.7</v>
      </c>
      <c r="BF706" s="12">
        <v>54</v>
      </c>
      <c r="BG706" s="18" t="s">
        <v>1032</v>
      </c>
      <c r="BH706" s="18" t="s">
        <v>1033</v>
      </c>
    </row>
    <row r="707" spans="1:60" ht="15.75" customHeight="1" x14ac:dyDescent="0.2">
      <c r="A707" s="11">
        <v>710</v>
      </c>
      <c r="B707" s="12">
        <v>12183</v>
      </c>
      <c r="C707" s="13" t="s">
        <v>872</v>
      </c>
      <c r="D707" s="14" t="s">
        <v>38</v>
      </c>
      <c r="E707" s="13">
        <v>2005</v>
      </c>
      <c r="F707" s="13">
        <v>2015</v>
      </c>
      <c r="G707" s="13" t="s">
        <v>134</v>
      </c>
      <c r="H707" s="13"/>
      <c r="I707" s="13" t="s">
        <v>94</v>
      </c>
      <c r="J707" s="13" t="s">
        <v>95</v>
      </c>
      <c r="K707" s="13" t="s">
        <v>485</v>
      </c>
      <c r="L707" s="15">
        <v>46.4</v>
      </c>
      <c r="M707" s="26">
        <v>66</v>
      </c>
      <c r="N707" s="13" t="s">
        <v>42</v>
      </c>
      <c r="O707" s="13" t="s">
        <v>873</v>
      </c>
      <c r="P707" s="12">
        <f>IF(Q707="", 0, 1)</f>
        <v>1</v>
      </c>
      <c r="Q707" s="12">
        <v>9441</v>
      </c>
      <c r="R707" s="17"/>
      <c r="S707" s="17"/>
      <c r="T707" s="17">
        <v>37</v>
      </c>
      <c r="U707" s="17">
        <v>22</v>
      </c>
      <c r="V707" s="17">
        <v>61</v>
      </c>
      <c r="W707" s="17"/>
      <c r="X707" s="17"/>
      <c r="Y707" s="17"/>
      <c r="Z707" s="17" t="str">
        <f>IF(T707="", "mean", "med")</f>
        <v>med</v>
      </c>
      <c r="AA707" s="17">
        <f>IF(T707="", R707, T707)</f>
        <v>37</v>
      </c>
      <c r="AB707" s="12">
        <f>IF(AC707="", 0, 1)</f>
        <v>0</v>
      </c>
      <c r="AC707" s="13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>
        <v>0</v>
      </c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 t="s">
        <v>52</v>
      </c>
      <c r="BA707" s="12" t="str">
        <f>IF(AZ707="high","high","lower")</f>
        <v>high</v>
      </c>
      <c r="BB707" s="47">
        <v>0.90400000000000003</v>
      </c>
      <c r="BC707" s="12">
        <v>84.8</v>
      </c>
      <c r="BD707" s="12">
        <v>94</v>
      </c>
      <c r="BE707" s="12">
        <v>100</v>
      </c>
      <c r="BF707" s="12">
        <v>82.2</v>
      </c>
      <c r="BG707" s="18" t="s">
        <v>1030</v>
      </c>
      <c r="BH707" s="18" t="s">
        <v>1031</v>
      </c>
    </row>
    <row r="708" spans="1:60" ht="15.75" customHeight="1" x14ac:dyDescent="0.2">
      <c r="A708" s="11">
        <v>711</v>
      </c>
      <c r="B708" s="12">
        <v>14176</v>
      </c>
      <c r="C708" s="13" t="s">
        <v>874</v>
      </c>
      <c r="D708" s="14" t="s">
        <v>38</v>
      </c>
      <c r="E708" s="13">
        <v>2008</v>
      </c>
      <c r="F708" s="13">
        <v>2017</v>
      </c>
      <c r="G708" s="13" t="s">
        <v>214</v>
      </c>
      <c r="H708" s="13"/>
      <c r="I708" s="31" t="s">
        <v>104</v>
      </c>
      <c r="J708" s="13" t="s">
        <v>105</v>
      </c>
      <c r="K708" s="13"/>
      <c r="L708" s="15">
        <v>100</v>
      </c>
      <c r="M708" s="26">
        <v>55</v>
      </c>
      <c r="N708" s="13" t="s">
        <v>42</v>
      </c>
      <c r="O708" s="14" t="s">
        <v>875</v>
      </c>
      <c r="P708" s="12">
        <f>IF(Q708="", 0, 1)</f>
        <v>1</v>
      </c>
      <c r="Q708" s="22">
        <v>886</v>
      </c>
      <c r="S708" s="17"/>
      <c r="T708" s="17">
        <f>30*2.3</f>
        <v>69</v>
      </c>
      <c r="U708" s="17">
        <v>45</v>
      </c>
      <c r="V708" s="17">
        <f>3.4*30</f>
        <v>102</v>
      </c>
      <c r="W708" s="17"/>
      <c r="X708" s="17"/>
      <c r="Y708" s="17"/>
      <c r="Z708" s="17" t="str">
        <f>IF(T708="", "mean", "med")</f>
        <v>med</v>
      </c>
      <c r="AA708" s="17">
        <f>IF(T708="", R708, T708)</f>
        <v>69</v>
      </c>
      <c r="AB708" s="12">
        <f>IF(AC708="", 0, 1)</f>
        <v>0</v>
      </c>
      <c r="AC708" s="13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>
        <v>1</v>
      </c>
      <c r="AO708" s="12">
        <v>886</v>
      </c>
      <c r="AP708" s="12"/>
      <c r="AQ708" s="12"/>
      <c r="AR708" s="12">
        <v>150</v>
      </c>
      <c r="AS708" s="12">
        <v>90</v>
      </c>
      <c r="AT708" s="12">
        <v>300</v>
      </c>
      <c r="AU708" s="12"/>
      <c r="AV708" s="12"/>
      <c r="AW708" s="12"/>
      <c r="AX708" s="12" t="str">
        <f>IF(AR708="", "mean", "med")</f>
        <v>med</v>
      </c>
      <c r="AY708" s="12">
        <f>IF(AR708="", AP708, AR708)</f>
        <v>150</v>
      </c>
      <c r="AZ708" s="49" t="s">
        <v>808</v>
      </c>
      <c r="BA708" s="49" t="str">
        <f>IF(AZ708="high","high","lower")</f>
        <v>lower</v>
      </c>
      <c r="BB708" s="47">
        <v>0.63800000000000001</v>
      </c>
      <c r="BC708" s="49"/>
      <c r="BD708" s="49"/>
      <c r="BE708" s="49"/>
      <c r="BF708" s="49"/>
      <c r="BG708" s="18" t="s">
        <v>1030</v>
      </c>
      <c r="BH708" s="18" t="s">
        <v>1031</v>
      </c>
    </row>
    <row r="709" spans="1:60" ht="15.75" customHeight="1" x14ac:dyDescent="0.2">
      <c r="A709" s="11">
        <v>712</v>
      </c>
      <c r="B709" s="12">
        <v>12323</v>
      </c>
      <c r="C709" s="13" t="s">
        <v>876</v>
      </c>
      <c r="D709" s="14" t="s">
        <v>38</v>
      </c>
      <c r="E709" s="13">
        <v>2016</v>
      </c>
      <c r="F709" s="13">
        <v>2019</v>
      </c>
      <c r="G709" s="13" t="s">
        <v>583</v>
      </c>
      <c r="H709" s="13"/>
      <c r="I709" s="13" t="s">
        <v>54</v>
      </c>
      <c r="J709" s="13" t="s">
        <v>55</v>
      </c>
      <c r="K709" s="13"/>
      <c r="L709" s="15">
        <v>44</v>
      </c>
      <c r="M709" s="26" t="s">
        <v>41</v>
      </c>
      <c r="N709" s="13" t="s">
        <v>42</v>
      </c>
      <c r="O709" s="14"/>
      <c r="P709" s="12">
        <f>IF(Q709="", 0, 1)</f>
        <v>0</v>
      </c>
      <c r="Q709" s="12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2">
        <f>IF(AC709="", 0, 1)</f>
        <v>1</v>
      </c>
      <c r="AC709" s="13">
        <v>176</v>
      </c>
      <c r="AD709" s="12"/>
      <c r="AE709" s="12"/>
      <c r="AF709" s="12">
        <v>66</v>
      </c>
      <c r="AG709" s="12">
        <v>26</v>
      </c>
      <c r="AH709" s="12">
        <v>236</v>
      </c>
      <c r="AI709" s="12"/>
      <c r="AJ709" s="12"/>
      <c r="AK709" s="12"/>
      <c r="AL709" s="12" t="str">
        <f>IF(AF709="", "mean", "med")</f>
        <v>med</v>
      </c>
      <c r="AM709" s="12">
        <f>IF(AF709="", AD709, AF709)</f>
        <v>66</v>
      </c>
      <c r="AN709" s="12">
        <v>1</v>
      </c>
      <c r="AO709" s="12">
        <v>176</v>
      </c>
      <c r="AP709" s="12"/>
      <c r="AQ709" s="12"/>
      <c r="AR709" s="12">
        <v>30</v>
      </c>
      <c r="AS709" s="12">
        <v>0</v>
      </c>
      <c r="AT709" s="12">
        <v>93</v>
      </c>
      <c r="AU709" s="12"/>
      <c r="AV709" s="12"/>
      <c r="AW709" s="12"/>
      <c r="AX709" s="12" t="str">
        <f>IF(AR709="", "mean", "med")</f>
        <v>med</v>
      </c>
      <c r="AY709" s="12">
        <f>IF(AR709="", AP709, AR709)</f>
        <v>30</v>
      </c>
      <c r="AZ709" s="49" t="s">
        <v>52</v>
      </c>
      <c r="BA709" s="49" t="str">
        <f>IF(AZ709="high","high","lower")</f>
        <v>high</v>
      </c>
      <c r="BB709" s="47">
        <v>0.92700000000000005</v>
      </c>
      <c r="BC709" s="49"/>
      <c r="BD709" s="49"/>
      <c r="BE709" s="49"/>
      <c r="BF709" s="49"/>
      <c r="BG709" s="18" t="s">
        <v>1034</v>
      </c>
      <c r="BH709" s="18" t="s">
        <v>1031</v>
      </c>
    </row>
    <row r="710" spans="1:60" ht="15.75" customHeight="1" x14ac:dyDescent="0.2">
      <c r="A710" s="11">
        <v>713</v>
      </c>
      <c r="B710" s="12">
        <v>12364</v>
      </c>
      <c r="C710" s="13" t="s">
        <v>877</v>
      </c>
      <c r="D710" s="14" t="s">
        <v>41</v>
      </c>
      <c r="E710" s="13">
        <v>2010</v>
      </c>
      <c r="F710" s="13">
        <v>2014</v>
      </c>
      <c r="G710" s="13" t="s">
        <v>134</v>
      </c>
      <c r="H710" s="13"/>
      <c r="I710" s="13" t="s">
        <v>59</v>
      </c>
      <c r="J710" s="14" t="s">
        <v>60</v>
      </c>
      <c r="K710" s="14"/>
      <c r="L710" s="19" t="s">
        <v>41</v>
      </c>
      <c r="M710" s="28" t="s">
        <v>41</v>
      </c>
      <c r="N710" s="13" t="s">
        <v>41</v>
      </c>
      <c r="O710" s="14" t="s">
        <v>878</v>
      </c>
      <c r="P710" s="12">
        <f>IF(Q710="", 0, 1)</f>
        <v>1</v>
      </c>
      <c r="Q710" s="12">
        <v>692</v>
      </c>
      <c r="R710" s="17"/>
      <c r="S710" s="17"/>
      <c r="T710" s="17">
        <f>23*7</f>
        <v>161</v>
      </c>
      <c r="U710" s="17"/>
      <c r="V710" s="17"/>
      <c r="W710" s="17">
        <f>12.5*7</f>
        <v>87.5</v>
      </c>
      <c r="X710" s="17">
        <f>6*7</f>
        <v>42</v>
      </c>
      <c r="Y710" s="17">
        <f>92*7</f>
        <v>644</v>
      </c>
      <c r="Z710" s="17" t="str">
        <f>IF(T710="", "mean", "med")</f>
        <v>med</v>
      </c>
      <c r="AA710" s="17">
        <f>IF(T710="", R710, T710)</f>
        <v>161</v>
      </c>
      <c r="AB710" s="12">
        <f>IF(AC710="", 0, 1)</f>
        <v>0</v>
      </c>
      <c r="AC710" s="13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>
        <v>0</v>
      </c>
      <c r="AO710" s="22"/>
      <c r="AP710" s="12"/>
      <c r="AQ710" s="12"/>
      <c r="AR710" s="22"/>
      <c r="AS710" s="12"/>
      <c r="AT710" s="12"/>
      <c r="AU710" s="12"/>
      <c r="AV710" s="12"/>
      <c r="AW710" s="12"/>
      <c r="AX710" s="12"/>
      <c r="AY710" s="12"/>
      <c r="AZ710" s="12" t="s">
        <v>52</v>
      </c>
      <c r="BA710" s="12" t="str">
        <f>IF(AZ710="high","high","lower")</f>
        <v>high</v>
      </c>
      <c r="BB710" s="47">
        <v>0.90800000000000003</v>
      </c>
      <c r="BC710" s="12">
        <v>84.8</v>
      </c>
      <c r="BD710" s="12">
        <v>94</v>
      </c>
      <c r="BE710" s="12">
        <v>100</v>
      </c>
      <c r="BF710" s="12">
        <v>82.2</v>
      </c>
      <c r="BG710" s="18" t="s">
        <v>1030</v>
      </c>
      <c r="BH710" s="18" t="s">
        <v>1031</v>
      </c>
    </row>
    <row r="711" spans="1:60" ht="15.75" customHeight="1" x14ac:dyDescent="0.2">
      <c r="A711" s="11">
        <v>714</v>
      </c>
      <c r="B711" s="12">
        <v>12031</v>
      </c>
      <c r="C711" s="13" t="s">
        <v>879</v>
      </c>
      <c r="D711" s="13" t="s">
        <v>41</v>
      </c>
      <c r="E711" s="13">
        <v>2012</v>
      </c>
      <c r="F711" s="13">
        <v>2016</v>
      </c>
      <c r="G711" s="13" t="s">
        <v>77</v>
      </c>
      <c r="H711" s="13"/>
      <c r="I711" s="13" t="s">
        <v>94</v>
      </c>
      <c r="J711" s="13" t="s">
        <v>255</v>
      </c>
      <c r="K711" s="13"/>
      <c r="L711" s="15">
        <v>37.6</v>
      </c>
      <c r="M711" s="26">
        <v>67</v>
      </c>
      <c r="N711" s="13" t="s">
        <v>42</v>
      </c>
      <c r="O711" s="13"/>
      <c r="P711" s="12">
        <f>IF(Q711="", 0, 1)</f>
        <v>0</v>
      </c>
      <c r="Q711" s="12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2">
        <f>IF(AC711="", 0, 1)</f>
        <v>0</v>
      </c>
      <c r="AC711" s="13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>
        <v>1</v>
      </c>
      <c r="AO711" s="12">
        <v>732</v>
      </c>
      <c r="AP711" s="12"/>
      <c r="AQ711" s="12"/>
      <c r="AR711" s="12">
        <v>3</v>
      </c>
      <c r="AS711" s="12">
        <v>0</v>
      </c>
      <c r="AT711" s="12">
        <v>54</v>
      </c>
      <c r="AU711" s="12"/>
      <c r="AV711" s="12"/>
      <c r="AW711" s="12"/>
      <c r="AX711" s="12" t="str">
        <f>IF(AR711="", "mean", "med")</f>
        <v>med</v>
      </c>
      <c r="AY711" s="12">
        <f>IF(AR711="", AP711, AR711)</f>
        <v>3</v>
      </c>
      <c r="AZ711" s="12" t="s">
        <v>52</v>
      </c>
      <c r="BA711" s="12" t="str">
        <f>IF(AZ711="high","high","lower")</f>
        <v>high</v>
      </c>
      <c r="BB711" s="47">
        <v>0.91900000000000004</v>
      </c>
      <c r="BC711" s="12">
        <v>85.3</v>
      </c>
      <c r="BD711" s="12">
        <v>96.3</v>
      </c>
      <c r="BE711" s="12">
        <v>91.7</v>
      </c>
      <c r="BF711" s="12">
        <v>80</v>
      </c>
      <c r="BG711" s="18" t="s">
        <v>1030</v>
      </c>
      <c r="BH711" s="18" t="s">
        <v>1031</v>
      </c>
    </row>
    <row r="712" spans="1:60" ht="15.75" customHeight="1" x14ac:dyDescent="0.2">
      <c r="A712" s="11">
        <v>715</v>
      </c>
      <c r="B712" s="12">
        <v>12288</v>
      </c>
      <c r="C712" s="13" t="s">
        <v>880</v>
      </c>
      <c r="D712" s="13" t="s">
        <v>881</v>
      </c>
      <c r="E712" s="13">
        <v>2002</v>
      </c>
      <c r="F712" s="13">
        <v>2010</v>
      </c>
      <c r="G712" s="13" t="s">
        <v>49</v>
      </c>
      <c r="H712" s="13"/>
      <c r="I712" s="13" t="s">
        <v>40</v>
      </c>
      <c r="J712" s="13" t="s">
        <v>40</v>
      </c>
      <c r="K712" s="13"/>
      <c r="L712" s="15">
        <v>100</v>
      </c>
      <c r="M712" s="26">
        <v>50.2</v>
      </c>
      <c r="N712" s="13" t="s">
        <v>42</v>
      </c>
      <c r="O712" s="13" t="s">
        <v>90</v>
      </c>
      <c r="P712" s="12">
        <f>IF(Q712="", 0, 1)</f>
        <v>1</v>
      </c>
      <c r="Q712" s="12">
        <v>598</v>
      </c>
      <c r="R712" s="17">
        <v>34</v>
      </c>
      <c r="S712" s="17"/>
      <c r="T712" s="17"/>
      <c r="U712" s="17"/>
      <c r="V712" s="17"/>
      <c r="W712" s="17"/>
      <c r="X712" s="17"/>
      <c r="Y712" s="17"/>
      <c r="Z712" s="17" t="str">
        <f>IF(T712="", "mean", "med")</f>
        <v>mean</v>
      </c>
      <c r="AA712" s="17">
        <f>IF(T712="", R712, T712)</f>
        <v>34</v>
      </c>
      <c r="AB712" s="12">
        <f>IF(AC712="", 0, 1)</f>
        <v>0</v>
      </c>
      <c r="AC712" s="13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>
        <v>0</v>
      </c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 t="s">
        <v>52</v>
      </c>
      <c r="BA712" s="12" t="str">
        <f>IF(AZ712="high","high","lower")</f>
        <v>high</v>
      </c>
      <c r="BB712" s="47">
        <v>0.90300000000000002</v>
      </c>
      <c r="BC712" s="12">
        <v>84</v>
      </c>
      <c r="BD712" s="12">
        <v>88</v>
      </c>
      <c r="BE712" s="12">
        <v>100</v>
      </c>
      <c r="BF712" s="12">
        <v>84.2</v>
      </c>
      <c r="BG712" s="18" t="s">
        <v>1030</v>
      </c>
      <c r="BH712" s="18" t="s">
        <v>1031</v>
      </c>
    </row>
    <row r="713" spans="1:60" ht="15.75" customHeight="1" x14ac:dyDescent="0.2">
      <c r="A713" s="11">
        <v>716</v>
      </c>
      <c r="B713" s="12">
        <v>12288</v>
      </c>
      <c r="C713" s="14" t="s">
        <v>880</v>
      </c>
      <c r="D713" s="13" t="s">
        <v>882</v>
      </c>
      <c r="E713" s="13">
        <v>2002</v>
      </c>
      <c r="F713" s="13">
        <v>2010</v>
      </c>
      <c r="G713" s="14" t="s">
        <v>49</v>
      </c>
      <c r="H713" s="14"/>
      <c r="I713" s="13" t="s">
        <v>40</v>
      </c>
      <c r="J713" s="13" t="s">
        <v>40</v>
      </c>
      <c r="K713" s="13"/>
      <c r="L713" s="15">
        <v>100</v>
      </c>
      <c r="M713" s="26">
        <v>51.6</v>
      </c>
      <c r="N713" s="13" t="s">
        <v>42</v>
      </c>
      <c r="O713" s="13" t="s">
        <v>90</v>
      </c>
      <c r="P713" s="12">
        <f>IF(Q713="", 0, 1)</f>
        <v>1</v>
      </c>
      <c r="Q713" s="12">
        <v>1557</v>
      </c>
      <c r="R713" s="17">
        <v>26</v>
      </c>
      <c r="S713" s="17"/>
      <c r="T713" s="17"/>
      <c r="U713" s="17"/>
      <c r="V713" s="17"/>
      <c r="W713" s="17"/>
      <c r="X713" s="17"/>
      <c r="Y713" s="17"/>
      <c r="Z713" s="17" t="str">
        <f>IF(T713="", "mean", "med")</f>
        <v>mean</v>
      </c>
      <c r="AA713" s="17">
        <f>IF(T713="", R713, T713)</f>
        <v>26</v>
      </c>
      <c r="AB713" s="12">
        <f>IF(AC713="", 0, 1)</f>
        <v>0</v>
      </c>
      <c r="AC713" s="13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>
        <v>0</v>
      </c>
      <c r="AO713" s="2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 t="s">
        <v>52</v>
      </c>
      <c r="BA713" s="12" t="str">
        <f>IF(AZ713="high","high","lower")</f>
        <v>high</v>
      </c>
      <c r="BB713" s="47">
        <v>0.90300000000000002</v>
      </c>
      <c r="BC713" s="12">
        <v>84</v>
      </c>
      <c r="BD713" s="12">
        <v>88</v>
      </c>
      <c r="BE713" s="12">
        <v>100</v>
      </c>
      <c r="BF713" s="12">
        <v>84.2</v>
      </c>
      <c r="BG713" s="18" t="s">
        <v>1030</v>
      </c>
      <c r="BH713" s="18" t="s">
        <v>1031</v>
      </c>
    </row>
    <row r="714" spans="1:60" ht="15.75" customHeight="1" x14ac:dyDescent="0.2">
      <c r="A714" s="11">
        <v>717</v>
      </c>
      <c r="B714" s="12">
        <v>12251</v>
      </c>
      <c r="C714" s="13" t="s">
        <v>883</v>
      </c>
      <c r="D714" s="13" t="s">
        <v>38</v>
      </c>
      <c r="E714" s="13">
        <v>2005</v>
      </c>
      <c r="F714" s="13">
        <v>2017</v>
      </c>
      <c r="G714" s="13" t="s">
        <v>134</v>
      </c>
      <c r="H714" s="13"/>
      <c r="I714" s="13" t="s">
        <v>79</v>
      </c>
      <c r="J714" s="31" t="s">
        <v>236</v>
      </c>
      <c r="K714" s="14"/>
      <c r="L714" s="15">
        <v>29.5</v>
      </c>
      <c r="M714" s="26">
        <v>56.3</v>
      </c>
      <c r="N714" s="13" t="s">
        <v>42</v>
      </c>
      <c r="O714" s="13" t="s">
        <v>41</v>
      </c>
      <c r="P714" s="12">
        <f>IF(Q714="", 0, 1)</f>
        <v>1</v>
      </c>
      <c r="Q714" s="12">
        <v>34</v>
      </c>
      <c r="R714" s="17">
        <v>92</v>
      </c>
      <c r="S714" s="17"/>
      <c r="T714" s="17">
        <v>56</v>
      </c>
      <c r="U714" s="17"/>
      <c r="V714" s="17"/>
      <c r="W714" s="17"/>
      <c r="X714" s="17"/>
      <c r="Y714" s="17"/>
      <c r="Z714" s="17" t="str">
        <f>IF(T714="", "mean", "med")</f>
        <v>med</v>
      </c>
      <c r="AA714" s="17">
        <f>IF(T714="", R714, T714)</f>
        <v>56</v>
      </c>
      <c r="AB714" s="12">
        <f>IF(AC714="", 0, 1)</f>
        <v>1</v>
      </c>
      <c r="AC714" s="13">
        <v>34</v>
      </c>
      <c r="AD714" s="12">
        <v>184</v>
      </c>
      <c r="AE714" s="12"/>
      <c r="AF714" s="12">
        <v>38</v>
      </c>
      <c r="AG714" s="12"/>
      <c r="AH714" s="12"/>
      <c r="AI714" s="12"/>
      <c r="AJ714" s="12"/>
      <c r="AK714" s="12"/>
      <c r="AL714" s="12" t="str">
        <f>IF(AF714="", "mean", "med")</f>
        <v>med</v>
      </c>
      <c r="AM714" s="12">
        <f>IF(AF714="", AD714, AF714)</f>
        <v>38</v>
      </c>
      <c r="AN714" s="12">
        <v>1</v>
      </c>
      <c r="AO714" s="12">
        <v>34</v>
      </c>
      <c r="AP714" s="12">
        <v>350</v>
      </c>
      <c r="AQ714" s="12"/>
      <c r="AR714" s="12">
        <v>31</v>
      </c>
      <c r="AS714" s="12"/>
      <c r="AT714" s="12"/>
      <c r="AU714" s="12"/>
      <c r="AV714" s="12"/>
      <c r="AW714" s="12"/>
      <c r="AX714" s="12" t="str">
        <f>IF(AR714="", "mean", "med")</f>
        <v>med</v>
      </c>
      <c r="AY714" s="12">
        <f>IF(AR714="", AP714, AR714)</f>
        <v>31</v>
      </c>
      <c r="AZ714" s="12" t="s">
        <v>52</v>
      </c>
      <c r="BA714" s="12" t="str">
        <f>IF(AZ714="high","high","lower")</f>
        <v>high</v>
      </c>
      <c r="BB714" s="47">
        <v>0.90700000000000003</v>
      </c>
      <c r="BC714" s="12">
        <v>84.8</v>
      </c>
      <c r="BD714" s="12">
        <v>94</v>
      </c>
      <c r="BE714" s="12">
        <v>100</v>
      </c>
      <c r="BF714" s="12">
        <v>82.2</v>
      </c>
      <c r="BG714" s="18" t="s">
        <v>1030</v>
      </c>
      <c r="BH714" s="18" t="s">
        <v>1031</v>
      </c>
    </row>
    <row r="715" spans="1:60" ht="15.75" customHeight="1" x14ac:dyDescent="0.2">
      <c r="A715" s="11">
        <v>718</v>
      </c>
      <c r="B715" s="22">
        <v>12225</v>
      </c>
      <c r="C715" s="13" t="s">
        <v>884</v>
      </c>
      <c r="D715" s="13" t="s">
        <v>55</v>
      </c>
      <c r="E715" s="13">
        <v>2012</v>
      </c>
      <c r="F715" s="13">
        <v>2017</v>
      </c>
      <c r="G715" s="13" t="s">
        <v>125</v>
      </c>
      <c r="H715" s="13"/>
      <c r="I715" s="13" t="s">
        <v>54</v>
      </c>
      <c r="J715" s="13" t="s">
        <v>55</v>
      </c>
      <c r="K715" s="13"/>
      <c r="L715" s="15">
        <v>30.1</v>
      </c>
      <c r="M715" s="26">
        <v>63.93</v>
      </c>
      <c r="N715" s="13" t="s">
        <v>41</v>
      </c>
      <c r="O715" s="13" t="s">
        <v>41</v>
      </c>
      <c r="P715" s="12">
        <f>IF(Q715="", 0, 1)</f>
        <v>1</v>
      </c>
      <c r="Q715" s="12">
        <v>103</v>
      </c>
      <c r="R715" s="17"/>
      <c r="S715" s="17"/>
      <c r="T715" s="17">
        <v>63</v>
      </c>
      <c r="U715" s="17">
        <v>25</v>
      </c>
      <c r="V715" s="17">
        <v>94</v>
      </c>
      <c r="W715" s="17"/>
      <c r="X715" s="17">
        <v>0</v>
      </c>
      <c r="Y715" s="17">
        <v>229</v>
      </c>
      <c r="Z715" s="17" t="str">
        <f>IF(T715="", "mean", "med")</f>
        <v>med</v>
      </c>
      <c r="AA715" s="17">
        <f>IF(T715="", R715, T715)</f>
        <v>63</v>
      </c>
      <c r="AB715" s="12">
        <f>IF(AC715="", 0, 1)</f>
        <v>1</v>
      </c>
      <c r="AC715" s="13">
        <v>103</v>
      </c>
      <c r="AD715" s="12"/>
      <c r="AE715" s="12"/>
      <c r="AF715" s="12">
        <v>124</v>
      </c>
      <c r="AG715" s="12">
        <v>45</v>
      </c>
      <c r="AH715" s="12">
        <v>201</v>
      </c>
      <c r="AI715" s="12"/>
      <c r="AJ715" s="12">
        <v>0</v>
      </c>
      <c r="AK715" s="36">
        <v>1463</v>
      </c>
      <c r="AL715" s="12" t="str">
        <f>IF(AF715="", "mean", "med")</f>
        <v>med</v>
      </c>
      <c r="AM715" s="12">
        <f>IF(AF715="", AD715, AF715)</f>
        <v>124</v>
      </c>
      <c r="AN715" s="12">
        <v>1</v>
      </c>
      <c r="AO715" s="12">
        <v>93</v>
      </c>
      <c r="AP715" s="12"/>
      <c r="AQ715" s="12"/>
      <c r="AR715" s="12">
        <v>26</v>
      </c>
      <c r="AS715" s="12">
        <v>5</v>
      </c>
      <c r="AT715" s="12">
        <v>91</v>
      </c>
      <c r="AU715" s="12"/>
      <c r="AV715" s="12">
        <v>0</v>
      </c>
      <c r="AW715" s="12">
        <v>425</v>
      </c>
      <c r="AX715" s="12" t="str">
        <f>IF(AR715="", "mean", "med")</f>
        <v>med</v>
      </c>
      <c r="AY715" s="12">
        <f>IF(AR715="", AP715, AR715)</f>
        <v>26</v>
      </c>
      <c r="AZ715" s="12" t="s">
        <v>52</v>
      </c>
      <c r="BA715" s="12" t="str">
        <f>IF(AZ715="high","high","lower")</f>
        <v>high</v>
      </c>
      <c r="BB715" s="47">
        <v>0.89100000000000001</v>
      </c>
      <c r="BC715" s="12">
        <v>84</v>
      </c>
      <c r="BD715" s="12">
        <v>89.7</v>
      </c>
      <c r="BE715" s="12">
        <v>70.8</v>
      </c>
      <c r="BF715" s="12">
        <v>89.2</v>
      </c>
      <c r="BG715" s="18" t="s">
        <v>1030</v>
      </c>
      <c r="BH715" s="18" t="s">
        <v>1031</v>
      </c>
    </row>
    <row r="716" spans="1:60" ht="15.75" customHeight="1" x14ac:dyDescent="0.2">
      <c r="A716" s="11">
        <v>719</v>
      </c>
      <c r="B716" s="12">
        <v>12225</v>
      </c>
      <c r="C716" s="13" t="s">
        <v>884</v>
      </c>
      <c r="D716" s="13" t="s">
        <v>40</v>
      </c>
      <c r="E716" s="13">
        <v>2012</v>
      </c>
      <c r="F716" s="13">
        <v>2017</v>
      </c>
      <c r="G716" s="13" t="s">
        <v>125</v>
      </c>
      <c r="H716" s="13"/>
      <c r="I716" s="13" t="s">
        <v>40</v>
      </c>
      <c r="J716" s="13" t="s">
        <v>40</v>
      </c>
      <c r="K716" s="13"/>
      <c r="L716" s="15">
        <v>99</v>
      </c>
      <c r="M716" s="26" t="s">
        <v>41</v>
      </c>
      <c r="N716" s="13" t="s">
        <v>41</v>
      </c>
      <c r="O716" s="14" t="s">
        <v>41</v>
      </c>
      <c r="P716" s="12">
        <f>IF(Q716="", 0, 1)</f>
        <v>1</v>
      </c>
      <c r="Q716" s="22">
        <v>50</v>
      </c>
      <c r="R716" s="21"/>
      <c r="S716" s="17"/>
      <c r="T716" s="17">
        <v>36</v>
      </c>
      <c r="U716" s="17">
        <v>26.75</v>
      </c>
      <c r="V716" s="17">
        <v>55.25</v>
      </c>
      <c r="W716" s="17"/>
      <c r="X716" s="17">
        <v>5</v>
      </c>
      <c r="Y716" s="17">
        <v>149</v>
      </c>
      <c r="Z716" s="17" t="str">
        <f>IF(T716="", "mean", "med")</f>
        <v>med</v>
      </c>
      <c r="AA716" s="17">
        <f>IF(T716="", R716, T716)</f>
        <v>36</v>
      </c>
      <c r="AB716" s="12">
        <f>IF(AC716="", 0, 1)</f>
        <v>1</v>
      </c>
      <c r="AC716" s="13">
        <v>49</v>
      </c>
      <c r="AD716" s="12"/>
      <c r="AE716" s="12"/>
      <c r="AF716" s="12">
        <v>62</v>
      </c>
      <c r="AG716" s="12">
        <v>31</v>
      </c>
      <c r="AH716" s="12">
        <v>127</v>
      </c>
      <c r="AI716" s="12"/>
      <c r="AJ716" s="12">
        <v>6</v>
      </c>
      <c r="AK716" s="12">
        <v>460</v>
      </c>
      <c r="AL716" s="12" t="str">
        <f>IF(AF716="", "mean", "med")</f>
        <v>med</v>
      </c>
      <c r="AM716" s="12">
        <f>IF(AF716="", AD716, AF716)</f>
        <v>62</v>
      </c>
      <c r="AN716" s="12">
        <v>1</v>
      </c>
      <c r="AO716" s="12">
        <v>30</v>
      </c>
      <c r="AP716" s="12"/>
      <c r="AQ716" s="12"/>
      <c r="AR716" s="12">
        <v>13</v>
      </c>
      <c r="AS716" s="12">
        <v>1</v>
      </c>
      <c r="AT716" s="12">
        <v>31</v>
      </c>
      <c r="AU716" s="12"/>
      <c r="AV716" s="12">
        <v>0</v>
      </c>
      <c r="AW716" s="12">
        <v>1011</v>
      </c>
      <c r="AX716" s="12" t="str">
        <f>IF(AR716="", "mean", "med")</f>
        <v>med</v>
      </c>
      <c r="AY716" s="12">
        <f>IF(AR716="", AP716, AR716)</f>
        <v>13</v>
      </c>
      <c r="AZ716" s="12" t="s">
        <v>52</v>
      </c>
      <c r="BA716" s="12" t="str">
        <f>IF(AZ716="high","high","lower")</f>
        <v>high</v>
      </c>
      <c r="BB716" s="47">
        <v>0.89100000000000001</v>
      </c>
      <c r="BC716" s="12">
        <v>84</v>
      </c>
      <c r="BD716" s="12">
        <v>89.7</v>
      </c>
      <c r="BE716" s="12">
        <v>70.8</v>
      </c>
      <c r="BF716" s="12">
        <v>89.2</v>
      </c>
      <c r="BG716" s="18" t="s">
        <v>1030</v>
      </c>
      <c r="BH716" s="18" t="s">
        <v>1031</v>
      </c>
    </row>
    <row r="717" spans="1:60" ht="15.75" customHeight="1" x14ac:dyDescent="0.2">
      <c r="A717" s="11">
        <v>720</v>
      </c>
      <c r="B717" s="12">
        <v>12225</v>
      </c>
      <c r="C717" s="13" t="s">
        <v>884</v>
      </c>
      <c r="D717" s="13" t="s">
        <v>58</v>
      </c>
      <c r="E717" s="13">
        <v>2012</v>
      </c>
      <c r="F717" s="13">
        <v>2017</v>
      </c>
      <c r="G717" s="13" t="s">
        <v>125</v>
      </c>
      <c r="H717" s="13"/>
      <c r="I717" s="13" t="s">
        <v>57</v>
      </c>
      <c r="J717" s="13" t="s">
        <v>58</v>
      </c>
      <c r="K717" s="14"/>
      <c r="L717" s="15">
        <v>11</v>
      </c>
      <c r="M717" s="26">
        <v>64.510000000000005</v>
      </c>
      <c r="N717" s="13" t="s">
        <v>41</v>
      </c>
      <c r="O717" s="13" t="s">
        <v>41</v>
      </c>
      <c r="P717" s="12">
        <f>IF(Q717="", 0, 1)</f>
        <v>1</v>
      </c>
      <c r="Q717" s="12">
        <v>63</v>
      </c>
      <c r="R717" s="17"/>
      <c r="S717" s="17"/>
      <c r="T717" s="17">
        <v>42</v>
      </c>
      <c r="U717" s="17">
        <v>22</v>
      </c>
      <c r="V717" s="17">
        <v>63</v>
      </c>
      <c r="W717" s="17"/>
      <c r="X717" s="17">
        <v>0</v>
      </c>
      <c r="Y717" s="17">
        <v>238</v>
      </c>
      <c r="Z717" s="17" t="str">
        <f>IF(T717="", "mean", "med")</f>
        <v>med</v>
      </c>
      <c r="AA717" s="17">
        <f>IF(T717="", R717, T717)</f>
        <v>42</v>
      </c>
      <c r="AB717" s="12">
        <f>IF(AC717="", 0, 1)</f>
        <v>1</v>
      </c>
      <c r="AC717" s="13">
        <v>65</v>
      </c>
      <c r="AD717" s="12"/>
      <c r="AE717" s="12"/>
      <c r="AF717" s="12">
        <v>54</v>
      </c>
      <c r="AG717" s="12">
        <v>24.5</v>
      </c>
      <c r="AH717" s="12">
        <v>151</v>
      </c>
      <c r="AI717" s="12"/>
      <c r="AJ717" s="12">
        <v>0</v>
      </c>
      <c r="AK717" s="12">
        <v>699</v>
      </c>
      <c r="AL717" s="12" t="str">
        <f>IF(AF717="", "mean", "med")</f>
        <v>med</v>
      </c>
      <c r="AM717" s="12">
        <f>IF(AF717="", AD717, AF717)</f>
        <v>54</v>
      </c>
      <c r="AN717" s="12">
        <v>1</v>
      </c>
      <c r="AO717" s="12">
        <v>55</v>
      </c>
      <c r="AP717" s="12"/>
      <c r="AQ717" s="12"/>
      <c r="AR717" s="12">
        <v>15</v>
      </c>
      <c r="AS717" s="12">
        <v>1</v>
      </c>
      <c r="AT717" s="12">
        <v>59</v>
      </c>
      <c r="AU717" s="12"/>
      <c r="AV717" s="12">
        <v>0</v>
      </c>
      <c r="AW717" s="12">
        <v>366</v>
      </c>
      <c r="AX717" s="12" t="str">
        <f>IF(AR717="", "mean", "med")</f>
        <v>med</v>
      </c>
      <c r="AY717" s="12">
        <f>IF(AR717="", AP717, AR717)</f>
        <v>15</v>
      </c>
      <c r="AZ717" s="12" t="s">
        <v>52</v>
      </c>
      <c r="BA717" s="12" t="str">
        <f>IF(AZ717="high","high","lower")</f>
        <v>high</v>
      </c>
      <c r="BB717" s="47">
        <v>0.89100000000000001</v>
      </c>
      <c r="BC717" s="12">
        <v>84</v>
      </c>
      <c r="BD717" s="12">
        <v>89.7</v>
      </c>
      <c r="BE717" s="12">
        <v>70.8</v>
      </c>
      <c r="BF717" s="12">
        <v>89.2</v>
      </c>
      <c r="BG717" s="18" t="s">
        <v>1030</v>
      </c>
      <c r="BH717" s="18" t="s">
        <v>1031</v>
      </c>
    </row>
    <row r="718" spans="1:60" ht="15.75" customHeight="1" x14ac:dyDescent="0.2">
      <c r="A718" s="11">
        <v>721</v>
      </c>
      <c r="B718" s="12">
        <v>12225</v>
      </c>
      <c r="C718" s="13" t="s">
        <v>884</v>
      </c>
      <c r="D718" s="13" t="s">
        <v>60</v>
      </c>
      <c r="E718" s="13">
        <v>2012</v>
      </c>
      <c r="F718" s="13">
        <v>2017</v>
      </c>
      <c r="G718" s="13" t="s">
        <v>125</v>
      </c>
      <c r="H718" s="13"/>
      <c r="I718" s="13" t="s">
        <v>59</v>
      </c>
      <c r="J718" s="13" t="s">
        <v>60</v>
      </c>
      <c r="K718" s="13"/>
      <c r="L718" s="15">
        <v>0</v>
      </c>
      <c r="M718" s="26">
        <v>63.98</v>
      </c>
      <c r="N718" s="13" t="s">
        <v>41</v>
      </c>
      <c r="O718" s="13" t="s">
        <v>41</v>
      </c>
      <c r="P718" s="12">
        <f>IF(Q718="", 0, 1)</f>
        <v>1</v>
      </c>
      <c r="Q718" s="12">
        <v>51</v>
      </c>
      <c r="R718" s="17"/>
      <c r="S718" s="17"/>
      <c r="T718" s="17">
        <v>97</v>
      </c>
      <c r="U718" s="17">
        <v>47</v>
      </c>
      <c r="V718" s="17">
        <v>208</v>
      </c>
      <c r="W718" s="17"/>
      <c r="X718" s="17">
        <v>0</v>
      </c>
      <c r="Y718" s="17">
        <v>1232</v>
      </c>
      <c r="Z718" s="17" t="str">
        <f>IF(T718="", "mean", "med")</f>
        <v>med</v>
      </c>
      <c r="AA718" s="17">
        <f>IF(T718="", R718, T718)</f>
        <v>97</v>
      </c>
      <c r="AB718" s="12">
        <f>IF(AC718="", 0, 1)</f>
        <v>1</v>
      </c>
      <c r="AC718" s="13">
        <v>49</v>
      </c>
      <c r="AD718" s="12"/>
      <c r="AE718" s="12"/>
      <c r="AF718" s="12">
        <v>395</v>
      </c>
      <c r="AG718" s="12">
        <v>172</v>
      </c>
      <c r="AH718" s="12">
        <v>984</v>
      </c>
      <c r="AI718" s="12"/>
      <c r="AJ718" s="12">
        <v>28</v>
      </c>
      <c r="AK718" s="36">
        <v>2860</v>
      </c>
      <c r="AL718" s="12" t="str">
        <f>IF(AF718="", "mean", "med")</f>
        <v>med</v>
      </c>
      <c r="AM718" s="12">
        <f>IF(AF718="", AD718, AF718)</f>
        <v>395</v>
      </c>
      <c r="AN718" s="12">
        <v>1</v>
      </c>
      <c r="AO718" s="12">
        <v>24</v>
      </c>
      <c r="AP718" s="12"/>
      <c r="AQ718" s="12"/>
      <c r="AR718" s="12">
        <v>25</v>
      </c>
      <c r="AS718" s="12">
        <v>0</v>
      </c>
      <c r="AT718" s="12">
        <v>134.25</v>
      </c>
      <c r="AU718" s="12"/>
      <c r="AV718" s="12">
        <v>0</v>
      </c>
      <c r="AW718" s="12">
        <v>3469</v>
      </c>
      <c r="AX718" s="12" t="str">
        <f>IF(AR718="", "mean", "med")</f>
        <v>med</v>
      </c>
      <c r="AY718" s="12">
        <f>IF(AR718="", AP718, AR718)</f>
        <v>25</v>
      </c>
      <c r="AZ718" s="12" t="s">
        <v>52</v>
      </c>
      <c r="BA718" s="12" t="str">
        <f>IF(AZ718="high","high","lower")</f>
        <v>high</v>
      </c>
      <c r="BB718" s="47">
        <v>0.89100000000000001</v>
      </c>
      <c r="BC718" s="12">
        <v>84</v>
      </c>
      <c r="BD718" s="12">
        <v>89.7</v>
      </c>
      <c r="BE718" s="12">
        <v>70.8</v>
      </c>
      <c r="BF718" s="12">
        <v>89.2</v>
      </c>
      <c r="BG718" s="18" t="s">
        <v>1030</v>
      </c>
      <c r="BH718" s="18" t="s">
        <v>1031</v>
      </c>
    </row>
    <row r="719" spans="1:60" ht="15.75" customHeight="1" x14ac:dyDescent="0.2">
      <c r="A719" s="11">
        <v>722</v>
      </c>
      <c r="B719" s="12">
        <v>12225</v>
      </c>
      <c r="C719" s="13" t="s">
        <v>884</v>
      </c>
      <c r="D719" s="13" t="s">
        <v>82</v>
      </c>
      <c r="E719" s="13">
        <v>2012</v>
      </c>
      <c r="F719" s="13">
        <v>2017</v>
      </c>
      <c r="G719" s="13" t="s">
        <v>125</v>
      </c>
      <c r="H719" s="13"/>
      <c r="I719" s="13" t="s">
        <v>59</v>
      </c>
      <c r="J719" s="13" t="s">
        <v>82</v>
      </c>
      <c r="K719" s="13"/>
      <c r="L719" s="19">
        <v>16.100000000000001</v>
      </c>
      <c r="M719" s="26">
        <v>66.7</v>
      </c>
      <c r="N719" s="13" t="s">
        <v>41</v>
      </c>
      <c r="O719" s="14" t="s">
        <v>41</v>
      </c>
      <c r="P719" s="12">
        <f>IF(Q719="", 0, 1)</f>
        <v>1</v>
      </c>
      <c r="Q719" s="12">
        <v>56</v>
      </c>
      <c r="R719" s="17"/>
      <c r="S719" s="17"/>
      <c r="T719" s="17">
        <v>71.5</v>
      </c>
      <c r="U719" s="17">
        <v>33</v>
      </c>
      <c r="V719" s="17">
        <v>105</v>
      </c>
      <c r="W719" s="17"/>
      <c r="X719" s="17">
        <v>3</v>
      </c>
      <c r="Y719" s="17">
        <v>356</v>
      </c>
      <c r="Z719" s="17" t="str">
        <f>IF(T719="", "mean", "med")</f>
        <v>med</v>
      </c>
      <c r="AA719" s="17">
        <f>IF(T719="", R719, T719)</f>
        <v>71.5</v>
      </c>
      <c r="AB719" s="12">
        <f>IF(AC719="", 0, 1)</f>
        <v>1</v>
      </c>
      <c r="AC719" s="13">
        <v>56</v>
      </c>
      <c r="AD719" s="12"/>
      <c r="AE719" s="12"/>
      <c r="AF719" s="12">
        <v>104</v>
      </c>
      <c r="AG719" s="12">
        <v>61.5</v>
      </c>
      <c r="AH719" s="12">
        <v>201.5</v>
      </c>
      <c r="AI719" s="12"/>
      <c r="AJ719" s="12">
        <v>0</v>
      </c>
      <c r="AK719" s="12">
        <v>889</v>
      </c>
      <c r="AL719" s="12" t="str">
        <f>IF(AF719="", "mean", "med")</f>
        <v>med</v>
      </c>
      <c r="AM719" s="12">
        <f>IF(AF719="", AD719, AF719)</f>
        <v>104</v>
      </c>
      <c r="AN719" s="12">
        <v>1</v>
      </c>
      <c r="AO719" s="12">
        <v>44</v>
      </c>
      <c r="AP719" s="12"/>
      <c r="AQ719" s="12"/>
      <c r="AR719" s="12">
        <v>0.5</v>
      </c>
      <c r="AS719" s="12">
        <v>0</v>
      </c>
      <c r="AT719" s="12">
        <v>15</v>
      </c>
      <c r="AU719" s="12"/>
      <c r="AV719" s="12">
        <v>0</v>
      </c>
      <c r="AW719" s="12">
        <v>1204</v>
      </c>
      <c r="AX719" s="12" t="str">
        <f>IF(AR719="", "mean", "med")</f>
        <v>med</v>
      </c>
      <c r="AY719" s="12">
        <f>IF(AR719="", AP719, AR719)</f>
        <v>0.5</v>
      </c>
      <c r="AZ719" s="12" t="s">
        <v>52</v>
      </c>
      <c r="BA719" s="12" t="str">
        <f>IF(AZ719="high","high","lower")</f>
        <v>high</v>
      </c>
      <c r="BB719" s="47">
        <v>0.89100000000000001</v>
      </c>
      <c r="BC719" s="12">
        <v>84</v>
      </c>
      <c r="BD719" s="12">
        <v>89.7</v>
      </c>
      <c r="BE719" s="12">
        <v>70.8</v>
      </c>
      <c r="BF719" s="12">
        <v>89.2</v>
      </c>
      <c r="BG719" s="18" t="s">
        <v>1030</v>
      </c>
      <c r="BH719" s="18" t="s">
        <v>1031</v>
      </c>
    </row>
    <row r="720" spans="1:60" ht="15.75" customHeight="1" x14ac:dyDescent="0.2">
      <c r="A720" s="11">
        <v>723</v>
      </c>
      <c r="B720" s="22">
        <v>12502</v>
      </c>
      <c r="C720" s="13" t="s">
        <v>885</v>
      </c>
      <c r="D720" s="13" t="s">
        <v>38</v>
      </c>
      <c r="E720" s="13">
        <v>2001</v>
      </c>
      <c r="F720" s="13">
        <v>2010</v>
      </c>
      <c r="G720" s="13" t="s">
        <v>77</v>
      </c>
      <c r="H720" s="13" t="s">
        <v>78</v>
      </c>
      <c r="I720" s="14" t="s">
        <v>54</v>
      </c>
      <c r="J720" s="13" t="s">
        <v>55</v>
      </c>
      <c r="K720" s="13"/>
      <c r="L720" s="15">
        <v>41</v>
      </c>
      <c r="M720" s="26" t="s">
        <v>41</v>
      </c>
      <c r="N720" s="13" t="s">
        <v>99</v>
      </c>
      <c r="O720" s="13" t="s">
        <v>41</v>
      </c>
      <c r="P720" s="12">
        <v>1</v>
      </c>
      <c r="Q720" s="12">
        <v>29445</v>
      </c>
      <c r="R720" s="17"/>
      <c r="S720" s="17"/>
      <c r="T720" s="17">
        <v>30</v>
      </c>
      <c r="U720" s="17">
        <v>5</v>
      </c>
      <c r="V720" s="17">
        <v>49</v>
      </c>
      <c r="W720" s="17"/>
      <c r="X720" s="17"/>
      <c r="Y720" s="17"/>
      <c r="Z720" s="17" t="str">
        <f>IF(T720="", "mean", "med")</f>
        <v>med</v>
      </c>
      <c r="AA720" s="17">
        <f>IF(T720="", R720, T720)</f>
        <v>30</v>
      </c>
      <c r="AB720" s="12">
        <v>0</v>
      </c>
      <c r="AC720" s="13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>
        <v>0</v>
      </c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 t="s">
        <v>52</v>
      </c>
      <c r="BA720" s="12" t="str">
        <f>IF(AZ720="high","high","lower")</f>
        <v>high</v>
      </c>
      <c r="BB720" s="47">
        <v>0.89500000000000002</v>
      </c>
      <c r="BC720" s="12">
        <v>85.3</v>
      </c>
      <c r="BD720" s="12">
        <v>96.3</v>
      </c>
      <c r="BE720" s="12">
        <v>91.7</v>
      </c>
      <c r="BF720" s="12">
        <v>80</v>
      </c>
      <c r="BG720" s="18" t="s">
        <v>1030</v>
      </c>
      <c r="BH720" s="18" t="s">
        <v>1031</v>
      </c>
    </row>
    <row r="721" spans="1:60" ht="15.75" customHeight="1" x14ac:dyDescent="0.2">
      <c r="A721" s="11">
        <v>724</v>
      </c>
      <c r="B721" s="22">
        <v>11977</v>
      </c>
      <c r="C721" s="13" t="s">
        <v>91</v>
      </c>
      <c r="D721" s="13" t="s">
        <v>38</v>
      </c>
      <c r="E721" s="13">
        <v>2017</v>
      </c>
      <c r="F721" s="13">
        <v>2019</v>
      </c>
      <c r="G721" s="13" t="s">
        <v>93</v>
      </c>
      <c r="H721" s="13"/>
      <c r="I721" s="13" t="s">
        <v>94</v>
      </c>
      <c r="J721" s="13" t="s">
        <v>95</v>
      </c>
      <c r="K721" s="13"/>
      <c r="L721" s="15" t="s">
        <v>41</v>
      </c>
      <c r="M721" s="26" t="s">
        <v>41</v>
      </c>
      <c r="N721" s="13" t="s">
        <v>42</v>
      </c>
      <c r="O721" s="13"/>
      <c r="P721" s="12">
        <f>IF(Q721="", 0, 1)</f>
        <v>0</v>
      </c>
      <c r="Q721" s="12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2">
        <v>1</v>
      </c>
      <c r="AC721" s="13">
        <v>32</v>
      </c>
      <c r="AD721" s="12"/>
      <c r="AE721" s="12"/>
      <c r="AF721" s="12">
        <v>13.5</v>
      </c>
      <c r="AG721" s="12">
        <v>8.5</v>
      </c>
      <c r="AH721" s="12">
        <v>53.5</v>
      </c>
      <c r="AI721" s="12"/>
      <c r="AJ721" s="12"/>
      <c r="AK721" s="12"/>
      <c r="AL721" s="12" t="str">
        <f>IF(AF721="", "mean", "med")</f>
        <v>med</v>
      </c>
      <c r="AM721" s="12">
        <f>IF(AF721="", AD721, AF721)</f>
        <v>13.5</v>
      </c>
      <c r="AN721" s="12">
        <v>1</v>
      </c>
      <c r="AO721" s="12">
        <v>32</v>
      </c>
      <c r="AP721" s="12"/>
      <c r="AQ721" s="12"/>
      <c r="AR721" s="12">
        <v>42</v>
      </c>
      <c r="AS721" s="12">
        <v>23</v>
      </c>
      <c r="AT721" s="12">
        <v>92</v>
      </c>
      <c r="AU721" s="12"/>
      <c r="AV721" s="12"/>
      <c r="AW721" s="12"/>
      <c r="AX721" s="12" t="str">
        <f>IF(AR721="", "mean", "med")</f>
        <v>med</v>
      </c>
      <c r="AY721" s="12">
        <f>IF(AR721="", AP721, AR721)</f>
        <v>42</v>
      </c>
      <c r="AZ721" s="12" t="s">
        <v>886</v>
      </c>
      <c r="BA721" s="12" t="str">
        <f>IF(AZ721="high","high","lower")</f>
        <v>lower</v>
      </c>
      <c r="BB721" s="47">
        <v>0.70699999999999996</v>
      </c>
      <c r="BC721" s="12">
        <v>61.2</v>
      </c>
      <c r="BD721" s="12">
        <v>72.2</v>
      </c>
      <c r="BE721" s="12">
        <v>66.7</v>
      </c>
      <c r="BF721" s="12">
        <v>56.7</v>
      </c>
      <c r="BG721" s="18" t="s">
        <v>1030</v>
      </c>
      <c r="BH721" s="18" t="s">
        <v>1031</v>
      </c>
    </row>
    <row r="722" spans="1:60" ht="15.75" customHeight="1" x14ac:dyDescent="0.2">
      <c r="A722" s="11">
        <v>725</v>
      </c>
      <c r="B722" s="12">
        <v>12178</v>
      </c>
      <c r="C722" s="13" t="s">
        <v>887</v>
      </c>
      <c r="D722" s="13" t="s">
        <v>888</v>
      </c>
      <c r="E722" s="13">
        <v>2014</v>
      </c>
      <c r="F722" s="13">
        <v>2015</v>
      </c>
      <c r="G722" s="13" t="s">
        <v>125</v>
      </c>
      <c r="H722" s="13"/>
      <c r="I722" s="13" t="s">
        <v>54</v>
      </c>
      <c r="J722" s="13" t="s">
        <v>55</v>
      </c>
      <c r="K722" s="13"/>
      <c r="L722" s="43">
        <v>43</v>
      </c>
      <c r="M722" s="26">
        <v>74</v>
      </c>
      <c r="N722" s="13" t="s">
        <v>99</v>
      </c>
      <c r="O722" s="13"/>
      <c r="P722" s="12">
        <f>IF(Q722="", 0, 1)</f>
        <v>0</v>
      </c>
      <c r="Q722" s="22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2">
        <v>1</v>
      </c>
      <c r="AC722" s="13">
        <v>322</v>
      </c>
      <c r="AD722" s="12">
        <v>106.64</v>
      </c>
      <c r="AE722" s="12">
        <v>148.84</v>
      </c>
      <c r="AF722" s="12"/>
      <c r="AG722" s="12"/>
      <c r="AH722" s="12"/>
      <c r="AI722" s="12"/>
      <c r="AJ722" s="12"/>
      <c r="AK722" s="12"/>
      <c r="AL722" s="12" t="str">
        <f>IF(AF722="", "mean", "med")</f>
        <v>mean</v>
      </c>
      <c r="AM722" s="12">
        <f>IF(AF722="", AD722, AF722)</f>
        <v>106.64</v>
      </c>
      <c r="AN722" s="12">
        <v>0</v>
      </c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 t="s">
        <v>52</v>
      </c>
      <c r="BA722" s="12" t="str">
        <f>IF(AZ722="high","high","lower")</f>
        <v>high</v>
      </c>
      <c r="BB722" s="47">
        <v>0.89200000000000002</v>
      </c>
      <c r="BC722" s="12">
        <v>84</v>
      </c>
      <c r="BD722" s="12">
        <v>89.7</v>
      </c>
      <c r="BE722" s="12">
        <v>70.8</v>
      </c>
      <c r="BF722" s="12">
        <v>89.2</v>
      </c>
      <c r="BG722" s="18" t="s">
        <v>1030</v>
      </c>
      <c r="BH722" s="18" t="s">
        <v>1031</v>
      </c>
    </row>
    <row r="723" spans="1:60" ht="15.75" customHeight="1" x14ac:dyDescent="0.2">
      <c r="A723" s="11">
        <v>726</v>
      </c>
      <c r="B723" s="12">
        <v>12178</v>
      </c>
      <c r="C723" s="13" t="s">
        <v>887</v>
      </c>
      <c r="D723" s="13" t="s">
        <v>889</v>
      </c>
      <c r="E723" s="13">
        <v>2017</v>
      </c>
      <c r="F723" s="13">
        <v>2018</v>
      </c>
      <c r="G723" s="13" t="s">
        <v>125</v>
      </c>
      <c r="H723" s="13"/>
      <c r="I723" s="13" t="s">
        <v>54</v>
      </c>
      <c r="J723" s="13" t="s">
        <v>55</v>
      </c>
      <c r="K723" s="13"/>
      <c r="L723" s="15">
        <v>38</v>
      </c>
      <c r="M723" s="26">
        <v>75</v>
      </c>
      <c r="N723" s="13" t="s">
        <v>99</v>
      </c>
      <c r="O723" s="13"/>
      <c r="P723" s="12">
        <f>IF(Q723="", 0, 1)</f>
        <v>0</v>
      </c>
      <c r="Q723" s="12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2">
        <v>1</v>
      </c>
      <c r="AC723" s="13">
        <v>285</v>
      </c>
      <c r="AD723" s="12">
        <v>82.84</v>
      </c>
      <c r="AE723" s="12">
        <v>109.31</v>
      </c>
      <c r="AF723" s="12"/>
      <c r="AG723" s="12"/>
      <c r="AH723" s="12"/>
      <c r="AI723" s="12"/>
      <c r="AJ723" s="12"/>
      <c r="AK723" s="12"/>
      <c r="AL723" s="12" t="str">
        <f>IF(AF723="", "mean", "med")</f>
        <v>mean</v>
      </c>
      <c r="AM723" s="12">
        <f>IF(AF723="", AD723, AF723)</f>
        <v>82.84</v>
      </c>
      <c r="AN723" s="12">
        <v>0</v>
      </c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 t="s">
        <v>52</v>
      </c>
      <c r="BA723" s="12" t="str">
        <f>IF(AZ723="high","high","lower")</f>
        <v>high</v>
      </c>
      <c r="BB723" s="47">
        <v>0.90400000000000003</v>
      </c>
      <c r="BC723" s="12">
        <v>84</v>
      </c>
      <c r="BD723" s="12">
        <v>89.7</v>
      </c>
      <c r="BE723" s="12">
        <v>70.8</v>
      </c>
      <c r="BF723" s="12">
        <v>89.2</v>
      </c>
      <c r="BG723" s="18" t="s">
        <v>1030</v>
      </c>
      <c r="BH723" s="18" t="s">
        <v>1031</v>
      </c>
    </row>
    <row r="724" spans="1:60" ht="15.75" customHeight="1" x14ac:dyDescent="0.2">
      <c r="A724" s="11">
        <v>727</v>
      </c>
      <c r="B724" s="12">
        <v>13810</v>
      </c>
      <c r="C724" s="13" t="s">
        <v>890</v>
      </c>
      <c r="D724" s="13" t="s">
        <v>38</v>
      </c>
      <c r="E724" s="13">
        <v>2015</v>
      </c>
      <c r="F724" s="13">
        <v>2016</v>
      </c>
      <c r="G724" s="13" t="s">
        <v>158</v>
      </c>
      <c r="H724" s="13"/>
      <c r="I724" s="13" t="s">
        <v>54</v>
      </c>
      <c r="J724" s="13" t="s">
        <v>226</v>
      </c>
      <c r="K724" s="13"/>
      <c r="L724" s="15">
        <v>25.8</v>
      </c>
      <c r="M724" s="26">
        <v>55.4</v>
      </c>
      <c r="N724" s="13" t="s">
        <v>41</v>
      </c>
      <c r="O724" s="13" t="s">
        <v>41</v>
      </c>
      <c r="P724" s="12">
        <f>IF(Q724="", 0, 1)</f>
        <v>1</v>
      </c>
      <c r="Q724" s="12">
        <v>31</v>
      </c>
      <c r="R724" s="17">
        <v>180.9</v>
      </c>
      <c r="S724" s="17">
        <v>134.9</v>
      </c>
      <c r="T724" s="17">
        <v>150</v>
      </c>
      <c r="U724" s="17"/>
      <c r="V724" s="17"/>
      <c r="W724" s="17"/>
      <c r="X724" s="17">
        <v>30</v>
      </c>
      <c r="Y724" s="17">
        <v>540</v>
      </c>
      <c r="Z724" s="17" t="str">
        <f>IF(T724="", "mean", "med")</f>
        <v>med</v>
      </c>
      <c r="AA724" s="17">
        <f>IF(T724="", R724, T724)</f>
        <v>150</v>
      </c>
      <c r="AB724" s="12">
        <f>IF(AC724="", 0, 1)</f>
        <v>0</v>
      </c>
      <c r="AC724" s="13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>
        <v>1</v>
      </c>
      <c r="AO724" s="12">
        <v>31</v>
      </c>
      <c r="AP724" s="12">
        <v>47.9</v>
      </c>
      <c r="AQ724" s="12">
        <v>58.7</v>
      </c>
      <c r="AR724" s="12">
        <v>30</v>
      </c>
      <c r="AS724" s="12"/>
      <c r="AT724" s="12"/>
      <c r="AU724" s="12"/>
      <c r="AV724" s="12">
        <v>1</v>
      </c>
      <c r="AW724" s="12">
        <v>180</v>
      </c>
      <c r="AX724" s="12" t="str">
        <f>IF(AR724="", "mean", "med")</f>
        <v>med</v>
      </c>
      <c r="AY724" s="12">
        <f>IF(AR724="", AP724, AR724)</f>
        <v>30</v>
      </c>
      <c r="AZ724" s="12" t="s">
        <v>886</v>
      </c>
      <c r="BA724" s="12" t="str">
        <f>IF(AZ724="high","high","lower")</f>
        <v>lower</v>
      </c>
      <c r="BB724" s="47">
        <v>0.75700000000000001</v>
      </c>
      <c r="BC724" s="12">
        <v>82.2</v>
      </c>
      <c r="BD724" s="12">
        <v>94.4</v>
      </c>
      <c r="BE724" s="12">
        <v>83.3</v>
      </c>
      <c r="BF724" s="12">
        <v>84.1</v>
      </c>
      <c r="BG724" s="18" t="s">
        <v>1030</v>
      </c>
      <c r="BH724" s="18" t="s">
        <v>1031</v>
      </c>
    </row>
    <row r="725" spans="1:60" ht="15.75" customHeight="1" x14ac:dyDescent="0.2">
      <c r="A725" s="11">
        <v>728</v>
      </c>
      <c r="B725" s="12">
        <v>12618</v>
      </c>
      <c r="C725" s="13" t="s">
        <v>891</v>
      </c>
      <c r="D725" s="13" t="s">
        <v>38</v>
      </c>
      <c r="E725" s="13">
        <v>2016</v>
      </c>
      <c r="F725" s="13">
        <v>2019</v>
      </c>
      <c r="G725" s="13" t="s">
        <v>158</v>
      </c>
      <c r="H725" s="13"/>
      <c r="I725" s="13" t="s">
        <v>40</v>
      </c>
      <c r="J725" s="13" t="s">
        <v>40</v>
      </c>
      <c r="K725" s="14"/>
      <c r="L725" s="15">
        <v>100</v>
      </c>
      <c r="M725" s="26">
        <v>54.5</v>
      </c>
      <c r="N725" s="13" t="s">
        <v>42</v>
      </c>
      <c r="O725" s="13" t="s">
        <v>41</v>
      </c>
      <c r="P725" s="12">
        <v>1</v>
      </c>
      <c r="Q725" s="12">
        <v>236</v>
      </c>
      <c r="R725" s="17">
        <v>62.39</v>
      </c>
      <c r="S725" s="17">
        <v>47.9</v>
      </c>
      <c r="T725" s="17">
        <v>54</v>
      </c>
      <c r="U725" s="17"/>
      <c r="V725" s="17"/>
      <c r="W725" s="17"/>
      <c r="X725" s="17"/>
      <c r="Y725" s="17"/>
      <c r="Z725" s="17" t="str">
        <f>IF(T725="", "mean", "med")</f>
        <v>med</v>
      </c>
      <c r="AA725" s="17">
        <f>IF(T725="", R725, T725)</f>
        <v>54</v>
      </c>
      <c r="AB725" s="12">
        <f>IF(AC725="", 0, 1)</f>
        <v>0</v>
      </c>
      <c r="AC725" s="13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>
        <v>0</v>
      </c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 t="s">
        <v>886</v>
      </c>
      <c r="BA725" s="12" t="str">
        <f>IF(AZ725="high","high","lower")</f>
        <v>lower</v>
      </c>
      <c r="BB725" s="47">
        <v>0.76200000000000001</v>
      </c>
      <c r="BC725" s="12">
        <v>82.2</v>
      </c>
      <c r="BD725" s="12">
        <v>94.4</v>
      </c>
      <c r="BE725" s="12">
        <v>83.3</v>
      </c>
      <c r="BF725" s="12">
        <v>84.1</v>
      </c>
      <c r="BG725" s="18" t="s">
        <v>1030</v>
      </c>
      <c r="BH725" s="18" t="s">
        <v>1031</v>
      </c>
    </row>
    <row r="726" spans="1:60" ht="15.75" customHeight="1" x14ac:dyDescent="0.2">
      <c r="A726" s="11">
        <v>729</v>
      </c>
      <c r="B726" s="12">
        <v>12530</v>
      </c>
      <c r="C726" s="14" t="s">
        <v>892</v>
      </c>
      <c r="D726" s="14" t="s">
        <v>38</v>
      </c>
      <c r="E726" s="13">
        <v>2002</v>
      </c>
      <c r="F726" s="13">
        <v>2015</v>
      </c>
      <c r="G726" s="14" t="s">
        <v>363</v>
      </c>
      <c r="H726" s="14"/>
      <c r="I726" s="13" t="s">
        <v>57</v>
      </c>
      <c r="J726" s="13" t="s">
        <v>58</v>
      </c>
      <c r="K726" s="14"/>
      <c r="L726" s="19">
        <v>28.99</v>
      </c>
      <c r="M726" s="20" t="s">
        <v>41</v>
      </c>
      <c r="N726" s="13" t="s">
        <v>99</v>
      </c>
      <c r="O726" s="13" t="s">
        <v>90</v>
      </c>
      <c r="P726" s="12">
        <v>1</v>
      </c>
      <c r="Q726" s="12">
        <v>1535</v>
      </c>
      <c r="R726" s="17">
        <v>54.1</v>
      </c>
      <c r="S726" s="17"/>
      <c r="T726" s="17">
        <v>27</v>
      </c>
      <c r="U726" s="17"/>
      <c r="V726" s="17"/>
      <c r="W726" s="17"/>
      <c r="X726" s="21"/>
      <c r="Y726" s="21"/>
      <c r="Z726" s="17" t="str">
        <f>IF(T726="", "mean", "med")</f>
        <v>med</v>
      </c>
      <c r="AA726" s="17">
        <f>IF(T726="", R726, T726)</f>
        <v>27</v>
      </c>
      <c r="AB726" s="12">
        <f>IF(AC726="", 0, 1)</f>
        <v>0</v>
      </c>
      <c r="AC726" s="13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>
        <v>0</v>
      </c>
      <c r="AO726" s="22"/>
      <c r="AP726" s="12"/>
      <c r="AQ726" s="12"/>
      <c r="AR726" s="22"/>
      <c r="AS726" s="12"/>
      <c r="AT726" s="12"/>
      <c r="AU726" s="12"/>
      <c r="AV726" s="12"/>
      <c r="AW726" s="12"/>
      <c r="AX726" s="12"/>
      <c r="AY726" s="12"/>
      <c r="AZ726" s="12" t="s">
        <v>52</v>
      </c>
      <c r="BA726" s="12" t="str">
        <f>IF(AZ726="high","high","lower")</f>
        <v>high</v>
      </c>
      <c r="BB726" s="47">
        <v>0.878</v>
      </c>
      <c r="BC726" s="12">
        <v>80.400000000000006</v>
      </c>
      <c r="BD726" s="12">
        <v>86.7</v>
      </c>
      <c r="BE726" s="12">
        <v>83.3</v>
      </c>
      <c r="BF726" s="12">
        <v>80</v>
      </c>
      <c r="BG726" s="18" t="s">
        <v>1030</v>
      </c>
      <c r="BH726" s="18" t="s">
        <v>1031</v>
      </c>
    </row>
    <row r="727" spans="1:60" ht="15.75" customHeight="1" x14ac:dyDescent="0.2">
      <c r="A727" s="11">
        <v>730</v>
      </c>
      <c r="B727" s="12">
        <v>12124</v>
      </c>
      <c r="C727" s="13" t="s">
        <v>893</v>
      </c>
      <c r="D727" s="13" t="s">
        <v>38</v>
      </c>
      <c r="E727" s="13">
        <v>2004</v>
      </c>
      <c r="F727" s="13">
        <v>2015</v>
      </c>
      <c r="G727" s="13" t="s">
        <v>49</v>
      </c>
      <c r="H727" s="13"/>
      <c r="I727" s="13" t="s">
        <v>70</v>
      </c>
      <c r="J727" s="13" t="s">
        <v>119</v>
      </c>
      <c r="K727" s="13"/>
      <c r="L727" s="15">
        <v>44</v>
      </c>
      <c r="M727" s="26" t="s">
        <v>41</v>
      </c>
      <c r="N727" s="13" t="s">
        <v>99</v>
      </c>
      <c r="O727" s="14" t="s">
        <v>894</v>
      </c>
      <c r="P727" s="12">
        <v>1</v>
      </c>
      <c r="Q727" s="12">
        <v>104118</v>
      </c>
      <c r="R727" s="21">
        <v>31.55</v>
      </c>
      <c r="S727" s="17"/>
      <c r="T727" s="17">
        <v>27</v>
      </c>
      <c r="U727" s="17"/>
      <c r="V727" s="17"/>
      <c r="W727" s="17"/>
      <c r="X727" s="17"/>
      <c r="Y727" s="17"/>
      <c r="Z727" s="17" t="str">
        <f>IF(T727="", "mean", "med")</f>
        <v>med</v>
      </c>
      <c r="AA727" s="17">
        <f>IF(T727="", R727, T727)</f>
        <v>27</v>
      </c>
      <c r="AB727" s="12">
        <f>IF(AC727="", 0, 1)</f>
        <v>0</v>
      </c>
      <c r="AC727" s="13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>
        <v>0</v>
      </c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 t="s">
        <v>52</v>
      </c>
      <c r="BA727" s="12" t="str">
        <f>IF(AZ727="high","high","lower")</f>
        <v>high</v>
      </c>
      <c r="BB727" s="47">
        <v>0.91200000000000003</v>
      </c>
      <c r="BC727" s="12">
        <v>84</v>
      </c>
      <c r="BD727" s="12">
        <v>88</v>
      </c>
      <c r="BE727" s="12">
        <v>100</v>
      </c>
      <c r="BF727" s="12">
        <v>84.2</v>
      </c>
      <c r="BG727" s="18" t="s">
        <v>1030</v>
      </c>
      <c r="BH727" s="18" t="s">
        <v>1031</v>
      </c>
    </row>
    <row r="728" spans="1:60" ht="15.75" customHeight="1" x14ac:dyDescent="0.2">
      <c r="A728" s="11">
        <v>731</v>
      </c>
      <c r="B728" s="12">
        <v>12639</v>
      </c>
      <c r="C728" s="13" t="s">
        <v>895</v>
      </c>
      <c r="D728" s="13" t="s">
        <v>38</v>
      </c>
      <c r="E728" s="13">
        <v>2019</v>
      </c>
      <c r="F728" s="13">
        <v>2019</v>
      </c>
      <c r="G728" s="13" t="s">
        <v>145</v>
      </c>
      <c r="H728" s="13"/>
      <c r="I728" s="31" t="s">
        <v>104</v>
      </c>
      <c r="J728" s="13" t="s">
        <v>206</v>
      </c>
      <c r="K728" s="13"/>
      <c r="L728" s="15">
        <v>100</v>
      </c>
      <c r="M728" s="26">
        <v>54</v>
      </c>
      <c r="N728" s="13" t="s">
        <v>41</v>
      </c>
      <c r="O728" s="14" t="s">
        <v>655</v>
      </c>
      <c r="P728" s="12">
        <f>IF(Q728="", 0, 1)</f>
        <v>1</v>
      </c>
      <c r="Q728" s="12">
        <v>43</v>
      </c>
      <c r="R728" s="17"/>
      <c r="S728" s="17"/>
      <c r="T728" s="17">
        <v>17</v>
      </c>
      <c r="U728" s="17">
        <v>11</v>
      </c>
      <c r="V728" s="17">
        <v>30</v>
      </c>
      <c r="W728" s="17"/>
      <c r="X728" s="17"/>
      <c r="Y728" s="17"/>
      <c r="Z728" s="17" t="str">
        <f>IF(T728="", "mean", "med")</f>
        <v>med</v>
      </c>
      <c r="AA728" s="17">
        <f>IF(T728="", R728, T728)</f>
        <v>17</v>
      </c>
      <c r="AB728" s="12">
        <f>IF(AC728="", 0, 1)</f>
        <v>0</v>
      </c>
      <c r="AC728" s="13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>
        <v>0</v>
      </c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 t="s">
        <v>808</v>
      </c>
      <c r="BA728" s="12" t="str">
        <f>IF(AZ728="high","high","lower")</f>
        <v>lower</v>
      </c>
      <c r="BB728" s="47">
        <v>0.64500000000000002</v>
      </c>
      <c r="BC728" s="12">
        <v>64.900000000000006</v>
      </c>
      <c r="BD728" s="12">
        <v>80.8</v>
      </c>
      <c r="BE728" s="12">
        <v>58.3</v>
      </c>
      <c r="BF728" s="12">
        <v>61.3</v>
      </c>
      <c r="BG728" s="18" t="s">
        <v>1030</v>
      </c>
      <c r="BH728" s="18" t="s">
        <v>1031</v>
      </c>
    </row>
    <row r="729" spans="1:60" ht="15.75" customHeight="1" x14ac:dyDescent="0.2">
      <c r="A729" s="11">
        <v>732</v>
      </c>
      <c r="B729" s="12">
        <v>12691</v>
      </c>
      <c r="C729" s="13" t="s">
        <v>896</v>
      </c>
      <c r="D729" s="13" t="s">
        <v>38</v>
      </c>
      <c r="E729" s="13">
        <v>2020</v>
      </c>
      <c r="F729" s="13">
        <v>2020</v>
      </c>
      <c r="G729" s="13" t="s">
        <v>268</v>
      </c>
      <c r="H729" s="13"/>
      <c r="I729" s="13" t="s">
        <v>40</v>
      </c>
      <c r="J729" s="13" t="s">
        <v>40</v>
      </c>
      <c r="K729" s="13"/>
      <c r="L729" s="15">
        <v>100</v>
      </c>
      <c r="M729" s="26">
        <v>44.1</v>
      </c>
      <c r="N729" s="13" t="s">
        <v>42</v>
      </c>
      <c r="O729" s="13"/>
      <c r="P729" s="12">
        <f>IF(Q729="", 0, 1)</f>
        <v>0</v>
      </c>
      <c r="Q729" s="12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2">
        <f>IF(AC729="", 0, 1)</f>
        <v>0</v>
      </c>
      <c r="AC729" s="13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>
        <v>1</v>
      </c>
      <c r="AO729" s="12">
        <v>204</v>
      </c>
      <c r="AP729" s="12"/>
      <c r="AQ729" s="12"/>
      <c r="AR729" s="12">
        <v>120</v>
      </c>
      <c r="AS729" s="12"/>
      <c r="AT729" s="12"/>
      <c r="AU729" s="12"/>
      <c r="AV729" s="12"/>
      <c r="AW729" s="12"/>
      <c r="AX729" s="12" t="str">
        <f>IF(AR729="", "mean", "med")</f>
        <v>med</v>
      </c>
      <c r="AY729" s="12">
        <f>IF(AR729="", AP729, AR729)</f>
        <v>120</v>
      </c>
      <c r="AZ729" s="49" t="s">
        <v>146</v>
      </c>
      <c r="BA729" s="49" t="str">
        <f>IF(AZ729="high","high","lower")</f>
        <v>lower</v>
      </c>
      <c r="BB729" s="47">
        <v>0.48499999999999999</v>
      </c>
      <c r="BC729" s="49"/>
      <c r="BD729" s="49"/>
      <c r="BE729" s="49"/>
      <c r="BF729" s="49"/>
      <c r="BG729" s="18" t="s">
        <v>1030</v>
      </c>
      <c r="BH729" s="18" t="s">
        <v>1031</v>
      </c>
    </row>
    <row r="730" spans="1:60" ht="15.75" customHeight="1" x14ac:dyDescent="0.2">
      <c r="A730" s="11">
        <v>733</v>
      </c>
      <c r="B730" s="12">
        <v>11966</v>
      </c>
      <c r="C730" s="13" t="s">
        <v>897</v>
      </c>
      <c r="D730" s="13" t="s">
        <v>38</v>
      </c>
      <c r="E730" s="13">
        <v>2008</v>
      </c>
      <c r="F730" s="13">
        <v>2013</v>
      </c>
      <c r="G730" s="13" t="s">
        <v>49</v>
      </c>
      <c r="H730" s="13"/>
      <c r="I730" s="13" t="s">
        <v>40</v>
      </c>
      <c r="J730" s="13" t="s">
        <v>40</v>
      </c>
      <c r="K730" s="13"/>
      <c r="L730" s="15">
        <v>100</v>
      </c>
      <c r="M730" s="26" t="s">
        <v>41</v>
      </c>
      <c r="N730" s="13" t="s">
        <v>41</v>
      </c>
      <c r="O730" s="13" t="s">
        <v>898</v>
      </c>
      <c r="P730" s="12">
        <v>1</v>
      </c>
      <c r="Q730" s="12">
        <v>2841</v>
      </c>
      <c r="R730" s="17"/>
      <c r="S730" s="17"/>
      <c r="T730" s="17">
        <v>34</v>
      </c>
      <c r="U730" s="17">
        <v>19</v>
      </c>
      <c r="V730" s="17">
        <v>43</v>
      </c>
      <c r="W730" s="17"/>
      <c r="X730" s="17"/>
      <c r="Y730" s="17"/>
      <c r="Z730" s="17" t="str">
        <f>IF(T730="", "mean", "med")</f>
        <v>med</v>
      </c>
      <c r="AA730" s="17">
        <f>IF(T730="", R730, T730)</f>
        <v>34</v>
      </c>
      <c r="AB730" s="12">
        <f>IF(AC730="", 0, 1)</f>
        <v>0</v>
      </c>
      <c r="AC730" s="13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>
        <v>0</v>
      </c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 t="s">
        <v>52</v>
      </c>
      <c r="BA730" s="12" t="str">
        <f>IF(AZ730="high","high","lower")</f>
        <v>high</v>
      </c>
      <c r="BB730" s="47">
        <v>0.91600000000000004</v>
      </c>
      <c r="BC730" s="12">
        <v>84</v>
      </c>
      <c r="BD730" s="12">
        <v>88</v>
      </c>
      <c r="BE730" s="12">
        <v>100</v>
      </c>
      <c r="BF730" s="12">
        <v>84.2</v>
      </c>
      <c r="BG730" s="18" t="s">
        <v>1030</v>
      </c>
      <c r="BH730" s="18" t="s">
        <v>1031</v>
      </c>
    </row>
    <row r="731" spans="1:60" ht="15.75" customHeight="1" x14ac:dyDescent="0.2">
      <c r="A731" s="11">
        <v>734</v>
      </c>
      <c r="B731" s="12">
        <v>13467</v>
      </c>
      <c r="C731" s="13" t="s">
        <v>899</v>
      </c>
      <c r="D731" s="13" t="s">
        <v>38</v>
      </c>
      <c r="E731" s="13">
        <v>2018</v>
      </c>
      <c r="F731" s="13">
        <v>2019</v>
      </c>
      <c r="G731" s="13" t="s">
        <v>608</v>
      </c>
      <c r="H731" s="13"/>
      <c r="I731" s="13" t="s">
        <v>104</v>
      </c>
      <c r="J731" s="13" t="s">
        <v>105</v>
      </c>
      <c r="K731" s="14"/>
      <c r="L731" s="19">
        <v>100</v>
      </c>
      <c r="M731" s="26">
        <v>46</v>
      </c>
      <c r="N731" s="13" t="s">
        <v>42</v>
      </c>
      <c r="O731" s="13" t="s">
        <v>898</v>
      </c>
      <c r="P731" s="12">
        <f>IF(Q731="", 0, 1)</f>
        <v>1</v>
      </c>
      <c r="Q731" s="22">
        <v>1249</v>
      </c>
      <c r="R731" s="17"/>
      <c r="S731" s="17"/>
      <c r="T731" s="17">
        <v>71</v>
      </c>
      <c r="U731" s="17">
        <v>42</v>
      </c>
      <c r="V731" s="17">
        <v>105</v>
      </c>
      <c r="W731" s="17"/>
      <c r="X731" s="17"/>
      <c r="Y731" s="17"/>
      <c r="Z731" s="17" t="str">
        <f>IF(T731="", "mean", "med")</f>
        <v>med</v>
      </c>
      <c r="AA731" s="17">
        <f>IF(T731="", R731, T731)</f>
        <v>71</v>
      </c>
      <c r="AB731" s="12">
        <f>IF(AC731="", 0, 1)</f>
        <v>0</v>
      </c>
      <c r="AC731" s="13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>
        <v>0</v>
      </c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 t="s">
        <v>886</v>
      </c>
      <c r="BA731" s="12" t="str">
        <f>IF(AZ731="high","high","lower")</f>
        <v>lower</v>
      </c>
      <c r="BB731" s="47">
        <v>0.76600000000000001</v>
      </c>
      <c r="BC731" s="12">
        <v>83.6</v>
      </c>
      <c r="BD731" s="12">
        <v>79.8</v>
      </c>
      <c r="BE731" s="12">
        <v>92.1</v>
      </c>
      <c r="BF731" s="12">
        <v>91.7</v>
      </c>
      <c r="BG731" s="18" t="s">
        <v>1034</v>
      </c>
      <c r="BH731" s="18" t="s">
        <v>1031</v>
      </c>
    </row>
    <row r="732" spans="1:60" ht="15.75" customHeight="1" x14ac:dyDescent="0.2">
      <c r="A732" s="11">
        <v>735</v>
      </c>
      <c r="B732" s="12">
        <v>13716</v>
      </c>
      <c r="C732" s="13" t="s">
        <v>900</v>
      </c>
      <c r="D732" s="13" t="s">
        <v>901</v>
      </c>
      <c r="E732" s="13">
        <v>2019</v>
      </c>
      <c r="F732" s="13">
        <v>2020</v>
      </c>
      <c r="G732" s="13" t="s">
        <v>249</v>
      </c>
      <c r="H732" s="13"/>
      <c r="I732" s="13" t="s">
        <v>59</v>
      </c>
      <c r="J732" s="13" t="s">
        <v>82</v>
      </c>
      <c r="K732" s="13"/>
      <c r="L732" s="15">
        <v>20</v>
      </c>
      <c r="M732" s="26">
        <v>74</v>
      </c>
      <c r="N732" s="13" t="s">
        <v>41</v>
      </c>
      <c r="O732" s="13" t="s">
        <v>90</v>
      </c>
      <c r="P732" s="12">
        <v>1</v>
      </c>
      <c r="Q732" s="12">
        <v>1535</v>
      </c>
      <c r="R732" s="17"/>
      <c r="S732" s="17"/>
      <c r="T732" s="17">
        <v>52</v>
      </c>
      <c r="U732" s="17">
        <v>29</v>
      </c>
      <c r="V732" s="17">
        <v>75</v>
      </c>
      <c r="W732" s="17"/>
      <c r="X732" s="17"/>
      <c r="Y732" s="17"/>
      <c r="Z732" s="17" t="str">
        <f>IF(T732="", "mean", "med")</f>
        <v>med</v>
      </c>
      <c r="AA732" s="17">
        <f>IF(T732="", R732, T732)</f>
        <v>52</v>
      </c>
      <c r="AB732" s="12">
        <f>IF(AC732="", 0, 1)</f>
        <v>0</v>
      </c>
      <c r="AC732" s="13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>
        <v>0</v>
      </c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 t="s">
        <v>52</v>
      </c>
      <c r="BA732" s="12" t="str">
        <f>IF(AZ732="high","high","lower")</f>
        <v>high</v>
      </c>
      <c r="BB732" s="47">
        <v>0.89200000000000002</v>
      </c>
      <c r="BC732" s="12">
        <v>79.900000000000006</v>
      </c>
      <c r="BD732" s="12">
        <v>85.9</v>
      </c>
      <c r="BE732" s="12">
        <v>70.8</v>
      </c>
      <c r="BF732" s="12">
        <v>84.7</v>
      </c>
      <c r="BG732" s="18" t="s">
        <v>1030</v>
      </c>
      <c r="BH732" s="18" t="s">
        <v>1031</v>
      </c>
    </row>
    <row r="733" spans="1:60" ht="15.75" customHeight="1" x14ac:dyDescent="0.2">
      <c r="A733" s="11">
        <v>736</v>
      </c>
      <c r="B733" s="12">
        <v>12080</v>
      </c>
      <c r="C733" s="13" t="s">
        <v>902</v>
      </c>
      <c r="D733" s="14" t="s">
        <v>38</v>
      </c>
      <c r="E733" s="13">
        <v>2016</v>
      </c>
      <c r="F733" s="13">
        <v>2016</v>
      </c>
      <c r="G733" s="13" t="s">
        <v>903</v>
      </c>
      <c r="H733" s="13"/>
      <c r="I733" s="13" t="s">
        <v>40</v>
      </c>
      <c r="J733" s="13" t="s">
        <v>40</v>
      </c>
      <c r="K733" s="13"/>
      <c r="L733" s="15">
        <v>100</v>
      </c>
      <c r="M733" s="28">
        <v>55.5</v>
      </c>
      <c r="N733" s="13" t="s">
        <v>42</v>
      </c>
      <c r="O733" s="13" t="s">
        <v>904</v>
      </c>
      <c r="P733" s="12">
        <f>IF(Q733="", 0, 1)</f>
        <v>1</v>
      </c>
      <c r="Q733" s="12">
        <v>787</v>
      </c>
      <c r="R733" s="17"/>
      <c r="S733" s="17"/>
      <c r="T733" s="17">
        <f>2.3*7</f>
        <v>16.099999999999998</v>
      </c>
      <c r="U733" s="21">
        <f>1.4*7</f>
        <v>9.7999999999999989</v>
      </c>
      <c r="V733" s="17">
        <f>3.1*7</f>
        <v>21.7</v>
      </c>
      <c r="W733" s="17"/>
      <c r="X733" s="17">
        <f>0.7</f>
        <v>0.7</v>
      </c>
      <c r="Y733" s="17">
        <f>112.7*7</f>
        <v>788.9</v>
      </c>
      <c r="Z733" s="17" t="str">
        <f>IF(T733="", "mean", "med")</f>
        <v>med</v>
      </c>
      <c r="AA733" s="17">
        <f>IF(T733="", R733, T733)</f>
        <v>16.099999999999998</v>
      </c>
      <c r="AB733" s="12">
        <f>IF(AC733="", 0, 1)</f>
        <v>1</v>
      </c>
      <c r="AC733" s="13">
        <v>787</v>
      </c>
      <c r="AD733" s="12"/>
      <c r="AE733" s="12"/>
      <c r="AF733" s="12">
        <f>3.7*7</f>
        <v>25.900000000000002</v>
      </c>
      <c r="AG733" s="12">
        <f>2.3*7</f>
        <v>16.099999999999998</v>
      </c>
      <c r="AH733" s="12">
        <f>5.7*7</f>
        <v>39.9</v>
      </c>
      <c r="AI733" s="12"/>
      <c r="AJ733" s="12">
        <f>0.4*7</f>
        <v>2.8000000000000003</v>
      </c>
      <c r="AK733" s="12">
        <f>58.4*7</f>
        <v>408.8</v>
      </c>
      <c r="AL733" s="12" t="str">
        <f>IF(AF733="", "mean", "med")</f>
        <v>med</v>
      </c>
      <c r="AM733" s="12">
        <f>IF(AF733="", AD733, AF733)</f>
        <v>25.900000000000002</v>
      </c>
      <c r="AN733" s="12">
        <v>1</v>
      </c>
      <c r="AO733" s="12">
        <v>787</v>
      </c>
      <c r="AP733" s="12"/>
      <c r="AQ733" s="12"/>
      <c r="AR733" s="12">
        <f>4.3*7</f>
        <v>30.099999999999998</v>
      </c>
      <c r="AS733" s="12">
        <f>0.3*7</f>
        <v>2.1</v>
      </c>
      <c r="AT733" s="12">
        <f>9.3*7</f>
        <v>65.100000000000009</v>
      </c>
      <c r="AU733" s="12"/>
      <c r="AV733" s="12">
        <v>0</v>
      </c>
      <c r="AW733" s="12">
        <f>207.1*7</f>
        <v>1449.7</v>
      </c>
      <c r="AX733" s="12" t="str">
        <f>IF(AR733="", "mean", "med")</f>
        <v>med</v>
      </c>
      <c r="AY733" s="12">
        <f>IF(AR733="", AP733, AR733)</f>
        <v>30.099999999999998</v>
      </c>
      <c r="AZ733" s="49" t="s">
        <v>808</v>
      </c>
      <c r="BA733" s="49" t="str">
        <f>IF(AZ733="high","high","lower")</f>
        <v>lower</v>
      </c>
      <c r="BB733" s="47">
        <v>0.77300000000000002</v>
      </c>
      <c r="BC733" s="49"/>
      <c r="BD733" s="49"/>
      <c r="BE733" s="49"/>
      <c r="BF733" s="49"/>
      <c r="BG733" s="18" t="s">
        <v>1030</v>
      </c>
      <c r="BH733" s="18" t="s">
        <v>1031</v>
      </c>
    </row>
    <row r="734" spans="1:60" ht="15.75" customHeight="1" x14ac:dyDescent="0.2">
      <c r="A734" s="11">
        <v>737</v>
      </c>
      <c r="B734" s="22">
        <v>11961</v>
      </c>
      <c r="C734" s="13" t="s">
        <v>905</v>
      </c>
      <c r="D734" s="13" t="s">
        <v>236</v>
      </c>
      <c r="E734" s="13">
        <v>2016</v>
      </c>
      <c r="F734" s="13">
        <v>2017</v>
      </c>
      <c r="G734" s="13" t="s">
        <v>145</v>
      </c>
      <c r="H734" s="13"/>
      <c r="I734" s="13" t="s">
        <v>79</v>
      </c>
      <c r="J734" s="31" t="s">
        <v>236</v>
      </c>
      <c r="K734" s="13"/>
      <c r="L734" s="15" t="s">
        <v>41</v>
      </c>
      <c r="M734" s="15" t="s">
        <v>41</v>
      </c>
      <c r="N734" s="13" t="s">
        <v>42</v>
      </c>
      <c r="O734" s="13"/>
      <c r="P734" s="12">
        <f>IF(Q734="", 0, 1)</f>
        <v>0</v>
      </c>
      <c r="Q734" s="22"/>
      <c r="R734" s="21"/>
      <c r="S734" s="21"/>
      <c r="T734" s="17"/>
      <c r="U734" s="17"/>
      <c r="V734" s="17"/>
      <c r="W734" s="17"/>
      <c r="X734" s="17"/>
      <c r="Y734" s="17"/>
      <c r="Z734" s="17"/>
      <c r="AA734" s="17"/>
      <c r="AB734" s="12">
        <v>1</v>
      </c>
      <c r="AC734" s="13">
        <v>119</v>
      </c>
      <c r="AD734" s="12"/>
      <c r="AE734" s="12"/>
      <c r="AF734" s="12">
        <v>30</v>
      </c>
      <c r="AG734" s="12">
        <v>15</v>
      </c>
      <c r="AH734" s="12">
        <v>47</v>
      </c>
      <c r="AI734" s="12"/>
      <c r="AJ734" s="12"/>
      <c r="AK734" s="12"/>
      <c r="AL734" s="12" t="str">
        <f>IF(AF734="", "mean", "med")</f>
        <v>med</v>
      </c>
      <c r="AM734" s="12">
        <f>IF(AF734="", AD734, AF734)</f>
        <v>30</v>
      </c>
      <c r="AN734" s="12">
        <v>1</v>
      </c>
      <c r="AO734" s="13">
        <v>119</v>
      </c>
      <c r="AP734" s="12"/>
      <c r="AQ734" s="12"/>
      <c r="AR734" s="12">
        <v>30</v>
      </c>
      <c r="AS734" s="12">
        <v>20</v>
      </c>
      <c r="AT734" s="12">
        <v>65</v>
      </c>
      <c r="AU734" s="12"/>
      <c r="AV734" s="12"/>
      <c r="AW734" s="12"/>
      <c r="AX734" s="12" t="str">
        <f>IF(AR734="", "mean", "med")</f>
        <v>med</v>
      </c>
      <c r="AY734" s="12">
        <f>IF(AR734="", AP734, AR734)</f>
        <v>30</v>
      </c>
      <c r="AZ734" s="12" t="s">
        <v>808</v>
      </c>
      <c r="BA734" s="12" t="str">
        <f>IF(AZ734="high","high","lower")</f>
        <v>lower</v>
      </c>
      <c r="BB734" s="47">
        <v>0.63500000000000001</v>
      </c>
      <c r="BC734" s="12">
        <v>64.900000000000006</v>
      </c>
      <c r="BD734" s="12">
        <v>80.8</v>
      </c>
      <c r="BE734" s="12">
        <v>58.3</v>
      </c>
      <c r="BF734" s="12">
        <v>61.3</v>
      </c>
      <c r="BG734" s="18" t="s">
        <v>1030</v>
      </c>
      <c r="BH734" s="18" t="s">
        <v>1031</v>
      </c>
    </row>
    <row r="735" spans="1:60" ht="15.75" customHeight="1" x14ac:dyDescent="0.2">
      <c r="A735" s="11">
        <v>738</v>
      </c>
      <c r="B735" s="12">
        <v>11961</v>
      </c>
      <c r="C735" s="13" t="s">
        <v>905</v>
      </c>
      <c r="D735" s="13" t="s">
        <v>238</v>
      </c>
      <c r="E735" s="13">
        <v>2016</v>
      </c>
      <c r="F735" s="13">
        <v>2017</v>
      </c>
      <c r="G735" s="13" t="s">
        <v>145</v>
      </c>
      <c r="H735" s="13"/>
      <c r="I735" s="13" t="s">
        <v>79</v>
      </c>
      <c r="J735" s="13" t="s">
        <v>238</v>
      </c>
      <c r="K735" s="13"/>
      <c r="L735" s="15" t="s">
        <v>41</v>
      </c>
      <c r="M735" s="15" t="s">
        <v>41</v>
      </c>
      <c r="N735" s="13" t="s">
        <v>42</v>
      </c>
      <c r="O735" s="13"/>
      <c r="P735" s="12">
        <v>0</v>
      </c>
      <c r="Q735" s="12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2">
        <v>1</v>
      </c>
      <c r="AC735" s="13">
        <v>23</v>
      </c>
      <c r="AD735" s="12"/>
      <c r="AE735" s="12"/>
      <c r="AF735" s="12">
        <v>25</v>
      </c>
      <c r="AG735" s="12">
        <v>16</v>
      </c>
      <c r="AH735" s="12">
        <v>54</v>
      </c>
      <c r="AI735" s="12"/>
      <c r="AJ735" s="12"/>
      <c r="AK735" s="12"/>
      <c r="AL735" s="12" t="str">
        <f>IF(AF735="", "mean", "med")</f>
        <v>med</v>
      </c>
      <c r="AM735" s="12">
        <f>IF(AF735="", AD735, AF735)</f>
        <v>25</v>
      </c>
      <c r="AN735" s="12">
        <v>1</v>
      </c>
      <c r="AO735" s="13">
        <v>23</v>
      </c>
      <c r="AP735" s="12"/>
      <c r="AQ735" s="12"/>
      <c r="AR735" s="12">
        <v>30</v>
      </c>
      <c r="AS735" s="12">
        <v>10</v>
      </c>
      <c r="AT735" s="12">
        <v>60</v>
      </c>
      <c r="AU735" s="12"/>
      <c r="AV735" s="12"/>
      <c r="AW735" s="12"/>
      <c r="AX735" s="12" t="str">
        <f>IF(AR735="", "mean", "med")</f>
        <v>med</v>
      </c>
      <c r="AY735" s="12">
        <f>IF(AR735="", AP735, AR735)</f>
        <v>30</v>
      </c>
      <c r="AZ735" s="12" t="s">
        <v>808</v>
      </c>
      <c r="BA735" s="12" t="str">
        <f>IF(AZ735="high","high","lower")</f>
        <v>lower</v>
      </c>
      <c r="BB735" s="47">
        <v>0.63500000000000001</v>
      </c>
      <c r="BC735" s="12">
        <v>64.900000000000006</v>
      </c>
      <c r="BD735" s="12">
        <v>80.8</v>
      </c>
      <c r="BE735" s="12">
        <v>58.3</v>
      </c>
      <c r="BF735" s="12">
        <v>61.3</v>
      </c>
      <c r="BG735" s="18" t="s">
        <v>1030</v>
      </c>
      <c r="BH735" s="18" t="s">
        <v>1031</v>
      </c>
    </row>
    <row r="736" spans="1:60" ht="15.75" customHeight="1" x14ac:dyDescent="0.2">
      <c r="A736" s="11">
        <v>739</v>
      </c>
      <c r="B736" s="12">
        <v>11961</v>
      </c>
      <c r="C736" s="13" t="s">
        <v>905</v>
      </c>
      <c r="D736" s="13" t="s">
        <v>234</v>
      </c>
      <c r="E736" s="13">
        <v>2016</v>
      </c>
      <c r="F736" s="13">
        <v>2017</v>
      </c>
      <c r="G736" s="13" t="s">
        <v>145</v>
      </c>
      <c r="H736" s="13"/>
      <c r="I736" s="13" t="s">
        <v>79</v>
      </c>
      <c r="J736" s="13" t="s">
        <v>234</v>
      </c>
      <c r="K736" s="13"/>
      <c r="L736" s="15" t="s">
        <v>41</v>
      </c>
      <c r="M736" s="15" t="s">
        <v>41</v>
      </c>
      <c r="N736" s="13" t="s">
        <v>42</v>
      </c>
      <c r="O736" s="13"/>
      <c r="P736" s="12">
        <v>0</v>
      </c>
      <c r="Q736" s="12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2">
        <v>1</v>
      </c>
      <c r="AC736" s="13">
        <v>58</v>
      </c>
      <c r="AD736" s="12"/>
      <c r="AE736" s="12"/>
      <c r="AF736" s="12">
        <v>32</v>
      </c>
      <c r="AG736" s="12">
        <v>22</v>
      </c>
      <c r="AH736" s="12">
        <v>64</v>
      </c>
      <c r="AI736" s="12"/>
      <c r="AJ736" s="12"/>
      <c r="AK736" s="12"/>
      <c r="AL736" s="12" t="str">
        <f>IF(AF736="", "mean", "med")</f>
        <v>med</v>
      </c>
      <c r="AM736" s="12">
        <f>IF(AF736="", AD736, AF736)</f>
        <v>32</v>
      </c>
      <c r="AN736" s="12">
        <v>1</v>
      </c>
      <c r="AO736" s="13">
        <v>58</v>
      </c>
      <c r="AP736" s="12"/>
      <c r="AQ736" s="12"/>
      <c r="AR736" s="12">
        <v>23</v>
      </c>
      <c r="AS736" s="12">
        <v>15</v>
      </c>
      <c r="AT736" s="12">
        <v>60</v>
      </c>
      <c r="AU736" s="12"/>
      <c r="AV736" s="12"/>
      <c r="AW736" s="12"/>
      <c r="AX736" s="12" t="str">
        <f>IF(AR736="", "mean", "med")</f>
        <v>med</v>
      </c>
      <c r="AY736" s="12">
        <f>IF(AR736="", AP736, AR736)</f>
        <v>23</v>
      </c>
      <c r="AZ736" s="12" t="s">
        <v>808</v>
      </c>
      <c r="BA736" s="12" t="str">
        <f>IF(AZ736="high","high","lower")</f>
        <v>lower</v>
      </c>
      <c r="BB736" s="47">
        <v>0.63500000000000001</v>
      </c>
      <c r="BC736" s="12">
        <v>64.900000000000006</v>
      </c>
      <c r="BD736" s="12">
        <v>80.8</v>
      </c>
      <c r="BE736" s="12">
        <v>58.3</v>
      </c>
      <c r="BF736" s="12">
        <v>61.3</v>
      </c>
      <c r="BG736" s="18" t="s">
        <v>1030</v>
      </c>
      <c r="BH736" s="18" t="s">
        <v>1031</v>
      </c>
    </row>
    <row r="737" spans="1:60" ht="15.75" customHeight="1" x14ac:dyDescent="0.2">
      <c r="A737" s="11">
        <v>740</v>
      </c>
      <c r="B737" s="12">
        <v>12648</v>
      </c>
      <c r="C737" s="13" t="s">
        <v>906</v>
      </c>
      <c r="D737" s="13" t="s">
        <v>907</v>
      </c>
      <c r="E737" s="13">
        <v>2007</v>
      </c>
      <c r="F737" s="13">
        <v>2017</v>
      </c>
      <c r="G737" s="13" t="s">
        <v>49</v>
      </c>
      <c r="H737" s="13"/>
      <c r="I737" s="13" t="s">
        <v>40</v>
      </c>
      <c r="J737" s="13" t="s">
        <v>40</v>
      </c>
      <c r="K737" s="14"/>
      <c r="L737" s="19">
        <v>100</v>
      </c>
      <c r="M737" s="26" t="s">
        <v>41</v>
      </c>
      <c r="N737" s="13" t="s">
        <v>41</v>
      </c>
      <c r="O737" s="14" t="s">
        <v>908</v>
      </c>
      <c r="P737" s="12">
        <v>1</v>
      </c>
      <c r="Q737" s="12">
        <v>123</v>
      </c>
      <c r="R737" s="17"/>
      <c r="S737" s="17"/>
      <c r="T737" s="17">
        <v>37</v>
      </c>
      <c r="U737" s="17">
        <v>28</v>
      </c>
      <c r="V737" s="17">
        <v>49</v>
      </c>
      <c r="W737" s="17"/>
      <c r="X737" s="17"/>
      <c r="Y737" s="17"/>
      <c r="Z737" s="17" t="str">
        <f>IF(T737="", "mean", "med")</f>
        <v>med</v>
      </c>
      <c r="AA737" s="17">
        <f>IF(T737="", R737, T737)</f>
        <v>37</v>
      </c>
      <c r="AB737" s="12">
        <v>0</v>
      </c>
      <c r="AC737" s="13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>
        <v>0</v>
      </c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 t="s">
        <v>52</v>
      </c>
      <c r="BA737" s="12" t="str">
        <f>IF(AZ737="high","high","lower")</f>
        <v>high</v>
      </c>
      <c r="BB737" s="47">
        <v>0.91700000000000004</v>
      </c>
      <c r="BC737" s="12">
        <v>84</v>
      </c>
      <c r="BD737" s="12">
        <v>88</v>
      </c>
      <c r="BE737" s="12">
        <v>100</v>
      </c>
      <c r="BF737" s="12">
        <v>84.2</v>
      </c>
      <c r="BG737" s="18" t="s">
        <v>1030</v>
      </c>
      <c r="BH737" s="18" t="s">
        <v>1031</v>
      </c>
    </row>
    <row r="738" spans="1:60" ht="15.75" customHeight="1" x14ac:dyDescent="0.2">
      <c r="A738" s="11">
        <v>741</v>
      </c>
      <c r="B738" s="22">
        <v>12648</v>
      </c>
      <c r="C738" s="13" t="s">
        <v>906</v>
      </c>
      <c r="D738" s="13" t="s">
        <v>909</v>
      </c>
      <c r="E738" s="13">
        <v>2007</v>
      </c>
      <c r="F738" s="13">
        <v>2017</v>
      </c>
      <c r="G738" s="13" t="s">
        <v>49</v>
      </c>
      <c r="H738" s="13"/>
      <c r="I738" s="13" t="s">
        <v>40</v>
      </c>
      <c r="J738" s="13" t="s">
        <v>40</v>
      </c>
      <c r="K738" s="14"/>
      <c r="L738" s="19">
        <v>100</v>
      </c>
      <c r="M738" s="26" t="s">
        <v>41</v>
      </c>
      <c r="N738" s="13" t="s">
        <v>41</v>
      </c>
      <c r="O738" s="14" t="s">
        <v>908</v>
      </c>
      <c r="P738" s="12">
        <v>1</v>
      </c>
      <c r="Q738" s="12">
        <v>149</v>
      </c>
      <c r="R738" s="17"/>
      <c r="S738" s="17"/>
      <c r="T738" s="17">
        <v>31</v>
      </c>
      <c r="U738" s="17">
        <v>20</v>
      </c>
      <c r="V738" s="17">
        <v>48</v>
      </c>
      <c r="W738" s="17"/>
      <c r="X738" s="17"/>
      <c r="Y738" s="17"/>
      <c r="Z738" s="17" t="str">
        <f>IF(T738="", "mean", "med")</f>
        <v>med</v>
      </c>
      <c r="AA738" s="17">
        <f>IF(T738="", R738, T738)</f>
        <v>31</v>
      </c>
      <c r="AB738" s="12">
        <v>0</v>
      </c>
      <c r="AC738" s="13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>
        <v>0</v>
      </c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 t="s">
        <v>52</v>
      </c>
      <c r="BA738" s="12" t="str">
        <f>IF(AZ738="high","high","lower")</f>
        <v>high</v>
      </c>
      <c r="BB738" s="47">
        <v>0.91700000000000004</v>
      </c>
      <c r="BC738" s="12">
        <v>84</v>
      </c>
      <c r="BD738" s="12">
        <v>88</v>
      </c>
      <c r="BE738" s="12">
        <v>100</v>
      </c>
      <c r="BF738" s="12">
        <v>84.2</v>
      </c>
      <c r="BG738" s="18" t="s">
        <v>1030</v>
      </c>
      <c r="BH738" s="18" t="s">
        <v>1031</v>
      </c>
    </row>
    <row r="739" spans="1:60" ht="15.75" customHeight="1" x14ac:dyDescent="0.2">
      <c r="A739" s="11">
        <v>742</v>
      </c>
      <c r="B739" s="12">
        <v>14172</v>
      </c>
      <c r="C739" s="13" t="s">
        <v>910</v>
      </c>
      <c r="D739" s="13" t="s">
        <v>38</v>
      </c>
      <c r="E739" s="13">
        <v>2018</v>
      </c>
      <c r="F739" s="13">
        <v>2020</v>
      </c>
      <c r="G739" s="13" t="s">
        <v>117</v>
      </c>
      <c r="H739" s="13"/>
      <c r="I739" s="13" t="s">
        <v>54</v>
      </c>
      <c r="J739" s="13" t="s">
        <v>229</v>
      </c>
      <c r="K739" s="14" t="s">
        <v>288</v>
      </c>
      <c r="L739" s="15" t="s">
        <v>41</v>
      </c>
      <c r="M739" s="26" t="s">
        <v>41</v>
      </c>
      <c r="N739" s="13" t="s">
        <v>41</v>
      </c>
      <c r="O739" s="13"/>
      <c r="P739" s="12">
        <v>0</v>
      </c>
      <c r="Q739" s="12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2">
        <v>1</v>
      </c>
      <c r="AC739" s="13">
        <v>19</v>
      </c>
      <c r="AD739" s="12"/>
      <c r="AE739" s="12"/>
      <c r="AF739" s="12">
        <v>26</v>
      </c>
      <c r="AG739" s="12"/>
      <c r="AH739" s="12"/>
      <c r="AI739" s="12">
        <v>77</v>
      </c>
      <c r="AJ739" s="12"/>
      <c r="AK739" s="12"/>
      <c r="AL739" s="12" t="str">
        <f>IF(AF739="", "mean", "med")</f>
        <v>med</v>
      </c>
      <c r="AM739" s="12">
        <f>IF(AF739="", AD739, AF739)</f>
        <v>26</v>
      </c>
      <c r="AN739" s="12">
        <v>1</v>
      </c>
      <c r="AO739" s="12">
        <v>18</v>
      </c>
      <c r="AP739" s="12"/>
      <c r="AQ739" s="12"/>
      <c r="AR739" s="12">
        <v>14</v>
      </c>
      <c r="AS739" s="12"/>
      <c r="AT739" s="12"/>
      <c r="AU739" s="12">
        <v>45</v>
      </c>
      <c r="AV739" s="12"/>
      <c r="AW739" s="12"/>
      <c r="AX739" s="12" t="str">
        <f>IF(AR739="", "mean", "med")</f>
        <v>med</v>
      </c>
      <c r="AY739" s="12">
        <f>IF(AR739="", AP739, AR739)</f>
        <v>14</v>
      </c>
      <c r="AZ739" s="12" t="s">
        <v>52</v>
      </c>
      <c r="BA739" s="12" t="str">
        <f>IF(AZ739="high","high","lower")</f>
        <v>high</v>
      </c>
      <c r="BB739" s="47">
        <v>0.94399999999999995</v>
      </c>
      <c r="BC739" s="12">
        <v>90.6</v>
      </c>
      <c r="BD739" s="12">
        <v>98</v>
      </c>
      <c r="BE739" s="12">
        <v>100</v>
      </c>
      <c r="BF739" s="12">
        <v>90</v>
      </c>
      <c r="BG739" s="18" t="s">
        <v>1030</v>
      </c>
      <c r="BH739" s="18" t="s">
        <v>1031</v>
      </c>
    </row>
    <row r="740" spans="1:60" ht="15.75" customHeight="1" x14ac:dyDescent="0.2">
      <c r="A740" s="11">
        <v>743</v>
      </c>
      <c r="B740" s="12">
        <v>14172</v>
      </c>
      <c r="C740" s="13" t="s">
        <v>910</v>
      </c>
      <c r="D740" s="13" t="s">
        <v>38</v>
      </c>
      <c r="E740" s="13">
        <v>2018</v>
      </c>
      <c r="F740" s="13">
        <v>2020</v>
      </c>
      <c r="G740" s="13" t="s">
        <v>117</v>
      </c>
      <c r="H740" s="13"/>
      <c r="I740" s="13" t="s">
        <v>54</v>
      </c>
      <c r="J740" s="13" t="s">
        <v>229</v>
      </c>
      <c r="K740" s="13" t="s">
        <v>911</v>
      </c>
      <c r="L740" s="15" t="s">
        <v>41</v>
      </c>
      <c r="M740" s="26" t="s">
        <v>41</v>
      </c>
      <c r="N740" s="13" t="s">
        <v>41</v>
      </c>
      <c r="O740" s="14"/>
      <c r="P740" s="12">
        <v>0</v>
      </c>
      <c r="Q740" s="12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2">
        <v>1</v>
      </c>
      <c r="AC740" s="13">
        <v>5</v>
      </c>
      <c r="AD740" s="12"/>
      <c r="AE740" s="12"/>
      <c r="AF740" s="12">
        <v>74</v>
      </c>
      <c r="AG740" s="12"/>
      <c r="AH740" s="12"/>
      <c r="AI740" s="12">
        <v>95</v>
      </c>
      <c r="AJ740" s="12"/>
      <c r="AK740" s="12"/>
      <c r="AL740" s="12" t="str">
        <f>IF(AF740="", "mean", "med")</f>
        <v>med</v>
      </c>
      <c r="AM740" s="12">
        <f>IF(AF740="", AD740, AF740)</f>
        <v>74</v>
      </c>
      <c r="AN740" s="12">
        <v>1</v>
      </c>
      <c r="AO740" s="12">
        <v>5</v>
      </c>
      <c r="AP740" s="12"/>
      <c r="AQ740" s="12"/>
      <c r="AR740" s="12">
        <v>61</v>
      </c>
      <c r="AS740" s="12"/>
      <c r="AT740" s="12"/>
      <c r="AU740" s="12">
        <v>35</v>
      </c>
      <c r="AV740" s="12"/>
      <c r="AW740" s="12"/>
      <c r="AX740" s="12" t="str">
        <f>IF(AR740="", "mean", "med")</f>
        <v>med</v>
      </c>
      <c r="AY740" s="12">
        <f>IF(AR740="", AP740, AR740)</f>
        <v>61</v>
      </c>
      <c r="AZ740" s="12" t="s">
        <v>52</v>
      </c>
      <c r="BA740" s="12" t="str">
        <f>IF(AZ740="high","high","lower")</f>
        <v>high</v>
      </c>
      <c r="BB740" s="47">
        <v>0.94399999999999995</v>
      </c>
      <c r="BC740" s="12">
        <v>90.6</v>
      </c>
      <c r="BD740" s="12">
        <v>98</v>
      </c>
      <c r="BE740" s="12">
        <v>100</v>
      </c>
      <c r="BF740" s="12">
        <v>90</v>
      </c>
      <c r="BG740" s="18" t="s">
        <v>1030</v>
      </c>
      <c r="BH740" s="18" t="s">
        <v>1031</v>
      </c>
    </row>
    <row r="741" spans="1:60" ht="15.75" customHeight="1" x14ac:dyDescent="0.2">
      <c r="A741" s="11">
        <v>744</v>
      </c>
      <c r="B741" s="22">
        <v>12193</v>
      </c>
      <c r="C741" s="13" t="s">
        <v>912</v>
      </c>
      <c r="D741" s="13" t="s">
        <v>38</v>
      </c>
      <c r="E741" s="13">
        <v>2006</v>
      </c>
      <c r="F741" s="13">
        <v>2016</v>
      </c>
      <c r="G741" s="13" t="s">
        <v>49</v>
      </c>
      <c r="H741" s="13"/>
      <c r="I741" s="13" t="s">
        <v>57</v>
      </c>
      <c r="J741" s="13" t="s">
        <v>58</v>
      </c>
      <c r="K741" s="13"/>
      <c r="L741" s="15">
        <v>4</v>
      </c>
      <c r="M741" s="26">
        <v>67.7</v>
      </c>
      <c r="N741" s="14" t="s">
        <v>42</v>
      </c>
      <c r="O741" s="13" t="s">
        <v>90</v>
      </c>
      <c r="P741" s="12">
        <v>1</v>
      </c>
      <c r="Q741" s="12">
        <v>9904</v>
      </c>
      <c r="R741" s="17">
        <v>70.08</v>
      </c>
      <c r="S741" s="17">
        <v>38.58</v>
      </c>
      <c r="T741" s="17">
        <v>62</v>
      </c>
      <c r="U741" s="17">
        <v>40</v>
      </c>
      <c r="V741" s="17">
        <v>92</v>
      </c>
      <c r="W741" s="17"/>
      <c r="X741" s="17"/>
      <c r="Y741" s="17"/>
      <c r="Z741" s="17" t="str">
        <f>IF(T741="", "mean", "med")</f>
        <v>med</v>
      </c>
      <c r="AA741" s="17">
        <f>IF(T741="", R741, T741)</f>
        <v>62</v>
      </c>
      <c r="AB741" s="12">
        <v>0</v>
      </c>
      <c r="AC741" s="13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>
        <v>0</v>
      </c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 t="s">
        <v>52</v>
      </c>
      <c r="BA741" s="12" t="str">
        <f>IF(AZ741="high","high","lower")</f>
        <v>high</v>
      </c>
      <c r="BB741" s="47">
        <v>0.91500000000000004</v>
      </c>
      <c r="BC741" s="12">
        <v>84</v>
      </c>
      <c r="BD741" s="12">
        <v>88</v>
      </c>
      <c r="BE741" s="12">
        <v>100</v>
      </c>
      <c r="BF741" s="12">
        <v>84.2</v>
      </c>
      <c r="BG741" s="18" t="s">
        <v>1030</v>
      </c>
      <c r="BH741" s="18" t="s">
        <v>1031</v>
      </c>
    </row>
    <row r="742" spans="1:60" ht="15.75" customHeight="1" x14ac:dyDescent="0.2">
      <c r="A742" s="11">
        <v>745</v>
      </c>
      <c r="B742" s="12">
        <v>14181</v>
      </c>
      <c r="C742" s="13" t="s">
        <v>913</v>
      </c>
      <c r="D742" s="14" t="s">
        <v>914</v>
      </c>
      <c r="E742" s="13">
        <v>2004</v>
      </c>
      <c r="F742" s="13">
        <v>2006</v>
      </c>
      <c r="G742" s="13" t="s">
        <v>39</v>
      </c>
      <c r="H742" s="13"/>
      <c r="I742" s="13" t="s">
        <v>40</v>
      </c>
      <c r="J742" s="13" t="s">
        <v>40</v>
      </c>
      <c r="K742" s="13"/>
      <c r="L742" s="15">
        <v>100</v>
      </c>
      <c r="M742" s="26">
        <v>52</v>
      </c>
      <c r="N742" s="13" t="s">
        <v>41</v>
      </c>
      <c r="O742" s="14" t="s">
        <v>41</v>
      </c>
      <c r="P742" s="12">
        <v>1</v>
      </c>
      <c r="Q742" s="12">
        <v>221</v>
      </c>
      <c r="R742" s="17"/>
      <c r="S742" s="17"/>
      <c r="T742" s="17">
        <v>42</v>
      </c>
      <c r="U742" s="17">
        <v>16.8</v>
      </c>
      <c r="V742" s="17">
        <v>79.8</v>
      </c>
      <c r="W742" s="17"/>
      <c r="X742" s="17"/>
      <c r="Y742" s="17"/>
      <c r="Z742" s="17" t="str">
        <f>IF(T742="", "mean", "med")</f>
        <v>med</v>
      </c>
      <c r="AA742" s="17">
        <f>IF(T742="", R742, T742)</f>
        <v>42</v>
      </c>
      <c r="AB742" s="12">
        <v>0</v>
      </c>
      <c r="AC742" s="13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>
        <v>1</v>
      </c>
      <c r="AO742" s="12">
        <v>231</v>
      </c>
      <c r="AP742" s="12"/>
      <c r="AQ742" s="12"/>
      <c r="AR742" s="12">
        <v>30</v>
      </c>
      <c r="AS742" s="12">
        <v>3</v>
      </c>
      <c r="AT742" s="12">
        <v>180</v>
      </c>
      <c r="AU742" s="12"/>
      <c r="AV742" s="12"/>
      <c r="AW742" s="12"/>
      <c r="AX742" s="12" t="str">
        <f>IF(AR742="", "mean", "med")</f>
        <v>med</v>
      </c>
      <c r="AY742" s="12">
        <f>IF(AR742="", AP742, AR742)</f>
        <v>30</v>
      </c>
      <c r="AZ742" s="12" t="s">
        <v>886</v>
      </c>
      <c r="BA742" s="12" t="str">
        <f>IF(AZ742="high","high","lower")</f>
        <v>lower</v>
      </c>
      <c r="BB742" s="47">
        <v>0.73799999999999999</v>
      </c>
      <c r="BC742" s="12">
        <v>63.1</v>
      </c>
      <c r="BD742" s="12">
        <v>73.2</v>
      </c>
      <c r="BE742" s="12">
        <v>62.5</v>
      </c>
      <c r="BF742" s="12">
        <v>61.9</v>
      </c>
      <c r="BG742" s="18" t="s">
        <v>1030</v>
      </c>
      <c r="BH742" s="18" t="s">
        <v>1031</v>
      </c>
    </row>
    <row r="743" spans="1:60" ht="15.75" customHeight="1" x14ac:dyDescent="0.2">
      <c r="A743" s="11">
        <v>746</v>
      </c>
      <c r="B743" s="22">
        <v>14181</v>
      </c>
      <c r="C743" s="13" t="s">
        <v>913</v>
      </c>
      <c r="D743" s="13" t="s">
        <v>915</v>
      </c>
      <c r="E743" s="13">
        <v>2007</v>
      </c>
      <c r="F743" s="13">
        <v>2009</v>
      </c>
      <c r="G743" s="13" t="s">
        <v>39</v>
      </c>
      <c r="H743" s="13"/>
      <c r="I743" s="13" t="s">
        <v>40</v>
      </c>
      <c r="J743" s="13" t="s">
        <v>40</v>
      </c>
      <c r="K743" s="13"/>
      <c r="L743" s="19">
        <v>100</v>
      </c>
      <c r="M743" s="26">
        <v>52.3</v>
      </c>
      <c r="N743" s="13" t="s">
        <v>41</v>
      </c>
      <c r="O743" s="14" t="s">
        <v>41</v>
      </c>
      <c r="P743" s="12">
        <v>1</v>
      </c>
      <c r="Q743" s="12">
        <v>268</v>
      </c>
      <c r="R743" s="17"/>
      <c r="S743" s="17"/>
      <c r="T743" s="17">
        <v>40.6</v>
      </c>
      <c r="U743" s="17">
        <v>19.600000000000001</v>
      </c>
      <c r="V743" s="17">
        <v>79.8</v>
      </c>
      <c r="W743" s="17"/>
      <c r="X743" s="17"/>
      <c r="Y743" s="17"/>
      <c r="Z743" s="17" t="str">
        <f>IF(T743="", "mean", "med")</f>
        <v>med</v>
      </c>
      <c r="AA743" s="17">
        <f>IF(T743="", R743, T743)</f>
        <v>40.6</v>
      </c>
      <c r="AB743" s="12">
        <v>0</v>
      </c>
      <c r="AC743" s="13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>
        <v>1</v>
      </c>
      <c r="AO743" s="12">
        <v>280</v>
      </c>
      <c r="AP743" s="12"/>
      <c r="AQ743" s="12"/>
      <c r="AR743" s="12">
        <v>45</v>
      </c>
      <c r="AS743" s="12">
        <v>5</v>
      </c>
      <c r="AT743" s="12">
        <v>150</v>
      </c>
      <c r="AU743" s="12"/>
      <c r="AV743" s="12"/>
      <c r="AW743" s="12"/>
      <c r="AX743" s="12" t="str">
        <f>IF(AR743="", "mean", "med")</f>
        <v>med</v>
      </c>
      <c r="AY743" s="12">
        <f>IF(AR743="", AP743, AR743)</f>
        <v>45</v>
      </c>
      <c r="AZ743" s="12" t="s">
        <v>886</v>
      </c>
      <c r="BA743" s="12" t="str">
        <f>IF(AZ743="high","high","lower")</f>
        <v>lower</v>
      </c>
      <c r="BB743" s="47">
        <v>0.747</v>
      </c>
      <c r="BC743" s="12">
        <v>63.1</v>
      </c>
      <c r="BD743" s="12">
        <v>73.2</v>
      </c>
      <c r="BE743" s="12">
        <v>62.5</v>
      </c>
      <c r="BF743" s="12">
        <v>61.9</v>
      </c>
      <c r="BG743" s="18" t="s">
        <v>1030</v>
      </c>
      <c r="BH743" s="18" t="s">
        <v>1031</v>
      </c>
    </row>
    <row r="744" spans="1:60" ht="15.75" customHeight="1" x14ac:dyDescent="0.2">
      <c r="A744" s="11">
        <v>747</v>
      </c>
      <c r="B744" s="12">
        <v>12162</v>
      </c>
      <c r="C744" s="13" t="s">
        <v>916</v>
      </c>
      <c r="D744" s="13" t="s">
        <v>38</v>
      </c>
      <c r="E744" s="13">
        <v>2016</v>
      </c>
      <c r="F744" s="13">
        <v>2019</v>
      </c>
      <c r="G744" s="13" t="s">
        <v>393</v>
      </c>
      <c r="H744" s="13"/>
      <c r="I744" s="13" t="s">
        <v>40</v>
      </c>
      <c r="J744" s="13" t="s">
        <v>40</v>
      </c>
      <c r="K744" s="13"/>
      <c r="L744" s="15">
        <v>100</v>
      </c>
      <c r="M744" s="26">
        <v>47</v>
      </c>
      <c r="N744" s="13" t="s">
        <v>41</v>
      </c>
      <c r="O744" s="13"/>
      <c r="P744" s="12">
        <v>0</v>
      </c>
      <c r="Q744" s="12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37">
        <v>0</v>
      </c>
      <c r="AC744" s="13"/>
      <c r="AD744" s="37"/>
      <c r="AE744" s="37"/>
      <c r="AF744" s="12"/>
      <c r="AG744" s="12"/>
      <c r="AH744" s="12"/>
      <c r="AI744" s="12"/>
      <c r="AJ744" s="12"/>
      <c r="AK744" s="12"/>
      <c r="AL744" s="12"/>
      <c r="AM744" s="12"/>
      <c r="AN744" s="12">
        <v>1</v>
      </c>
      <c r="AO744" s="12">
        <v>334</v>
      </c>
      <c r="AP744" s="37"/>
      <c r="AQ744" s="37"/>
      <c r="AR744" s="12">
        <f>4*7</f>
        <v>28</v>
      </c>
      <c r="AS744" s="12">
        <v>0</v>
      </c>
      <c r="AT744" s="12">
        <f>22*7</f>
        <v>154</v>
      </c>
      <c r="AU744" s="12"/>
      <c r="AV744" s="12"/>
      <c r="AW744" s="12"/>
      <c r="AX744" s="12" t="str">
        <f>IF(AR744="", "mean", "med")</f>
        <v>med</v>
      </c>
      <c r="AY744" s="12">
        <f>IF(AR744="", AP744, AR744)</f>
        <v>28</v>
      </c>
      <c r="AZ744" s="49" t="s">
        <v>808</v>
      </c>
      <c r="BA744" s="49" t="str">
        <f>IF(AZ744="high","high","lower")</f>
        <v>lower</v>
      </c>
      <c r="BB744" s="47">
        <v>0.55000000000000004</v>
      </c>
      <c r="BC744" s="49"/>
      <c r="BD744" s="49"/>
      <c r="BE744" s="49"/>
      <c r="BF744" s="49"/>
      <c r="BG744" s="18" t="s">
        <v>1030</v>
      </c>
      <c r="BH744" s="18" t="s">
        <v>1031</v>
      </c>
    </row>
    <row r="745" spans="1:60" ht="15.75" customHeight="1" x14ac:dyDescent="0.2">
      <c r="A745" s="11">
        <v>748</v>
      </c>
      <c r="B745" s="12">
        <v>12703</v>
      </c>
      <c r="C745" s="13" t="s">
        <v>625</v>
      </c>
      <c r="D745" s="14" t="s">
        <v>38</v>
      </c>
      <c r="E745" s="13">
        <v>2015</v>
      </c>
      <c r="F745" s="13">
        <v>2019</v>
      </c>
      <c r="G745" s="13" t="s">
        <v>125</v>
      </c>
      <c r="H745" s="13"/>
      <c r="I745" s="13" t="s">
        <v>79</v>
      </c>
      <c r="J745" s="31" t="s">
        <v>236</v>
      </c>
      <c r="K745" s="14"/>
      <c r="L745" s="19">
        <v>56</v>
      </c>
      <c r="M745" s="28">
        <v>65.8</v>
      </c>
      <c r="N745" s="13" t="s">
        <v>42</v>
      </c>
      <c r="O745" s="13" t="s">
        <v>41</v>
      </c>
      <c r="P745" s="12">
        <v>1</v>
      </c>
      <c r="Q745" s="12">
        <v>181</v>
      </c>
      <c r="R745" s="17">
        <v>32.25</v>
      </c>
      <c r="S745" s="17"/>
      <c r="T745" s="17">
        <v>23</v>
      </c>
      <c r="U745" s="17">
        <v>16.75</v>
      </c>
      <c r="V745" s="17">
        <v>33.25</v>
      </c>
      <c r="W745" s="17"/>
      <c r="X745" s="17"/>
      <c r="Y745" s="17"/>
      <c r="Z745" s="17" t="str">
        <f>IF(T745="", "mean", "med")</f>
        <v>med</v>
      </c>
      <c r="AA745" s="17">
        <f>IF(T745="", R745, T745)</f>
        <v>23</v>
      </c>
      <c r="AB745" s="12">
        <v>1</v>
      </c>
      <c r="AC745" s="13">
        <v>181</v>
      </c>
      <c r="AD745" s="12">
        <v>70.12</v>
      </c>
      <c r="AE745" s="12"/>
      <c r="AF745" s="12">
        <v>35</v>
      </c>
      <c r="AG745" s="12">
        <v>15</v>
      </c>
      <c r="AH745" s="12">
        <v>82</v>
      </c>
      <c r="AI745" s="12"/>
      <c r="AJ745" s="12"/>
      <c r="AK745" s="12"/>
      <c r="AL745" s="12" t="str">
        <f>IF(AF745="", "mean", "med")</f>
        <v>med</v>
      </c>
      <c r="AM745" s="12">
        <f>IF(AF745="", AD745, AF745)</f>
        <v>35</v>
      </c>
      <c r="AN745" s="12">
        <v>1</v>
      </c>
      <c r="AO745" s="22">
        <v>181</v>
      </c>
      <c r="AP745" s="12">
        <v>58.29</v>
      </c>
      <c r="AQ745" s="12"/>
      <c r="AR745" s="22">
        <v>31</v>
      </c>
      <c r="AS745" s="12">
        <v>7</v>
      </c>
      <c r="AT745" s="12">
        <v>61</v>
      </c>
      <c r="AU745" s="12"/>
      <c r="AV745" s="12"/>
      <c r="AW745" s="12"/>
      <c r="AX745" s="12" t="str">
        <f>IF(AR745="", "mean", "med")</f>
        <v>med</v>
      </c>
      <c r="AY745" s="12">
        <f>IF(AR745="", AP745, AR745)</f>
        <v>31</v>
      </c>
      <c r="AZ745" s="12" t="s">
        <v>52</v>
      </c>
      <c r="BA745" s="12" t="str">
        <f>IF(AZ745="high","high","lower")</f>
        <v>high</v>
      </c>
      <c r="BB745" s="47">
        <v>0.90100000000000002</v>
      </c>
      <c r="BC745" s="12">
        <v>84</v>
      </c>
      <c r="BD745" s="12">
        <v>89.7</v>
      </c>
      <c r="BE745" s="12">
        <v>70.8</v>
      </c>
      <c r="BF745" s="12">
        <v>89.2</v>
      </c>
      <c r="BG745" s="18" t="s">
        <v>1030</v>
      </c>
      <c r="BH745" s="18" t="s">
        <v>1031</v>
      </c>
    </row>
    <row r="746" spans="1:60" ht="15.75" customHeight="1" x14ac:dyDescent="0.2">
      <c r="A746" s="11">
        <v>749</v>
      </c>
      <c r="B746" s="12">
        <v>12600</v>
      </c>
      <c r="C746" s="13" t="s">
        <v>345</v>
      </c>
      <c r="D746" s="14" t="s">
        <v>38</v>
      </c>
      <c r="E746" s="13">
        <v>2000</v>
      </c>
      <c r="F746" s="13">
        <v>2014</v>
      </c>
      <c r="G746" s="13" t="s">
        <v>205</v>
      </c>
      <c r="H746" s="13"/>
      <c r="I746" s="13" t="s">
        <v>79</v>
      </c>
      <c r="J746" s="31" t="s">
        <v>236</v>
      </c>
      <c r="K746" s="14"/>
      <c r="L746" s="19">
        <v>36.299999999999997</v>
      </c>
      <c r="M746" s="28">
        <v>62</v>
      </c>
      <c r="N746" s="13" t="s">
        <v>42</v>
      </c>
      <c r="O746" s="14" t="s">
        <v>235</v>
      </c>
      <c r="P746" s="12">
        <v>1</v>
      </c>
      <c r="Q746" s="12">
        <v>862</v>
      </c>
      <c r="R746" s="17"/>
      <c r="S746" s="17"/>
      <c r="T746" s="17">
        <v>31</v>
      </c>
      <c r="U746" s="17">
        <v>22</v>
      </c>
      <c r="V746" s="17">
        <v>43</v>
      </c>
      <c r="W746" s="17"/>
      <c r="X746" s="46">
        <v>2</v>
      </c>
      <c r="Y746" s="46">
        <v>137</v>
      </c>
      <c r="Z746" s="17" t="str">
        <f>IF(T746="", "mean", "med")</f>
        <v>med</v>
      </c>
      <c r="AA746" s="17">
        <f>IF(T746="", R746, T746)</f>
        <v>31</v>
      </c>
      <c r="AB746" s="12">
        <v>0</v>
      </c>
      <c r="AC746" s="13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>
        <v>0</v>
      </c>
      <c r="AO746" s="22"/>
      <c r="AP746" s="12"/>
      <c r="AQ746" s="12"/>
      <c r="AR746" s="22"/>
      <c r="AS746" s="12"/>
      <c r="AT746" s="12"/>
      <c r="AU746" s="12"/>
      <c r="AV746" s="12"/>
      <c r="AW746" s="12"/>
      <c r="AX746" s="12"/>
      <c r="AY746" s="12"/>
      <c r="AZ746" s="49" t="s">
        <v>52</v>
      </c>
      <c r="BA746" s="49" t="str">
        <f>IF(AZ746="high","high","lower")</f>
        <v>high</v>
      </c>
      <c r="BB746" s="47">
        <v>0.91100000000000003</v>
      </c>
      <c r="BC746" s="49"/>
      <c r="BD746" s="49"/>
      <c r="BE746" s="49"/>
      <c r="BF746" s="49"/>
      <c r="BG746" s="18" t="s">
        <v>1030</v>
      </c>
      <c r="BH746" s="18" t="s">
        <v>1031</v>
      </c>
    </row>
    <row r="747" spans="1:60" ht="15.75" customHeight="1" x14ac:dyDescent="0.2">
      <c r="A747" s="11">
        <v>750</v>
      </c>
      <c r="B747" s="22">
        <v>12015</v>
      </c>
      <c r="C747" s="13" t="s">
        <v>918</v>
      </c>
      <c r="D747" s="13" t="s">
        <v>38</v>
      </c>
      <c r="E747" s="13">
        <v>2017</v>
      </c>
      <c r="F747" s="13">
        <v>2018</v>
      </c>
      <c r="G747" s="13" t="s">
        <v>134</v>
      </c>
      <c r="H747" s="13"/>
      <c r="I747" s="13" t="s">
        <v>79</v>
      </c>
      <c r="J747" s="13" t="s">
        <v>79</v>
      </c>
      <c r="K747" s="13"/>
      <c r="L747" s="15">
        <v>22</v>
      </c>
      <c r="M747" s="26">
        <v>67.5</v>
      </c>
      <c r="N747" s="13" t="s">
        <v>42</v>
      </c>
      <c r="O747" s="13"/>
      <c r="P747" s="12">
        <v>0</v>
      </c>
      <c r="Q747" s="12"/>
      <c r="R747" s="21"/>
      <c r="S747" s="17"/>
      <c r="T747" s="17"/>
      <c r="U747" s="17"/>
      <c r="V747" s="17"/>
      <c r="W747" s="17"/>
      <c r="X747" s="17"/>
      <c r="Y747" s="17"/>
      <c r="Z747" s="17"/>
      <c r="AA747" s="17"/>
      <c r="AB747" s="12">
        <v>1</v>
      </c>
      <c r="AC747" s="13">
        <v>102</v>
      </c>
      <c r="AD747" s="12">
        <f>9.83*30</f>
        <v>294.89999999999998</v>
      </c>
      <c r="AE747" s="12">
        <f>18.27*30</f>
        <v>548.1</v>
      </c>
      <c r="AF747" s="12"/>
      <c r="AG747" s="12"/>
      <c r="AH747" s="12"/>
      <c r="AI747" s="12"/>
      <c r="AJ747" s="12"/>
      <c r="AK747" s="12"/>
      <c r="AL747" s="12" t="str">
        <f>IF(AF747="", "mean", "med")</f>
        <v>mean</v>
      </c>
      <c r="AM747" s="12">
        <f>IF(AF747="", AD747, AF747)</f>
        <v>294.89999999999998</v>
      </c>
      <c r="AN747" s="12">
        <v>1</v>
      </c>
      <c r="AO747" s="12">
        <v>102</v>
      </c>
      <c r="AP747" s="12">
        <f>3.93*30</f>
        <v>117.9</v>
      </c>
      <c r="AQ747" s="12">
        <f>11.71*30</f>
        <v>351.3</v>
      </c>
      <c r="AR747" s="12"/>
      <c r="AS747" s="12"/>
      <c r="AT747" s="12"/>
      <c r="AU747" s="12"/>
      <c r="AV747" s="12"/>
      <c r="AW747" s="12"/>
      <c r="AX747" s="12" t="str">
        <f>IF(AR747="", "mean", "med")</f>
        <v>mean</v>
      </c>
      <c r="AY747" s="12">
        <f>IF(AR747="", AP747, AR747)</f>
        <v>117.9</v>
      </c>
      <c r="AZ747" s="12" t="s">
        <v>52</v>
      </c>
      <c r="BA747" s="12" t="str">
        <f>IF(AZ747="high","high","lower")</f>
        <v>high</v>
      </c>
      <c r="BB747" s="47">
        <v>0.92700000000000005</v>
      </c>
      <c r="BC747" s="12">
        <v>84.8</v>
      </c>
      <c r="BD747" s="12">
        <v>94</v>
      </c>
      <c r="BE747" s="12">
        <v>100</v>
      </c>
      <c r="BF747" s="12">
        <v>82.2</v>
      </c>
      <c r="BG747" s="18" t="s">
        <v>1030</v>
      </c>
      <c r="BH747" s="18" t="s">
        <v>1031</v>
      </c>
    </row>
    <row r="748" spans="1:60" ht="15.75" customHeight="1" x14ac:dyDescent="0.2">
      <c r="A748" s="11">
        <v>751</v>
      </c>
      <c r="B748" s="12">
        <v>12728</v>
      </c>
      <c r="C748" s="13" t="s">
        <v>919</v>
      </c>
      <c r="D748" s="14" t="s">
        <v>38</v>
      </c>
      <c r="E748" s="13">
        <v>2006</v>
      </c>
      <c r="F748" s="13">
        <v>2016</v>
      </c>
      <c r="G748" s="13" t="s">
        <v>49</v>
      </c>
      <c r="H748" s="13"/>
      <c r="I748" s="13" t="s">
        <v>79</v>
      </c>
      <c r="J748" s="13" t="s">
        <v>238</v>
      </c>
      <c r="K748" s="14"/>
      <c r="L748" s="19">
        <v>10.8</v>
      </c>
      <c r="M748" s="28">
        <v>58.6</v>
      </c>
      <c r="N748" s="13" t="s">
        <v>42</v>
      </c>
      <c r="O748" s="13"/>
      <c r="P748" s="12">
        <v>0</v>
      </c>
      <c r="Q748" s="12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2">
        <v>1</v>
      </c>
      <c r="AC748" s="13">
        <v>703</v>
      </c>
      <c r="AD748" s="12">
        <v>82.8</v>
      </c>
      <c r="AE748" s="12">
        <v>194.2</v>
      </c>
      <c r="AF748" s="12"/>
      <c r="AG748" s="12"/>
      <c r="AH748" s="12"/>
      <c r="AI748" s="12"/>
      <c r="AJ748" s="12"/>
      <c r="AK748" s="12"/>
      <c r="AL748" s="12" t="str">
        <f>IF(AF748="", "mean", "med")</f>
        <v>mean</v>
      </c>
      <c r="AM748" s="12">
        <f>IF(AF748="", AD748, AF748)</f>
        <v>82.8</v>
      </c>
      <c r="AN748" s="12">
        <v>1</v>
      </c>
      <c r="AO748" s="22">
        <v>703</v>
      </c>
      <c r="AP748" s="12">
        <v>63.9</v>
      </c>
      <c r="AQ748" s="12">
        <v>154.9</v>
      </c>
      <c r="AR748" s="22"/>
      <c r="AS748" s="12"/>
      <c r="AT748" s="12"/>
      <c r="AU748" s="12"/>
      <c r="AV748" s="12"/>
      <c r="AW748" s="12"/>
      <c r="AX748" s="12" t="str">
        <f>IF(AR748="", "mean", "med")</f>
        <v>mean</v>
      </c>
      <c r="AY748" s="12">
        <f>IF(AR748="", AP748, AR748)</f>
        <v>63.9</v>
      </c>
      <c r="AZ748" s="12" t="s">
        <v>52</v>
      </c>
      <c r="BA748" s="12" t="str">
        <f>IF(AZ748="high","high","lower")</f>
        <v>high</v>
      </c>
      <c r="BB748" s="47">
        <v>0.91500000000000004</v>
      </c>
      <c r="BC748" s="12">
        <v>84</v>
      </c>
      <c r="BD748" s="12">
        <v>88</v>
      </c>
      <c r="BE748" s="12">
        <v>100</v>
      </c>
      <c r="BF748" s="12">
        <v>84.2</v>
      </c>
      <c r="BG748" s="18" t="s">
        <v>1030</v>
      </c>
      <c r="BH748" s="18" t="s">
        <v>1031</v>
      </c>
    </row>
    <row r="749" spans="1:60" ht="15.75" customHeight="1" x14ac:dyDescent="0.2">
      <c r="A749" s="11">
        <v>752</v>
      </c>
      <c r="B749" s="12">
        <v>12152</v>
      </c>
      <c r="C749" s="13" t="s">
        <v>920</v>
      </c>
      <c r="D749" s="13" t="s">
        <v>921</v>
      </c>
      <c r="E749" s="13">
        <v>2011</v>
      </c>
      <c r="F749" s="13">
        <v>2016</v>
      </c>
      <c r="G749" s="13" t="s">
        <v>340</v>
      </c>
      <c r="H749" s="13"/>
      <c r="I749" s="13" t="s">
        <v>57</v>
      </c>
      <c r="J749" s="13" t="s">
        <v>58</v>
      </c>
      <c r="K749" s="14"/>
      <c r="L749" s="15">
        <v>39</v>
      </c>
      <c r="M749" s="26">
        <v>62.4</v>
      </c>
      <c r="N749" s="13" t="s">
        <v>42</v>
      </c>
      <c r="O749" s="13" t="s">
        <v>922</v>
      </c>
      <c r="P749" s="12">
        <v>1</v>
      </c>
      <c r="Q749" s="12">
        <v>17386</v>
      </c>
      <c r="R749" s="17"/>
      <c r="S749" s="17"/>
      <c r="T749" s="17">
        <v>31</v>
      </c>
      <c r="U749" s="17"/>
      <c r="V749" s="17"/>
      <c r="W749" s="17"/>
      <c r="X749" s="17"/>
      <c r="Y749" s="17"/>
      <c r="Z749" s="17" t="str">
        <f>IF(T749="", "mean", "med")</f>
        <v>med</v>
      </c>
      <c r="AA749" s="17">
        <f>IF(T749="", R749, T749)</f>
        <v>31</v>
      </c>
      <c r="AB749" s="12">
        <v>0</v>
      </c>
      <c r="AC749" s="13"/>
      <c r="AD749" s="12"/>
      <c r="AE749" s="12"/>
      <c r="AF749" s="12"/>
      <c r="AG749" s="12"/>
      <c r="AH749" s="22"/>
      <c r="AI749" s="12"/>
      <c r="AJ749" s="12"/>
      <c r="AK749" s="12"/>
      <c r="AL749" s="12"/>
      <c r="AM749" s="12"/>
      <c r="AN749" s="12">
        <v>0</v>
      </c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49" t="s">
        <v>52</v>
      </c>
      <c r="BA749" s="49" t="str">
        <f>IF(AZ749="high","high","lower")</f>
        <v>high</v>
      </c>
      <c r="BB749" s="47">
        <v>0.83699999999999997</v>
      </c>
      <c r="BC749" s="49"/>
      <c r="BD749" s="49"/>
      <c r="BE749" s="49"/>
      <c r="BF749" s="49"/>
      <c r="BG749" s="18" t="s">
        <v>1030</v>
      </c>
      <c r="BH749" s="18" t="s">
        <v>1031</v>
      </c>
    </row>
    <row r="750" spans="1:60" ht="15.75" customHeight="1" x14ac:dyDescent="0.2">
      <c r="A750" s="11">
        <v>753</v>
      </c>
      <c r="B750" s="12">
        <v>12152</v>
      </c>
      <c r="C750" s="13" t="s">
        <v>920</v>
      </c>
      <c r="D750" s="13" t="s">
        <v>923</v>
      </c>
      <c r="E750" s="13">
        <v>2011</v>
      </c>
      <c r="F750" s="13">
        <v>2016</v>
      </c>
      <c r="G750" s="13" t="s">
        <v>340</v>
      </c>
      <c r="H750" s="13"/>
      <c r="I750" s="13" t="s">
        <v>57</v>
      </c>
      <c r="J750" s="13" t="s">
        <v>58</v>
      </c>
      <c r="K750" s="14"/>
      <c r="L750" s="15">
        <v>39</v>
      </c>
      <c r="M750" s="26">
        <v>62.18</v>
      </c>
      <c r="N750" s="13" t="s">
        <v>42</v>
      </c>
      <c r="O750" s="13" t="s">
        <v>922</v>
      </c>
      <c r="P750" s="12">
        <v>1</v>
      </c>
      <c r="Q750" s="12">
        <v>12063</v>
      </c>
      <c r="R750" s="17">
        <v>35.590000000000003</v>
      </c>
      <c r="S750" s="17"/>
      <c r="T750" s="17">
        <v>32.450000000000003</v>
      </c>
      <c r="U750" s="17">
        <v>17</v>
      </c>
      <c r="V750" s="17">
        <v>35.590000000000003</v>
      </c>
      <c r="W750" s="17"/>
      <c r="X750" s="17"/>
      <c r="Y750" s="17"/>
      <c r="Z750" s="17" t="str">
        <f>IF(T750="", "mean", "med")</f>
        <v>med</v>
      </c>
      <c r="AA750" s="17">
        <f>IF(T750="", R750, T750)</f>
        <v>32.450000000000003</v>
      </c>
      <c r="AB750" s="12">
        <v>0</v>
      </c>
      <c r="AC750" s="13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>
        <v>0</v>
      </c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49" t="s">
        <v>52</v>
      </c>
      <c r="BA750" s="49" t="str">
        <f>IF(AZ750="high","high","lower")</f>
        <v>high</v>
      </c>
      <c r="BB750" s="47">
        <v>0.83699999999999997</v>
      </c>
      <c r="BC750" s="49"/>
      <c r="BD750" s="49"/>
      <c r="BE750" s="49"/>
      <c r="BF750" s="49"/>
      <c r="BG750" s="18" t="s">
        <v>1030</v>
      </c>
      <c r="BH750" s="18" t="s">
        <v>1031</v>
      </c>
    </row>
    <row r="751" spans="1:60" ht="15.75" customHeight="1" x14ac:dyDescent="0.2">
      <c r="A751" s="11">
        <v>754</v>
      </c>
      <c r="B751" s="12">
        <v>12217</v>
      </c>
      <c r="C751" s="13" t="s">
        <v>787</v>
      </c>
      <c r="D751" s="13" t="s">
        <v>38</v>
      </c>
      <c r="E751" s="13">
        <v>2016</v>
      </c>
      <c r="F751" s="13">
        <v>2016</v>
      </c>
      <c r="G751" s="13" t="s">
        <v>145</v>
      </c>
      <c r="H751" s="13"/>
      <c r="I751" s="13" t="s">
        <v>79</v>
      </c>
      <c r="J751" s="13" t="s">
        <v>79</v>
      </c>
      <c r="K751" s="13"/>
      <c r="L751" s="15">
        <v>33.299999999999997</v>
      </c>
      <c r="M751" s="26">
        <v>54.92</v>
      </c>
      <c r="N751" s="13" t="s">
        <v>41</v>
      </c>
      <c r="O751" s="14" t="s">
        <v>41</v>
      </c>
      <c r="P751" s="12">
        <v>1</v>
      </c>
      <c r="Q751" s="12">
        <v>190</v>
      </c>
      <c r="R751" s="21"/>
      <c r="S751" s="17"/>
      <c r="T751" s="17">
        <v>65.5</v>
      </c>
      <c r="U751" s="17">
        <v>45</v>
      </c>
      <c r="V751" s="17">
        <v>104</v>
      </c>
      <c r="W751" s="17"/>
      <c r="X751" s="17"/>
      <c r="Y751" s="17"/>
      <c r="Z751" s="17" t="str">
        <f>IF(T751="", "mean", "med")</f>
        <v>med</v>
      </c>
      <c r="AA751" s="17">
        <f>IF(T751="", R751, T751)</f>
        <v>65.5</v>
      </c>
      <c r="AB751" s="12">
        <v>1</v>
      </c>
      <c r="AC751" s="13">
        <v>172</v>
      </c>
      <c r="AD751" s="12"/>
      <c r="AE751" s="12"/>
      <c r="AF751" s="12">
        <v>14</v>
      </c>
      <c r="AG751" s="12">
        <v>7</v>
      </c>
      <c r="AH751" s="12">
        <v>31.5</v>
      </c>
      <c r="AI751" s="12"/>
      <c r="AJ751" s="12"/>
      <c r="AK751" s="12"/>
      <c r="AL751" s="12" t="str">
        <f>IF(AF751="", "mean", "med")</f>
        <v>med</v>
      </c>
      <c r="AM751" s="12">
        <f>IF(AF751="", AD751, AF751)</f>
        <v>14</v>
      </c>
      <c r="AN751" s="12">
        <v>1</v>
      </c>
      <c r="AO751" s="12">
        <v>192</v>
      </c>
      <c r="AP751" s="12"/>
      <c r="AQ751" s="12"/>
      <c r="AR751" s="12">
        <v>36.5</v>
      </c>
      <c r="AS751" s="12">
        <v>16</v>
      </c>
      <c r="AT751" s="12">
        <v>65.7</v>
      </c>
      <c r="AU751" s="12"/>
      <c r="AV751" s="12"/>
      <c r="AW751" s="12"/>
      <c r="AX751" s="12" t="str">
        <f>IF(AR751="", "mean", "med")</f>
        <v>med</v>
      </c>
      <c r="AY751" s="12">
        <f>IF(AR751="", AP751, AR751)</f>
        <v>36.5</v>
      </c>
      <c r="AZ751" s="12" t="s">
        <v>808</v>
      </c>
      <c r="BA751" s="12" t="str">
        <f>IF(AZ751="high","high","lower")</f>
        <v>lower</v>
      </c>
      <c r="BB751" s="47">
        <v>0.63</v>
      </c>
      <c r="BC751" s="12">
        <v>64.900000000000006</v>
      </c>
      <c r="BD751" s="12">
        <v>80.8</v>
      </c>
      <c r="BE751" s="12">
        <v>58.3</v>
      </c>
      <c r="BF751" s="12">
        <v>61.3</v>
      </c>
      <c r="BG751" s="18" t="s">
        <v>1030</v>
      </c>
      <c r="BH751" s="18" t="s">
        <v>1031</v>
      </c>
    </row>
    <row r="752" spans="1:60" ht="15.75" customHeight="1" x14ac:dyDescent="0.2">
      <c r="A752" s="11">
        <v>755</v>
      </c>
      <c r="B752" s="12">
        <v>12223</v>
      </c>
      <c r="C752" s="13" t="s">
        <v>498</v>
      </c>
      <c r="D752" s="13" t="s">
        <v>38</v>
      </c>
      <c r="E752" s="13">
        <v>2015</v>
      </c>
      <c r="F752" s="13">
        <v>2017</v>
      </c>
      <c r="G752" s="13" t="s">
        <v>499</v>
      </c>
      <c r="H752" s="13"/>
      <c r="I752" s="13" t="s">
        <v>40</v>
      </c>
      <c r="J752" s="13" t="s">
        <v>40</v>
      </c>
      <c r="K752" s="14"/>
      <c r="L752" s="15">
        <v>100</v>
      </c>
      <c r="M752" s="26">
        <v>53</v>
      </c>
      <c r="N752" s="13" t="s">
        <v>42</v>
      </c>
      <c r="O752" s="13" t="s">
        <v>924</v>
      </c>
      <c r="P752" s="12">
        <v>1</v>
      </c>
      <c r="Q752" s="12">
        <v>340</v>
      </c>
      <c r="R752" s="17"/>
      <c r="S752" s="17"/>
      <c r="T752" s="17">
        <v>21</v>
      </c>
      <c r="U752" s="17"/>
      <c r="V752" s="17"/>
      <c r="W752" s="17"/>
      <c r="X752" s="17">
        <v>1</v>
      </c>
      <c r="Y752" s="17">
        <f>7.2*30</f>
        <v>216</v>
      </c>
      <c r="Z752" s="17" t="str">
        <f>IF(T752="", "mean", "med")</f>
        <v>med</v>
      </c>
      <c r="AA752" s="17">
        <f>IF(T752="", R752, T752)</f>
        <v>21</v>
      </c>
      <c r="AB752" s="12">
        <v>1</v>
      </c>
      <c r="AC752" s="13">
        <v>340</v>
      </c>
      <c r="AD752" s="12"/>
      <c r="AE752" s="12"/>
      <c r="AF752" s="12">
        <v>26</v>
      </c>
      <c r="AG752" s="12"/>
      <c r="AH752" s="12"/>
      <c r="AI752" s="12"/>
      <c r="AJ752" s="12">
        <v>4</v>
      </c>
      <c r="AK752" s="12">
        <f>9.3*30</f>
        <v>279</v>
      </c>
      <c r="AL752" s="12" t="str">
        <f>IF(AF752="", "mean", "med")</f>
        <v>med</v>
      </c>
      <c r="AM752" s="12">
        <f>IF(AF752="", AD752, AF752)</f>
        <v>26</v>
      </c>
      <c r="AN752" s="12">
        <v>1</v>
      </c>
      <c r="AO752" s="12">
        <v>340</v>
      </c>
      <c r="AP752" s="12"/>
      <c r="AQ752" s="12"/>
      <c r="AR752" s="12">
        <f>2.4*30</f>
        <v>72</v>
      </c>
      <c r="AS752" s="12"/>
      <c r="AT752" s="12"/>
      <c r="AU752" s="12"/>
      <c r="AV752" s="12">
        <v>1</v>
      </c>
      <c r="AW752" s="12">
        <f>10*365</f>
        <v>3650</v>
      </c>
      <c r="AX752" s="12" t="str">
        <f>IF(AR752="", "mean", "med")</f>
        <v>med</v>
      </c>
      <c r="AY752" s="12">
        <f>IF(AR752="", AP752, AR752)</f>
        <v>72</v>
      </c>
      <c r="AZ752" s="49" t="s">
        <v>886</v>
      </c>
      <c r="BA752" s="49" t="str">
        <f>IF(AZ752="high","high","lower")</f>
        <v>lower</v>
      </c>
      <c r="BB752" s="47">
        <v>0.8</v>
      </c>
      <c r="BC752" s="49"/>
      <c r="BD752" s="49"/>
      <c r="BE752" s="49"/>
      <c r="BF752" s="49"/>
      <c r="BG752" s="18" t="s">
        <v>1030</v>
      </c>
      <c r="BH752" s="18" t="s">
        <v>1031</v>
      </c>
    </row>
    <row r="753" spans="1:60" ht="15.75" customHeight="1" x14ac:dyDescent="0.2">
      <c r="A753" s="11">
        <v>756</v>
      </c>
      <c r="B753" s="12">
        <v>12877</v>
      </c>
      <c r="C753" s="14" t="s">
        <v>925</v>
      </c>
      <c r="D753" s="13" t="s">
        <v>38</v>
      </c>
      <c r="E753" s="13">
        <v>2017</v>
      </c>
      <c r="F753" s="13">
        <v>2017</v>
      </c>
      <c r="G753" s="14" t="s">
        <v>608</v>
      </c>
      <c r="H753" s="14"/>
      <c r="I753" s="13" t="s">
        <v>40</v>
      </c>
      <c r="J753" s="13" t="s">
        <v>40</v>
      </c>
      <c r="K753" s="14"/>
      <c r="L753" s="15">
        <v>100</v>
      </c>
      <c r="M753" s="26" t="s">
        <v>41</v>
      </c>
      <c r="N753" s="13" t="s">
        <v>42</v>
      </c>
      <c r="O753" s="13"/>
      <c r="P753" s="12">
        <v>0</v>
      </c>
      <c r="Q753" s="12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2">
        <v>1</v>
      </c>
      <c r="AC753" s="13">
        <v>242</v>
      </c>
      <c r="AD753" s="12"/>
      <c r="AE753" s="12"/>
      <c r="AF753" s="12">
        <v>53</v>
      </c>
      <c r="AG753" s="12"/>
      <c r="AH753" s="12"/>
      <c r="AI753" s="12"/>
      <c r="AJ753" s="12"/>
      <c r="AK753" s="12"/>
      <c r="AL753" s="12" t="str">
        <f>IF(AF753="", "mean", "med")</f>
        <v>med</v>
      </c>
      <c r="AM753" s="12">
        <f>IF(AF753="", AD753, AF753)</f>
        <v>53</v>
      </c>
      <c r="AN753" s="12">
        <v>1</v>
      </c>
      <c r="AO753" s="22">
        <v>242</v>
      </c>
      <c r="AP753" s="12"/>
      <c r="AQ753" s="12"/>
      <c r="AR753" s="12">
        <v>20</v>
      </c>
      <c r="AS753" s="12"/>
      <c r="AT753" s="12"/>
      <c r="AU753" s="12"/>
      <c r="AV753" s="12"/>
      <c r="AW753" s="12"/>
      <c r="AX753" s="12" t="str">
        <f>IF(AR753="", "mean", "med")</f>
        <v>med</v>
      </c>
      <c r="AY753" s="12">
        <f>IF(AR753="", AP753, AR753)</f>
        <v>20</v>
      </c>
      <c r="AZ753" s="12" t="s">
        <v>886</v>
      </c>
      <c r="BA753" s="12" t="str">
        <f>IF(AZ753="high","high","lower")</f>
        <v>lower</v>
      </c>
      <c r="BB753" s="47">
        <v>0.76300000000000001</v>
      </c>
      <c r="BC753" s="12">
        <v>83.6</v>
      </c>
      <c r="BD753" s="12">
        <v>79.8</v>
      </c>
      <c r="BE753" s="12">
        <v>92.1</v>
      </c>
      <c r="BF753" s="12">
        <v>91.7</v>
      </c>
      <c r="BG753" s="18" t="s">
        <v>1030</v>
      </c>
      <c r="BH753" s="18" t="s">
        <v>1031</v>
      </c>
    </row>
    <row r="754" spans="1:60" ht="15.75" customHeight="1" x14ac:dyDescent="0.2">
      <c r="A754" s="11">
        <v>757</v>
      </c>
      <c r="B754" s="12">
        <v>12168</v>
      </c>
      <c r="C754" s="13" t="s">
        <v>926</v>
      </c>
      <c r="D754" s="13" t="s">
        <v>927</v>
      </c>
      <c r="E754" s="13">
        <v>2017</v>
      </c>
      <c r="F754" s="13">
        <v>2018</v>
      </c>
      <c r="G754" s="13" t="s">
        <v>117</v>
      </c>
      <c r="H754" s="13"/>
      <c r="I754" s="13" t="s">
        <v>57</v>
      </c>
      <c r="J754" s="13" t="s">
        <v>58</v>
      </c>
      <c r="K754" s="14"/>
      <c r="L754" s="15">
        <v>45</v>
      </c>
      <c r="M754" s="26">
        <v>68</v>
      </c>
      <c r="N754" s="13" t="s">
        <v>41</v>
      </c>
      <c r="O754" s="13" t="s">
        <v>41</v>
      </c>
      <c r="P754" s="12">
        <v>1</v>
      </c>
      <c r="Q754" s="12">
        <v>285</v>
      </c>
      <c r="R754" s="17"/>
      <c r="S754" s="17"/>
      <c r="T754" s="17">
        <v>22</v>
      </c>
      <c r="U754" s="17"/>
      <c r="V754" s="17"/>
      <c r="W754" s="17">
        <v>36</v>
      </c>
      <c r="X754" s="17"/>
      <c r="Y754" s="17"/>
      <c r="Z754" s="17" t="str">
        <f>IF(T754="", "mean", "med")</f>
        <v>med</v>
      </c>
      <c r="AA754" s="17">
        <f>IF(T754="", R754, T754)</f>
        <v>22</v>
      </c>
      <c r="AB754" s="12">
        <v>0</v>
      </c>
      <c r="AC754" s="13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>
        <v>1</v>
      </c>
      <c r="AO754" s="12">
        <v>38</v>
      </c>
      <c r="AP754" s="12"/>
      <c r="AQ754" s="12"/>
      <c r="AR754" s="12">
        <v>32</v>
      </c>
      <c r="AS754" s="12"/>
      <c r="AT754" s="12"/>
      <c r="AU754" s="12">
        <v>168</v>
      </c>
      <c r="AV754" s="12"/>
      <c r="AW754" s="12"/>
      <c r="AX754" s="12" t="str">
        <f>IF(AR754="", "mean", "med")</f>
        <v>med</v>
      </c>
      <c r="AY754" s="12">
        <f>IF(AR754="", AP754, AR754)</f>
        <v>32</v>
      </c>
      <c r="AZ754" s="12" t="s">
        <v>52</v>
      </c>
      <c r="BA754" s="12" t="str">
        <f>IF(AZ754="high","high","lower")</f>
        <v>high</v>
      </c>
      <c r="BB754" s="47">
        <v>0.94199999999999995</v>
      </c>
      <c r="BC754" s="12">
        <v>90.6</v>
      </c>
      <c r="BD754" s="12">
        <v>98</v>
      </c>
      <c r="BE754" s="12">
        <v>100</v>
      </c>
      <c r="BF754" s="12">
        <v>90</v>
      </c>
      <c r="BG754" s="18" t="s">
        <v>1034</v>
      </c>
      <c r="BH754" s="18" t="s">
        <v>1031</v>
      </c>
    </row>
    <row r="755" spans="1:60" ht="15.75" customHeight="1" x14ac:dyDescent="0.2">
      <c r="A755" s="11">
        <v>758</v>
      </c>
      <c r="B755" s="12">
        <v>12168</v>
      </c>
      <c r="C755" s="13" t="s">
        <v>926</v>
      </c>
      <c r="D755" s="13" t="s">
        <v>928</v>
      </c>
      <c r="E755" s="13">
        <v>2017</v>
      </c>
      <c r="F755" s="13">
        <v>2018</v>
      </c>
      <c r="G755" s="13" t="s">
        <v>117</v>
      </c>
      <c r="H755" s="13"/>
      <c r="I755" s="13" t="s">
        <v>57</v>
      </c>
      <c r="J755" s="14" t="s">
        <v>58</v>
      </c>
      <c r="K755" s="14"/>
      <c r="L755" s="15">
        <v>37</v>
      </c>
      <c r="M755" s="26">
        <v>70</v>
      </c>
      <c r="N755" s="13" t="s">
        <v>41</v>
      </c>
      <c r="O755" s="13" t="s">
        <v>41</v>
      </c>
      <c r="P755" s="12">
        <v>1</v>
      </c>
      <c r="Q755" s="12">
        <v>121</v>
      </c>
      <c r="R755" s="17"/>
      <c r="S755" s="17"/>
      <c r="T755" s="17">
        <v>23</v>
      </c>
      <c r="U755" s="17"/>
      <c r="V755" s="17"/>
      <c r="W755" s="17">
        <v>30</v>
      </c>
      <c r="X755" s="17"/>
      <c r="Y755" s="17"/>
      <c r="Z755" s="17" t="str">
        <f>IF(T755="", "mean", "med")</f>
        <v>med</v>
      </c>
      <c r="AA755" s="17">
        <f>IF(T755="", R755, T755)</f>
        <v>23</v>
      </c>
      <c r="AB755" s="12">
        <v>0</v>
      </c>
      <c r="AC755" s="13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>
        <v>1</v>
      </c>
      <c r="AO755" s="12">
        <v>8</v>
      </c>
      <c r="AP755" s="12"/>
      <c r="AQ755" s="12"/>
      <c r="AR755" s="12">
        <v>120</v>
      </c>
      <c r="AS755" s="12"/>
      <c r="AT755" s="12"/>
      <c r="AU755" s="12">
        <v>331</v>
      </c>
      <c r="AV755" s="12"/>
      <c r="AW755" s="12"/>
      <c r="AX755" s="12" t="str">
        <f>IF(AR755="", "mean", "med")</f>
        <v>med</v>
      </c>
      <c r="AY755" s="12">
        <f>IF(AR755="", AP755, AR755)</f>
        <v>120</v>
      </c>
      <c r="AZ755" s="12" t="s">
        <v>52</v>
      </c>
      <c r="BA755" s="12" t="str">
        <f>IF(AZ755="high","high","lower")</f>
        <v>high</v>
      </c>
      <c r="BB755" s="47">
        <v>0.94199999999999995</v>
      </c>
      <c r="BC755" s="12">
        <v>90.6</v>
      </c>
      <c r="BD755" s="12">
        <v>98</v>
      </c>
      <c r="BE755" s="12">
        <v>100</v>
      </c>
      <c r="BF755" s="12">
        <v>90</v>
      </c>
      <c r="BG755" s="18" t="s">
        <v>1034</v>
      </c>
      <c r="BH755" s="18" t="s">
        <v>1031</v>
      </c>
    </row>
    <row r="756" spans="1:60" ht="15.75" customHeight="1" x14ac:dyDescent="0.2">
      <c r="A756" s="11">
        <v>759</v>
      </c>
      <c r="B756" s="12">
        <v>12733</v>
      </c>
      <c r="C756" s="13" t="s">
        <v>452</v>
      </c>
      <c r="D756" s="13" t="s">
        <v>38</v>
      </c>
      <c r="E756" s="13">
        <v>2014</v>
      </c>
      <c r="F756" s="13">
        <v>2019</v>
      </c>
      <c r="G756" s="13" t="s">
        <v>264</v>
      </c>
      <c r="H756" s="13"/>
      <c r="I756" s="14" t="s">
        <v>40</v>
      </c>
      <c r="J756" s="13" t="s">
        <v>40</v>
      </c>
      <c r="K756" s="13"/>
      <c r="L756" s="15">
        <v>100</v>
      </c>
      <c r="M756" s="26">
        <v>49.21</v>
      </c>
      <c r="N756" s="13" t="s">
        <v>42</v>
      </c>
      <c r="O756" s="14"/>
      <c r="P756" s="12">
        <v>0</v>
      </c>
      <c r="Q756" s="12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2">
        <v>0</v>
      </c>
      <c r="AC756" s="13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>
        <v>1</v>
      </c>
      <c r="AO756" s="12">
        <v>226</v>
      </c>
      <c r="AP756" s="12"/>
      <c r="AQ756" s="12"/>
      <c r="AR756" s="12">
        <v>28.5</v>
      </c>
      <c r="AS756" s="12"/>
      <c r="AT756" s="12"/>
      <c r="AU756" s="12">
        <v>143.5</v>
      </c>
      <c r="AV756" s="12">
        <v>0</v>
      </c>
      <c r="AW756" s="36">
        <v>2206</v>
      </c>
      <c r="AX756" s="12" t="str">
        <f>IF(AR756="", "mean", "med")</f>
        <v>med</v>
      </c>
      <c r="AY756" s="12">
        <f>IF(AR756="", AP756, AR756)</f>
        <v>28.5</v>
      </c>
      <c r="AZ756" s="12" t="s">
        <v>886</v>
      </c>
      <c r="BA756" s="12" t="str">
        <f>IF(AZ756="high","high","lower")</f>
        <v>lower</v>
      </c>
      <c r="BB756" s="47">
        <v>0.747</v>
      </c>
      <c r="BC756" s="12">
        <v>64.5</v>
      </c>
      <c r="BD756" s="12">
        <v>73.099999999999994</v>
      </c>
      <c r="BE756" s="12">
        <v>50</v>
      </c>
      <c r="BF756" s="12">
        <v>61.3</v>
      </c>
      <c r="BG756" s="18" t="s">
        <v>1030</v>
      </c>
      <c r="BH756" s="18" t="s">
        <v>1031</v>
      </c>
    </row>
    <row r="757" spans="1:60" ht="15.75" customHeight="1" x14ac:dyDescent="0.2">
      <c r="A757" s="11">
        <v>760</v>
      </c>
      <c r="B757" s="12">
        <v>12302</v>
      </c>
      <c r="C757" s="13" t="s">
        <v>929</v>
      </c>
      <c r="D757" s="13">
        <v>2003</v>
      </c>
      <c r="E757" s="13">
        <v>2003</v>
      </c>
      <c r="F757" s="13">
        <v>2003</v>
      </c>
      <c r="G757" s="13" t="s">
        <v>161</v>
      </c>
      <c r="H757" s="13"/>
      <c r="I757" s="13" t="s">
        <v>79</v>
      </c>
      <c r="J757" s="13" t="s">
        <v>79</v>
      </c>
      <c r="K757" s="14"/>
      <c r="L757" s="19">
        <v>13.1</v>
      </c>
      <c r="M757" s="26" t="s">
        <v>41</v>
      </c>
      <c r="N757" s="13" t="s">
        <v>42</v>
      </c>
      <c r="O757" s="14" t="s">
        <v>930</v>
      </c>
      <c r="P757" s="12">
        <v>1</v>
      </c>
      <c r="Q757" s="12">
        <v>84</v>
      </c>
      <c r="R757" s="17"/>
      <c r="S757" s="17"/>
      <c r="T757" s="17">
        <v>13</v>
      </c>
      <c r="U757" s="17"/>
      <c r="V757" s="17"/>
      <c r="W757" s="17"/>
      <c r="X757" s="17"/>
      <c r="Y757" s="17"/>
      <c r="Z757" s="17" t="str">
        <f>IF(T757="", "mean", "med")</f>
        <v>med</v>
      </c>
      <c r="AA757" s="17">
        <f>IF(T757="", R757, T757)</f>
        <v>13</v>
      </c>
      <c r="AB757" s="12">
        <v>0</v>
      </c>
      <c r="AC757" s="13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>
        <v>0</v>
      </c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 t="s">
        <v>52</v>
      </c>
      <c r="BA757" s="12" t="str">
        <f>IF(AZ757="high","high","lower")</f>
        <v>high</v>
      </c>
      <c r="BB757" s="47">
        <v>0.89600000000000002</v>
      </c>
      <c r="BC757" s="12">
        <v>88.7</v>
      </c>
      <c r="BD757" s="12">
        <v>91.8</v>
      </c>
      <c r="BE757" s="12">
        <v>100</v>
      </c>
      <c r="BF757" s="12">
        <v>91.8</v>
      </c>
      <c r="BG757" s="18" t="s">
        <v>1030</v>
      </c>
      <c r="BH757" s="18" t="s">
        <v>1031</v>
      </c>
    </row>
    <row r="758" spans="1:60" ht="15.75" customHeight="1" x14ac:dyDescent="0.2">
      <c r="A758" s="11">
        <v>761</v>
      </c>
      <c r="B758" s="12">
        <v>12302</v>
      </c>
      <c r="C758" s="13" t="s">
        <v>929</v>
      </c>
      <c r="D758" s="13">
        <v>2008</v>
      </c>
      <c r="E758" s="13">
        <v>2008</v>
      </c>
      <c r="F758" s="13">
        <v>2008</v>
      </c>
      <c r="G758" s="13" t="s">
        <v>161</v>
      </c>
      <c r="H758" s="13"/>
      <c r="I758" s="13" t="s">
        <v>79</v>
      </c>
      <c r="J758" s="13" t="s">
        <v>79</v>
      </c>
      <c r="K758" s="14"/>
      <c r="L758" s="19">
        <v>21.3</v>
      </c>
      <c r="M758" s="26" t="s">
        <v>41</v>
      </c>
      <c r="N758" s="13" t="s">
        <v>42</v>
      </c>
      <c r="O758" s="14" t="s">
        <v>930</v>
      </c>
      <c r="P758" s="12">
        <v>1</v>
      </c>
      <c r="Q758" s="12">
        <v>108</v>
      </c>
      <c r="R758" s="21"/>
      <c r="S758" s="21"/>
      <c r="T758" s="17">
        <v>26</v>
      </c>
      <c r="U758" s="17"/>
      <c r="V758" s="17"/>
      <c r="W758" s="17"/>
      <c r="X758" s="17"/>
      <c r="Y758" s="17"/>
      <c r="Z758" s="17" t="str">
        <f>IF(T758="", "mean", "med")</f>
        <v>med</v>
      </c>
      <c r="AA758" s="17">
        <f>IF(T758="", R758, T758)</f>
        <v>26</v>
      </c>
      <c r="AB758" s="12">
        <v>0</v>
      </c>
      <c r="AC758" s="13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>
        <v>0</v>
      </c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 t="s">
        <v>52</v>
      </c>
      <c r="BA758" s="12" t="str">
        <f>IF(AZ758="high","high","lower")</f>
        <v>high</v>
      </c>
      <c r="BB758" s="47">
        <v>0.92400000000000004</v>
      </c>
      <c r="BC758" s="12">
        <v>88.7</v>
      </c>
      <c r="BD758" s="12">
        <v>91.8</v>
      </c>
      <c r="BE758" s="12">
        <v>100</v>
      </c>
      <c r="BF758" s="12">
        <v>91.8</v>
      </c>
      <c r="BG758" s="18" t="s">
        <v>1030</v>
      </c>
      <c r="BH758" s="18" t="s">
        <v>1031</v>
      </c>
    </row>
    <row r="759" spans="1:60" ht="15.75" customHeight="1" x14ac:dyDescent="0.2">
      <c r="A759" s="11">
        <v>762</v>
      </c>
      <c r="B759" s="12">
        <v>12302</v>
      </c>
      <c r="C759" s="13" t="s">
        <v>929</v>
      </c>
      <c r="D759" s="13">
        <v>2013</v>
      </c>
      <c r="E759" s="13">
        <v>2013</v>
      </c>
      <c r="F759" s="13">
        <v>2013</v>
      </c>
      <c r="G759" s="13" t="s">
        <v>161</v>
      </c>
      <c r="H759" s="13"/>
      <c r="I759" s="13" t="s">
        <v>79</v>
      </c>
      <c r="J759" s="13" t="s">
        <v>79</v>
      </c>
      <c r="K759" s="13"/>
      <c r="L759" s="19">
        <v>27.6</v>
      </c>
      <c r="M759" s="28" t="s">
        <v>41</v>
      </c>
      <c r="N759" s="13" t="s">
        <v>42</v>
      </c>
      <c r="O759" s="13" t="s">
        <v>930</v>
      </c>
      <c r="P759" s="12">
        <v>1</v>
      </c>
      <c r="Q759" s="12">
        <v>105</v>
      </c>
      <c r="R759" s="17"/>
      <c r="S759" s="17"/>
      <c r="T759" s="17">
        <v>7</v>
      </c>
      <c r="U759" s="17"/>
      <c r="V759" s="17"/>
      <c r="W759" s="21"/>
      <c r="X759" s="17"/>
      <c r="Y759" s="17"/>
      <c r="Z759" s="17" t="str">
        <f>IF(T759="", "mean", "med")</f>
        <v>med</v>
      </c>
      <c r="AA759" s="17">
        <f>IF(T759="", R759, T759)</f>
        <v>7</v>
      </c>
      <c r="AB759" s="12">
        <v>0</v>
      </c>
      <c r="AC759" s="13"/>
      <c r="AD759" s="12"/>
      <c r="AE759" s="12"/>
      <c r="AF759" s="12"/>
      <c r="AG759" s="12"/>
      <c r="AH759" s="22"/>
      <c r="AI759" s="12"/>
      <c r="AJ759" s="12"/>
      <c r="AK759" s="12"/>
      <c r="AL759" s="12"/>
      <c r="AM759" s="12"/>
      <c r="AN759" s="12">
        <v>0</v>
      </c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 t="s">
        <v>52</v>
      </c>
      <c r="BA759" s="12" t="str">
        <f>IF(AZ759="high","high","lower")</f>
        <v>high</v>
      </c>
      <c r="BB759" s="47">
        <v>0.93500000000000005</v>
      </c>
      <c r="BC759" s="12">
        <v>88.7</v>
      </c>
      <c r="BD759" s="12">
        <v>91.8</v>
      </c>
      <c r="BE759" s="12">
        <v>100</v>
      </c>
      <c r="BF759" s="12">
        <v>91.8</v>
      </c>
      <c r="BG759" s="18" t="s">
        <v>1030</v>
      </c>
      <c r="BH759" s="18" t="s">
        <v>1031</v>
      </c>
    </row>
    <row r="760" spans="1:60" ht="15.75" customHeight="1" x14ac:dyDescent="0.2">
      <c r="A760" s="11">
        <v>763</v>
      </c>
      <c r="B760" s="12">
        <v>14112</v>
      </c>
      <c r="C760" s="13" t="s">
        <v>550</v>
      </c>
      <c r="D760" s="13" t="s">
        <v>38</v>
      </c>
      <c r="E760" s="13">
        <v>2013</v>
      </c>
      <c r="F760" s="13">
        <v>2017</v>
      </c>
      <c r="G760" s="13" t="s">
        <v>214</v>
      </c>
      <c r="H760" s="13"/>
      <c r="I760" s="13" t="s">
        <v>40</v>
      </c>
      <c r="J760" s="13" t="s">
        <v>40</v>
      </c>
      <c r="K760" s="13"/>
      <c r="L760" s="19">
        <v>100</v>
      </c>
      <c r="M760" s="26" t="s">
        <v>41</v>
      </c>
      <c r="N760" s="13" t="s">
        <v>42</v>
      </c>
      <c r="O760" s="14" t="s">
        <v>931</v>
      </c>
      <c r="P760" s="12">
        <v>1</v>
      </c>
      <c r="Q760" s="22">
        <v>268</v>
      </c>
      <c r="R760" s="17">
        <v>65</v>
      </c>
      <c r="S760" s="17">
        <v>87</v>
      </c>
      <c r="T760" s="17">
        <v>44</v>
      </c>
      <c r="U760" s="17"/>
      <c r="V760" s="17"/>
      <c r="W760" s="17"/>
      <c r="X760" s="17">
        <v>0</v>
      </c>
      <c r="Y760" s="17">
        <v>1006</v>
      </c>
      <c r="Z760" s="17" t="str">
        <f>IF(T760="", "mean", "med")</f>
        <v>med</v>
      </c>
      <c r="AA760" s="17">
        <f>IF(T760="", R760, T760)</f>
        <v>44</v>
      </c>
      <c r="AB760" s="12">
        <v>1</v>
      </c>
      <c r="AC760" s="13">
        <v>320</v>
      </c>
      <c r="AD760" s="12">
        <v>178</v>
      </c>
      <c r="AE760" s="12">
        <v>337</v>
      </c>
      <c r="AF760" s="12">
        <v>97</v>
      </c>
      <c r="AG760" s="12"/>
      <c r="AH760" s="12"/>
      <c r="AI760" s="12"/>
      <c r="AJ760" s="12">
        <v>1</v>
      </c>
      <c r="AK760" s="12">
        <v>2950</v>
      </c>
      <c r="AL760" s="12" t="str">
        <f>IF(AF760="", "mean", "med")</f>
        <v>med</v>
      </c>
      <c r="AM760" s="12">
        <f>IF(AF760="", AD760, AF760)</f>
        <v>97</v>
      </c>
      <c r="AN760" s="12">
        <v>1</v>
      </c>
      <c r="AO760" s="12">
        <v>302</v>
      </c>
      <c r="AP760" s="12">
        <v>6.9</v>
      </c>
      <c r="AQ760" s="12">
        <v>5.4</v>
      </c>
      <c r="AR760" s="12">
        <v>6</v>
      </c>
      <c r="AS760" s="12"/>
      <c r="AT760" s="12"/>
      <c r="AU760" s="12"/>
      <c r="AV760" s="12">
        <v>1</v>
      </c>
      <c r="AW760" s="12">
        <v>48</v>
      </c>
      <c r="AX760" s="12" t="str">
        <f>IF(AR760="", "mean", "med")</f>
        <v>med</v>
      </c>
      <c r="AY760" s="12">
        <f>IF(AR760="", AP760, AR760)</f>
        <v>6</v>
      </c>
      <c r="AZ760" s="49" t="s">
        <v>808</v>
      </c>
      <c r="BA760" s="49" t="str">
        <f>IF(AZ760="high","high","lower")</f>
        <v>lower</v>
      </c>
      <c r="BB760" s="47">
        <v>0.65900000000000003</v>
      </c>
      <c r="BC760" s="49"/>
      <c r="BD760" s="49"/>
      <c r="BE760" s="49"/>
      <c r="BF760" s="49"/>
      <c r="BG760" s="18" t="s">
        <v>1032</v>
      </c>
      <c r="BH760" s="18" t="s">
        <v>1033</v>
      </c>
    </row>
    <row r="761" spans="1:60" ht="15.75" customHeight="1" x14ac:dyDescent="0.2">
      <c r="A761" s="11">
        <v>764</v>
      </c>
      <c r="B761" s="12">
        <v>12616</v>
      </c>
      <c r="C761" s="13" t="s">
        <v>932</v>
      </c>
      <c r="D761" s="13" t="s">
        <v>38</v>
      </c>
      <c r="E761" s="13">
        <v>2015</v>
      </c>
      <c r="F761" s="13">
        <v>2019</v>
      </c>
      <c r="G761" s="13" t="s">
        <v>134</v>
      </c>
      <c r="H761" s="13"/>
      <c r="I761" s="13" t="s">
        <v>70</v>
      </c>
      <c r="J761" s="13" t="s">
        <v>119</v>
      </c>
      <c r="K761" s="13"/>
      <c r="L761" s="15">
        <v>38</v>
      </c>
      <c r="M761" s="26">
        <v>72</v>
      </c>
      <c r="N761" s="13" t="s">
        <v>42</v>
      </c>
      <c r="O761" s="13" t="s">
        <v>933</v>
      </c>
      <c r="P761" s="12">
        <v>1</v>
      </c>
      <c r="Q761" s="12">
        <v>302</v>
      </c>
      <c r="R761" s="17"/>
      <c r="S761" s="17"/>
      <c r="T761" s="17">
        <v>52</v>
      </c>
      <c r="U761" s="17">
        <v>30.2</v>
      </c>
      <c r="V761" s="17">
        <v>99</v>
      </c>
      <c r="W761" s="17"/>
      <c r="X761" s="17"/>
      <c r="Y761" s="17"/>
      <c r="Z761" s="17" t="str">
        <f>IF(T761="", "mean", "med")</f>
        <v>med</v>
      </c>
      <c r="AA761" s="17">
        <f>IF(T761="", R761, T761)</f>
        <v>52</v>
      </c>
      <c r="AB761" s="12">
        <v>0</v>
      </c>
      <c r="AC761" s="13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>
        <v>0</v>
      </c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 t="s">
        <v>52</v>
      </c>
      <c r="BA761" s="12" t="str">
        <f>IF(AZ761="high","high","lower")</f>
        <v>high</v>
      </c>
      <c r="BB761" s="47">
        <v>0.92500000000000004</v>
      </c>
      <c r="BC761" s="12">
        <v>84.8</v>
      </c>
      <c r="BD761" s="12">
        <v>94</v>
      </c>
      <c r="BE761" s="12">
        <v>100</v>
      </c>
      <c r="BF761" s="12">
        <v>82.2</v>
      </c>
      <c r="BG761" s="18" t="s">
        <v>1030</v>
      </c>
      <c r="BH761" s="18" t="s">
        <v>1031</v>
      </c>
    </row>
    <row r="762" spans="1:60" ht="15.75" customHeight="1" x14ac:dyDescent="0.2">
      <c r="A762" s="11">
        <v>765</v>
      </c>
      <c r="B762" s="12">
        <v>12817</v>
      </c>
      <c r="C762" s="13" t="s">
        <v>506</v>
      </c>
      <c r="D762" s="13" t="s">
        <v>696</v>
      </c>
      <c r="E762" s="13">
        <v>1988</v>
      </c>
      <c r="F762" s="13">
        <v>2018</v>
      </c>
      <c r="G762" s="13" t="s">
        <v>49</v>
      </c>
      <c r="H762" s="13"/>
      <c r="I762" s="13" t="s">
        <v>59</v>
      </c>
      <c r="J762" s="13" t="s">
        <v>60</v>
      </c>
      <c r="K762" s="14"/>
      <c r="L762" s="15">
        <v>0</v>
      </c>
      <c r="M762" s="26">
        <v>63</v>
      </c>
      <c r="N762" s="13" t="s">
        <v>42</v>
      </c>
      <c r="O762" s="13" t="s">
        <v>848</v>
      </c>
      <c r="P762" s="12">
        <v>1</v>
      </c>
      <c r="Q762" s="22">
        <v>2496</v>
      </c>
      <c r="R762" s="17"/>
      <c r="S762" s="17"/>
      <c r="T762" s="17">
        <f>3.2*30</f>
        <v>96</v>
      </c>
      <c r="U762" s="17">
        <f>2.3*30</f>
        <v>69</v>
      </c>
      <c r="V762" s="17">
        <f>4.5*30</f>
        <v>135</v>
      </c>
      <c r="W762" s="17"/>
      <c r="X762" s="17"/>
      <c r="Y762" s="17"/>
      <c r="Z762" s="17" t="str">
        <f>IF(T762="", "mean", "med")</f>
        <v>med</v>
      </c>
      <c r="AA762" s="17">
        <f>IF(T762="", R762, T762)</f>
        <v>96</v>
      </c>
      <c r="AB762" s="12">
        <v>0</v>
      </c>
      <c r="AC762" s="13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>
        <v>0</v>
      </c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 t="s">
        <v>52</v>
      </c>
      <c r="BA762" s="12" t="str">
        <f>IF(AZ762="high","high","lower")</f>
        <v>high</v>
      </c>
      <c r="BB762" s="47">
        <v>0.89900000000000002</v>
      </c>
      <c r="BC762" s="12">
        <v>84</v>
      </c>
      <c r="BD762" s="12">
        <v>88</v>
      </c>
      <c r="BE762" s="12">
        <v>100</v>
      </c>
      <c r="BF762" s="12">
        <v>84.2</v>
      </c>
      <c r="BG762" s="18" t="s">
        <v>1030</v>
      </c>
      <c r="BH762" s="18" t="s">
        <v>1031</v>
      </c>
    </row>
    <row r="763" spans="1:60" ht="15.75" customHeight="1" x14ac:dyDescent="0.2">
      <c r="A763" s="11">
        <v>766</v>
      </c>
      <c r="B763" s="12">
        <v>12817</v>
      </c>
      <c r="C763" s="13" t="s">
        <v>506</v>
      </c>
      <c r="D763" s="13" t="s">
        <v>52</v>
      </c>
      <c r="E763" s="13">
        <v>1988</v>
      </c>
      <c r="F763" s="13">
        <v>2018</v>
      </c>
      <c r="G763" s="13" t="s">
        <v>49</v>
      </c>
      <c r="H763" s="13"/>
      <c r="I763" s="13" t="s">
        <v>59</v>
      </c>
      <c r="J763" s="13" t="s">
        <v>60</v>
      </c>
      <c r="K763" s="14"/>
      <c r="L763" s="15">
        <v>0</v>
      </c>
      <c r="M763" s="26">
        <v>63</v>
      </c>
      <c r="N763" s="13" t="s">
        <v>42</v>
      </c>
      <c r="O763" s="13" t="s">
        <v>848</v>
      </c>
      <c r="P763" s="12">
        <v>1</v>
      </c>
      <c r="Q763" s="22">
        <v>1466</v>
      </c>
      <c r="R763" s="17"/>
      <c r="S763" s="17"/>
      <c r="T763" s="17">
        <f>2.9*30</f>
        <v>87</v>
      </c>
      <c r="U763" s="17">
        <f>2.1*30</f>
        <v>63</v>
      </c>
      <c r="V763" s="17">
        <f>4.1*30</f>
        <v>122.99999999999999</v>
      </c>
      <c r="W763" s="17"/>
      <c r="X763" s="17"/>
      <c r="Y763" s="17"/>
      <c r="Z763" s="17" t="str">
        <f>IF(T763="", "mean", "med")</f>
        <v>med</v>
      </c>
      <c r="AA763" s="17">
        <f>IF(T763="", R763, T763)</f>
        <v>87</v>
      </c>
      <c r="AB763" s="12">
        <v>0</v>
      </c>
      <c r="AC763" s="13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>
        <v>0</v>
      </c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 t="s">
        <v>52</v>
      </c>
      <c r="BA763" s="12" t="str">
        <f>IF(AZ763="high","high","lower")</f>
        <v>high</v>
      </c>
      <c r="BB763" s="47">
        <v>0.89900000000000002</v>
      </c>
      <c r="BC763" s="12">
        <v>84</v>
      </c>
      <c r="BD763" s="12">
        <v>88</v>
      </c>
      <c r="BE763" s="12">
        <v>100</v>
      </c>
      <c r="BF763" s="12">
        <v>84.2</v>
      </c>
      <c r="BG763" s="18" t="s">
        <v>1030</v>
      </c>
      <c r="BH763" s="18" t="s">
        <v>1031</v>
      </c>
    </row>
    <row r="764" spans="1:60" ht="15.75" customHeight="1" x14ac:dyDescent="0.2">
      <c r="A764" s="11">
        <v>767</v>
      </c>
      <c r="B764" s="12">
        <v>12204</v>
      </c>
      <c r="C764" s="13" t="s">
        <v>473</v>
      </c>
      <c r="D764" s="13" t="s">
        <v>38</v>
      </c>
      <c r="E764" s="13">
        <v>2016</v>
      </c>
      <c r="F764" s="13">
        <v>2018</v>
      </c>
      <c r="G764" s="13" t="s">
        <v>393</v>
      </c>
      <c r="H764" s="13"/>
      <c r="I764" s="13" t="s">
        <v>40</v>
      </c>
      <c r="J764" s="13" t="s">
        <v>40</v>
      </c>
      <c r="K764" s="13"/>
      <c r="L764" s="15">
        <v>100</v>
      </c>
      <c r="M764" s="26" t="s">
        <v>41</v>
      </c>
      <c r="N764" s="13" t="s">
        <v>42</v>
      </c>
      <c r="O764" s="13" t="s">
        <v>90</v>
      </c>
      <c r="P764" s="12">
        <v>1</v>
      </c>
      <c r="Q764" s="12">
        <v>372</v>
      </c>
      <c r="R764" s="17"/>
      <c r="S764" s="17"/>
      <c r="T764" s="17">
        <v>26</v>
      </c>
      <c r="U764" s="17">
        <v>12</v>
      </c>
      <c r="V764" s="17">
        <v>44</v>
      </c>
      <c r="W764" s="17"/>
      <c r="X764" s="17"/>
      <c r="Y764" s="17"/>
      <c r="Z764" s="17" t="str">
        <f>IF(T764="", "mean", "med")</f>
        <v>med</v>
      </c>
      <c r="AA764" s="17">
        <f>IF(T764="", R764, T764)</f>
        <v>26</v>
      </c>
      <c r="AB764" s="12">
        <v>1</v>
      </c>
      <c r="AC764" s="13">
        <v>372</v>
      </c>
      <c r="AD764" s="12"/>
      <c r="AE764" s="12"/>
      <c r="AF764" s="12">
        <v>24</v>
      </c>
      <c r="AG764" s="12">
        <v>15</v>
      </c>
      <c r="AH764" s="12">
        <v>42</v>
      </c>
      <c r="AI764" s="12"/>
      <c r="AJ764" s="12"/>
      <c r="AK764" s="12"/>
      <c r="AL764" s="12" t="str">
        <f>IF(AF764="", "mean", "med")</f>
        <v>med</v>
      </c>
      <c r="AM764" s="12">
        <f>IF(AF764="", AD764, AF764)</f>
        <v>24</v>
      </c>
      <c r="AN764" s="12">
        <v>0</v>
      </c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49" t="s">
        <v>808</v>
      </c>
      <c r="BA764" s="49" t="str">
        <f>IF(AZ764="high","high","lower")</f>
        <v>lower</v>
      </c>
      <c r="BB764" s="47">
        <v>0.54800000000000004</v>
      </c>
      <c r="BC764" s="49"/>
      <c r="BD764" s="49"/>
      <c r="BE764" s="49"/>
      <c r="BF764" s="49"/>
      <c r="BG764" s="18" t="s">
        <v>1030</v>
      </c>
      <c r="BH764" s="18" t="s">
        <v>1031</v>
      </c>
    </row>
    <row r="765" spans="1:60" ht="15.75" customHeight="1" x14ac:dyDescent="0.2">
      <c r="A765" s="11">
        <v>768</v>
      </c>
      <c r="B765" s="12">
        <v>12346</v>
      </c>
      <c r="C765" s="13" t="s">
        <v>934</v>
      </c>
      <c r="D765" s="13" t="s">
        <v>935</v>
      </c>
      <c r="E765" s="13">
        <v>2017</v>
      </c>
      <c r="F765" s="13">
        <v>2021</v>
      </c>
      <c r="G765" s="13" t="s">
        <v>161</v>
      </c>
      <c r="H765" s="13"/>
      <c r="I765" s="13" t="s">
        <v>79</v>
      </c>
      <c r="J765" s="13" t="s">
        <v>79</v>
      </c>
      <c r="K765" s="13" t="s">
        <v>1018</v>
      </c>
      <c r="L765" s="15">
        <v>9</v>
      </c>
      <c r="M765" s="26">
        <v>64.64</v>
      </c>
      <c r="N765" s="13" t="s">
        <v>42</v>
      </c>
      <c r="O765" s="13" t="s">
        <v>936</v>
      </c>
      <c r="P765" s="12">
        <v>1</v>
      </c>
      <c r="Q765" s="12">
        <v>11</v>
      </c>
      <c r="R765" s="17">
        <v>14</v>
      </c>
      <c r="S765" s="17"/>
      <c r="T765" s="17"/>
      <c r="U765" s="17"/>
      <c r="V765" s="17"/>
      <c r="W765" s="17"/>
      <c r="X765" s="17"/>
      <c r="Y765" s="17"/>
      <c r="Z765" s="17" t="str">
        <f>IF(T765="", "mean", "med")</f>
        <v>mean</v>
      </c>
      <c r="AA765" s="17">
        <f>IF(T765="", R765, T765)</f>
        <v>14</v>
      </c>
      <c r="AB765" s="12">
        <v>0</v>
      </c>
      <c r="AC765" s="13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>
        <v>0</v>
      </c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 t="s">
        <v>52</v>
      </c>
      <c r="BA765" s="12" t="str">
        <f>IF(AZ765="high","high","lower")</f>
        <v>high</v>
      </c>
      <c r="BB765" s="47">
        <v>0.94499999999999995</v>
      </c>
      <c r="BC765" s="12">
        <v>88.7</v>
      </c>
      <c r="BD765" s="12">
        <v>91.8</v>
      </c>
      <c r="BE765" s="12">
        <v>100</v>
      </c>
      <c r="BF765" s="12">
        <v>91.8</v>
      </c>
      <c r="BG765" s="18" t="s">
        <v>1030</v>
      </c>
      <c r="BH765" s="18" t="s">
        <v>1031</v>
      </c>
    </row>
    <row r="766" spans="1:60" ht="15.75" customHeight="1" x14ac:dyDescent="0.2">
      <c r="A766" s="11">
        <v>769</v>
      </c>
      <c r="B766" s="12">
        <v>12346</v>
      </c>
      <c r="C766" s="13" t="s">
        <v>934</v>
      </c>
      <c r="D766" s="13" t="s">
        <v>937</v>
      </c>
      <c r="E766" s="13">
        <v>2017</v>
      </c>
      <c r="F766" s="13">
        <v>2021</v>
      </c>
      <c r="G766" s="13" t="s">
        <v>161</v>
      </c>
      <c r="H766" s="13"/>
      <c r="I766" s="13" t="s">
        <v>79</v>
      </c>
      <c r="J766" s="13" t="s">
        <v>79</v>
      </c>
      <c r="K766" s="13" t="s">
        <v>1017</v>
      </c>
      <c r="L766" s="15">
        <v>50</v>
      </c>
      <c r="M766" s="26">
        <v>63.07</v>
      </c>
      <c r="N766" s="13" t="s">
        <v>42</v>
      </c>
      <c r="O766" s="14" t="s">
        <v>90</v>
      </c>
      <c r="P766" s="12">
        <v>1</v>
      </c>
      <c r="Q766" s="12">
        <v>14</v>
      </c>
      <c r="R766" s="17">
        <v>36</v>
      </c>
      <c r="S766" s="17"/>
      <c r="T766" s="17"/>
      <c r="U766" s="17"/>
      <c r="V766" s="17"/>
      <c r="W766" s="17"/>
      <c r="X766" s="17"/>
      <c r="Y766" s="17"/>
      <c r="Z766" s="17" t="str">
        <f>IF(T766="", "mean", "med")</f>
        <v>mean</v>
      </c>
      <c r="AA766" s="17">
        <f>IF(T766="", R766, T766)</f>
        <v>36</v>
      </c>
      <c r="AB766" s="12">
        <v>0</v>
      </c>
      <c r="AC766" s="13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>
        <v>0</v>
      </c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 t="s">
        <v>52</v>
      </c>
      <c r="BA766" s="12" t="str">
        <f>IF(AZ766="high","high","lower")</f>
        <v>high</v>
      </c>
      <c r="BB766" s="47">
        <v>0.94499999999999995</v>
      </c>
      <c r="BC766" s="12">
        <v>88.7</v>
      </c>
      <c r="BD766" s="12">
        <v>91.8</v>
      </c>
      <c r="BE766" s="12">
        <v>100</v>
      </c>
      <c r="BF766" s="12">
        <v>91.8</v>
      </c>
      <c r="BG766" s="18" t="s">
        <v>1030</v>
      </c>
      <c r="BH766" s="18" t="s">
        <v>1031</v>
      </c>
    </row>
    <row r="767" spans="1:60" ht="15.75" customHeight="1" x14ac:dyDescent="0.2">
      <c r="A767" s="11">
        <v>770</v>
      </c>
      <c r="B767" s="12">
        <v>12232</v>
      </c>
      <c r="C767" s="13" t="s">
        <v>938</v>
      </c>
      <c r="D767" s="13" t="s">
        <v>38</v>
      </c>
      <c r="E767" s="13">
        <v>2016</v>
      </c>
      <c r="F767" s="13">
        <v>2018</v>
      </c>
      <c r="G767" s="13" t="s">
        <v>125</v>
      </c>
      <c r="H767" s="13"/>
      <c r="I767" s="13" t="s">
        <v>79</v>
      </c>
      <c r="J767" s="13" t="s">
        <v>79</v>
      </c>
      <c r="K767" s="13" t="s">
        <v>939</v>
      </c>
      <c r="L767" s="15">
        <v>31.4</v>
      </c>
      <c r="M767" s="26">
        <v>64.599999999999994</v>
      </c>
      <c r="N767" s="13" t="s">
        <v>42</v>
      </c>
      <c r="O767" s="14"/>
      <c r="P767" s="12">
        <v>0</v>
      </c>
      <c r="Q767" s="12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2">
        <v>1</v>
      </c>
      <c r="AC767" s="13">
        <v>137</v>
      </c>
      <c r="AD767" s="12"/>
      <c r="AE767" s="12"/>
      <c r="AF767" s="12">
        <v>58.5</v>
      </c>
      <c r="AG767" s="12"/>
      <c r="AH767" s="12"/>
      <c r="AI767" s="12"/>
      <c r="AJ767" s="12"/>
      <c r="AK767" s="12"/>
      <c r="AL767" s="12" t="str">
        <f>IF(AF767="", "mean", "med")</f>
        <v>med</v>
      </c>
      <c r="AM767" s="12">
        <f>IF(AF767="", AD767, AF767)</f>
        <v>58.5</v>
      </c>
      <c r="AN767" s="12">
        <v>1</v>
      </c>
      <c r="AO767" s="12">
        <v>137</v>
      </c>
      <c r="AP767" s="12"/>
      <c r="AQ767" s="12"/>
      <c r="AR767" s="12">
        <v>30</v>
      </c>
      <c r="AS767" s="12"/>
      <c r="AT767" s="12"/>
      <c r="AU767" s="12"/>
      <c r="AV767" s="12"/>
      <c r="AW767" s="12"/>
      <c r="AX767" s="12" t="str">
        <f>IF(AR767="", "mean", "med")</f>
        <v>med</v>
      </c>
      <c r="AY767" s="12">
        <f>IF(AR767="", AP767, AR767)</f>
        <v>30</v>
      </c>
      <c r="AZ767" s="12" t="s">
        <v>52</v>
      </c>
      <c r="BA767" s="12" t="str">
        <f>IF(AZ767="high","high","lower")</f>
        <v>high</v>
      </c>
      <c r="BB767" s="47">
        <v>0.90200000000000002</v>
      </c>
      <c r="BC767" s="12">
        <v>84</v>
      </c>
      <c r="BD767" s="12">
        <v>89.7</v>
      </c>
      <c r="BE767" s="12">
        <v>70.8</v>
      </c>
      <c r="BF767" s="12">
        <v>89.2</v>
      </c>
      <c r="BG767" s="18" t="s">
        <v>1030</v>
      </c>
      <c r="BH767" s="18" t="s">
        <v>1031</v>
      </c>
    </row>
    <row r="768" spans="1:60" ht="15.75" customHeight="1" x14ac:dyDescent="0.2">
      <c r="A768" s="11">
        <v>771</v>
      </c>
      <c r="B768" s="12">
        <v>12196</v>
      </c>
      <c r="C768" s="13" t="s">
        <v>940</v>
      </c>
      <c r="D768" s="13" t="s">
        <v>823</v>
      </c>
      <c r="E768" s="13">
        <v>2010</v>
      </c>
      <c r="F768" s="13">
        <v>2014</v>
      </c>
      <c r="G768" s="13" t="s">
        <v>77</v>
      </c>
      <c r="H768" s="13" t="s">
        <v>823</v>
      </c>
      <c r="I768" s="13" t="s">
        <v>54</v>
      </c>
      <c r="J768" s="13" t="s">
        <v>55</v>
      </c>
      <c r="K768" s="13"/>
      <c r="L768" s="19">
        <v>45.7</v>
      </c>
      <c r="M768" s="26" t="s">
        <v>41</v>
      </c>
      <c r="N768" s="13" t="s">
        <v>41</v>
      </c>
      <c r="O768" s="14" t="s">
        <v>41</v>
      </c>
      <c r="P768" s="12">
        <v>1</v>
      </c>
      <c r="Q768" s="22">
        <v>1184</v>
      </c>
      <c r="R768" s="17"/>
      <c r="S768" s="17"/>
      <c r="T768" s="17">
        <v>64</v>
      </c>
      <c r="U768" s="17">
        <v>29</v>
      </c>
      <c r="V768" s="17">
        <v>102</v>
      </c>
      <c r="W768" s="17"/>
      <c r="X768" s="17"/>
      <c r="Y768" s="17"/>
      <c r="Z768" s="17" t="str">
        <f>IF(T768="", "mean", "med")</f>
        <v>med</v>
      </c>
      <c r="AA768" s="17">
        <f>IF(T768="", R768, T768)</f>
        <v>64</v>
      </c>
      <c r="AB768" s="12">
        <v>0</v>
      </c>
      <c r="AC768" s="13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>
        <v>0</v>
      </c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 t="s">
        <v>52</v>
      </c>
      <c r="BA768" s="12" t="str">
        <f>IF(AZ768="high","high","lower")</f>
        <v>high</v>
      </c>
      <c r="BB768" s="47">
        <v>0.91400000000000003</v>
      </c>
      <c r="BC768" s="12">
        <v>85.3</v>
      </c>
      <c r="BD768" s="12">
        <v>96.3</v>
      </c>
      <c r="BE768" s="12">
        <v>91.7</v>
      </c>
      <c r="BF768" s="12">
        <v>80</v>
      </c>
      <c r="BG768" s="18" t="s">
        <v>1030</v>
      </c>
      <c r="BH768" s="18" t="s">
        <v>1031</v>
      </c>
    </row>
    <row r="769" spans="1:60" ht="15.75" customHeight="1" x14ac:dyDescent="0.2">
      <c r="A769" s="11">
        <v>772</v>
      </c>
      <c r="B769" s="22">
        <v>12196</v>
      </c>
      <c r="C769" s="13" t="s">
        <v>940</v>
      </c>
      <c r="D769" s="13" t="s">
        <v>205</v>
      </c>
      <c r="E769" s="13">
        <v>2010</v>
      </c>
      <c r="F769" s="13">
        <v>2016</v>
      </c>
      <c r="G769" s="13" t="s">
        <v>205</v>
      </c>
      <c r="H769" s="13"/>
      <c r="I769" s="13" t="s">
        <v>54</v>
      </c>
      <c r="J769" s="13" t="s">
        <v>55</v>
      </c>
      <c r="K769" s="14"/>
      <c r="L769" s="15">
        <v>44.8</v>
      </c>
      <c r="M769" s="26" t="s">
        <v>41</v>
      </c>
      <c r="N769" s="13" t="s">
        <v>41</v>
      </c>
      <c r="O769" s="14" t="s">
        <v>41</v>
      </c>
      <c r="P769" s="12">
        <v>1</v>
      </c>
      <c r="Q769" s="12">
        <v>4714</v>
      </c>
      <c r="R769" s="17"/>
      <c r="S769" s="17"/>
      <c r="T769" s="17">
        <v>13</v>
      </c>
      <c r="U769" s="17">
        <v>3</v>
      </c>
      <c r="V769" s="17">
        <v>23</v>
      </c>
      <c r="W769" s="17"/>
      <c r="X769" s="17"/>
      <c r="Y769" s="17"/>
      <c r="Z769" s="17" t="str">
        <f>IF(T769="", "mean", "med")</f>
        <v>med</v>
      </c>
      <c r="AA769" s="17">
        <f>IF(T769="", R769, T769)</f>
        <v>13</v>
      </c>
      <c r="AB769" s="12">
        <v>0</v>
      </c>
      <c r="AC769" s="13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>
        <v>0</v>
      </c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49" t="s">
        <v>52</v>
      </c>
      <c r="BA769" s="49" t="str">
        <f>IF(AZ769="high","high","lower")</f>
        <v>high</v>
      </c>
      <c r="BB769" s="47">
        <v>0.93100000000000005</v>
      </c>
      <c r="BC769" s="49"/>
      <c r="BD769" s="49"/>
      <c r="BE769" s="49"/>
      <c r="BF769" s="49"/>
      <c r="BG769" s="18" t="s">
        <v>1030</v>
      </c>
      <c r="BH769" s="18" t="s">
        <v>1031</v>
      </c>
    </row>
    <row r="770" spans="1:60" ht="15.75" customHeight="1" x14ac:dyDescent="0.2">
      <c r="A770" s="11">
        <v>773</v>
      </c>
      <c r="B770" s="12">
        <v>13515</v>
      </c>
      <c r="C770" s="13" t="s">
        <v>941</v>
      </c>
      <c r="D770" s="13" t="s">
        <v>38</v>
      </c>
      <c r="E770" s="13">
        <v>2008</v>
      </c>
      <c r="F770" s="13">
        <v>2012</v>
      </c>
      <c r="G770" s="13" t="s">
        <v>77</v>
      </c>
      <c r="H770" s="13" t="s">
        <v>78</v>
      </c>
      <c r="I770" s="13" t="s">
        <v>57</v>
      </c>
      <c r="J770" s="13" t="s">
        <v>58</v>
      </c>
      <c r="K770" s="13"/>
      <c r="L770" s="15">
        <v>34</v>
      </c>
      <c r="M770" s="26">
        <v>71.900000000000006</v>
      </c>
      <c r="N770" s="13" t="s">
        <v>42</v>
      </c>
      <c r="O770" s="13"/>
      <c r="P770" s="12">
        <v>0</v>
      </c>
      <c r="Q770" s="12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2">
        <v>0</v>
      </c>
      <c r="AC770" s="14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>
        <v>1</v>
      </c>
      <c r="AO770" s="12">
        <v>379</v>
      </c>
      <c r="AP770" s="12">
        <v>188.6</v>
      </c>
      <c r="AQ770" s="12"/>
      <c r="AR770" s="12">
        <v>84</v>
      </c>
      <c r="AS770" s="12">
        <v>25</v>
      </c>
      <c r="AT770" s="12">
        <v>253</v>
      </c>
      <c r="AU770" s="12"/>
      <c r="AV770" s="12"/>
      <c r="AW770" s="12"/>
      <c r="AX770" s="12" t="str">
        <f>IF(AR770="", "mean", "med")</f>
        <v>med</v>
      </c>
      <c r="AY770" s="12">
        <f>IF(AR770="", AP770, AR770)</f>
        <v>84</v>
      </c>
      <c r="AZ770" s="12" t="s">
        <v>52</v>
      </c>
      <c r="BA770" s="12" t="str">
        <f>IF(AZ770="high","high","lower")</f>
        <v>high</v>
      </c>
      <c r="BB770" s="47">
        <v>0.90600000000000003</v>
      </c>
      <c r="BC770" s="12">
        <v>85.3</v>
      </c>
      <c r="BD770" s="12">
        <v>96.3</v>
      </c>
      <c r="BE770" s="12">
        <v>91.7</v>
      </c>
      <c r="BF770" s="12">
        <v>80</v>
      </c>
      <c r="BG770" s="18" t="s">
        <v>1034</v>
      </c>
      <c r="BH770" s="18" t="s">
        <v>1031</v>
      </c>
    </row>
    <row r="771" spans="1:60" ht="15.75" customHeight="1" x14ac:dyDescent="0.2">
      <c r="A771" s="11">
        <v>774</v>
      </c>
      <c r="B771" s="22">
        <v>12789</v>
      </c>
      <c r="C771" s="13" t="s">
        <v>942</v>
      </c>
      <c r="D771" s="13" t="s">
        <v>38</v>
      </c>
      <c r="E771" s="13">
        <v>2010</v>
      </c>
      <c r="F771" s="13">
        <v>2018</v>
      </c>
      <c r="G771" s="13" t="s">
        <v>370</v>
      </c>
      <c r="H771" s="13"/>
      <c r="I771" s="13" t="s">
        <v>104</v>
      </c>
      <c r="J771" s="13" t="s">
        <v>298</v>
      </c>
      <c r="K771" s="13"/>
      <c r="L771" s="19">
        <v>100</v>
      </c>
      <c r="M771" s="26">
        <v>69</v>
      </c>
      <c r="N771" s="13" t="s">
        <v>42</v>
      </c>
      <c r="O771" s="13" t="s">
        <v>90</v>
      </c>
      <c r="P771" s="12">
        <v>1</v>
      </c>
      <c r="Q771" s="22">
        <v>7366</v>
      </c>
      <c r="R771" s="17"/>
      <c r="S771" s="17"/>
      <c r="T771" s="17">
        <v>44</v>
      </c>
      <c r="U771" s="17">
        <v>33</v>
      </c>
      <c r="V771" s="17">
        <v>61</v>
      </c>
      <c r="W771" s="17"/>
      <c r="X771" s="17"/>
      <c r="Y771" s="17"/>
      <c r="Z771" s="17" t="str">
        <f>IF(T771="", "mean", "med")</f>
        <v>med</v>
      </c>
      <c r="AA771" s="17">
        <f>IF(T771="", R771, T771)</f>
        <v>44</v>
      </c>
      <c r="AB771" s="12">
        <v>0</v>
      </c>
      <c r="AC771" s="13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>
        <v>0</v>
      </c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 t="s">
        <v>52</v>
      </c>
      <c r="BA771" s="12" t="str">
        <f>IF(AZ771="high","high","lower")</f>
        <v>high</v>
      </c>
      <c r="BB771" s="47">
        <v>0.93</v>
      </c>
      <c r="BC771" s="12">
        <v>82.5</v>
      </c>
      <c r="BD771" s="12">
        <v>77.3</v>
      </c>
      <c r="BE771" s="12">
        <v>83.3</v>
      </c>
      <c r="BF771" s="12">
        <v>85.6</v>
      </c>
      <c r="BG771" s="18" t="s">
        <v>1030</v>
      </c>
      <c r="BH771" s="18" t="s">
        <v>1031</v>
      </c>
    </row>
    <row r="772" spans="1:60" ht="15.75" customHeight="1" x14ac:dyDescent="0.2">
      <c r="A772" s="11">
        <v>775</v>
      </c>
      <c r="B772" s="12">
        <v>12692</v>
      </c>
      <c r="C772" s="13" t="s">
        <v>943</v>
      </c>
      <c r="D772" s="14" t="s">
        <v>38</v>
      </c>
      <c r="E772" s="13">
        <v>2014</v>
      </c>
      <c r="F772" s="13">
        <v>2018</v>
      </c>
      <c r="G772" s="13" t="s">
        <v>243</v>
      </c>
      <c r="H772" s="13"/>
      <c r="I772" s="13" t="s">
        <v>104</v>
      </c>
      <c r="J772" s="13" t="s">
        <v>105</v>
      </c>
      <c r="K772" s="13"/>
      <c r="L772" s="19">
        <v>100</v>
      </c>
      <c r="M772" s="26">
        <v>49</v>
      </c>
      <c r="N772" s="13" t="s">
        <v>42</v>
      </c>
      <c r="O772" s="14" t="s">
        <v>944</v>
      </c>
      <c r="P772" s="12">
        <v>1</v>
      </c>
      <c r="Q772" s="12">
        <v>2121</v>
      </c>
      <c r="R772" s="17"/>
      <c r="S772" s="17"/>
      <c r="T772" s="17">
        <v>110</v>
      </c>
      <c r="U772" s="17">
        <v>62</v>
      </c>
      <c r="V772" s="17">
        <v>204</v>
      </c>
      <c r="W772" s="17"/>
      <c r="X772" s="17"/>
      <c r="Y772" s="17"/>
      <c r="Z772" s="17" t="str">
        <f>IF(T772="", "mean", "med")</f>
        <v>med</v>
      </c>
      <c r="AA772" s="17">
        <f>IF(T772="", R772, T772)</f>
        <v>110</v>
      </c>
      <c r="AB772" s="12">
        <v>0</v>
      </c>
      <c r="AC772" s="13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>
        <v>0</v>
      </c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49" t="s">
        <v>808</v>
      </c>
      <c r="BA772" s="49" t="str">
        <f>IF(AZ772="high","high","lower")</f>
        <v>lower</v>
      </c>
      <c r="BB772" s="47">
        <v>0.57199999999999995</v>
      </c>
      <c r="BC772" s="49"/>
      <c r="BD772" s="49"/>
      <c r="BE772" s="49"/>
      <c r="BF772" s="49"/>
      <c r="BG772" s="18" t="s">
        <v>1030</v>
      </c>
      <c r="BH772" s="18" t="s">
        <v>1031</v>
      </c>
    </row>
    <row r="773" spans="1:60" ht="15.75" customHeight="1" x14ac:dyDescent="0.2">
      <c r="A773" s="11">
        <v>776</v>
      </c>
      <c r="B773" s="12">
        <v>13544</v>
      </c>
      <c r="C773" s="13" t="s">
        <v>945</v>
      </c>
      <c r="D773" s="13" t="s">
        <v>38</v>
      </c>
      <c r="E773" s="13">
        <v>2015</v>
      </c>
      <c r="F773" s="13">
        <v>2017</v>
      </c>
      <c r="G773" s="14" t="s">
        <v>93</v>
      </c>
      <c r="H773" s="14"/>
      <c r="I773" s="13" t="s">
        <v>70</v>
      </c>
      <c r="J773" s="13" t="s">
        <v>119</v>
      </c>
      <c r="K773" s="13"/>
      <c r="L773" s="15">
        <v>52.5</v>
      </c>
      <c r="M773" s="26">
        <v>59</v>
      </c>
      <c r="N773" s="13" t="s">
        <v>42</v>
      </c>
      <c r="O773" s="13" t="s">
        <v>90</v>
      </c>
      <c r="P773" s="12">
        <v>1</v>
      </c>
      <c r="Q773" s="12">
        <v>40</v>
      </c>
      <c r="R773" s="17">
        <f>13.94*7</f>
        <v>97.58</v>
      </c>
      <c r="S773" s="17"/>
      <c r="T773" s="17">
        <f>13.5*7</f>
        <v>94.5</v>
      </c>
      <c r="U773" s="17">
        <f>0.71*7</f>
        <v>4.97</v>
      </c>
      <c r="V773" s="17">
        <f>39*7</f>
        <v>273</v>
      </c>
      <c r="W773" s="17"/>
      <c r="X773" s="17"/>
      <c r="Y773" s="17"/>
      <c r="Z773" s="17" t="str">
        <f>IF(T773="", "mean", "med")</f>
        <v>med</v>
      </c>
      <c r="AA773" s="17">
        <f>IF(T773="", R773, T773)</f>
        <v>94.5</v>
      </c>
      <c r="AB773" s="12">
        <v>0</v>
      </c>
      <c r="AC773" s="13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>
        <v>0</v>
      </c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 t="s">
        <v>886</v>
      </c>
      <c r="BA773" s="12" t="str">
        <f>IF(AZ773="high","high","lower")</f>
        <v>lower</v>
      </c>
      <c r="BB773" s="47">
        <v>0.70299999999999996</v>
      </c>
      <c r="BC773" s="12">
        <v>61.2</v>
      </c>
      <c r="BD773" s="12">
        <v>72.2</v>
      </c>
      <c r="BE773" s="12">
        <v>66.7</v>
      </c>
      <c r="BF773" s="12">
        <v>56.7</v>
      </c>
      <c r="BG773" s="18" t="s">
        <v>1030</v>
      </c>
      <c r="BH773" s="18" t="s">
        <v>1031</v>
      </c>
    </row>
    <row r="774" spans="1:60" ht="15.75" customHeight="1" x14ac:dyDescent="0.2">
      <c r="A774" s="11">
        <v>777</v>
      </c>
      <c r="B774" s="12">
        <v>12440</v>
      </c>
      <c r="C774" s="13" t="s">
        <v>946</v>
      </c>
      <c r="D774" s="13" t="s">
        <v>947</v>
      </c>
      <c r="E774" s="13">
        <v>2012</v>
      </c>
      <c r="F774" s="13">
        <v>2014</v>
      </c>
      <c r="G774" s="13" t="s">
        <v>948</v>
      </c>
      <c r="H774" s="13"/>
      <c r="I774" s="13" t="s">
        <v>104</v>
      </c>
      <c r="J774" s="13" t="s">
        <v>105</v>
      </c>
      <c r="K774" s="13"/>
      <c r="L774" s="15">
        <v>100</v>
      </c>
      <c r="M774" s="26" t="s">
        <v>41</v>
      </c>
      <c r="N774" s="13" t="s">
        <v>42</v>
      </c>
      <c r="O774" s="14"/>
      <c r="P774" s="12">
        <v>0</v>
      </c>
      <c r="Q774" s="12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2">
        <v>0</v>
      </c>
      <c r="AC774" s="13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>
        <v>1</v>
      </c>
      <c r="AO774" s="12">
        <v>80</v>
      </c>
      <c r="AP774" s="12">
        <v>187</v>
      </c>
      <c r="AQ774" s="12">
        <v>285.67</v>
      </c>
      <c r="AR774" s="12">
        <v>120</v>
      </c>
      <c r="AS774" s="12"/>
      <c r="AT774" s="12"/>
      <c r="AU774" s="12"/>
      <c r="AV774" s="12">
        <v>1</v>
      </c>
      <c r="AW774" s="12">
        <v>2190</v>
      </c>
      <c r="AX774" s="12" t="str">
        <f>IF(AR774="", "mean", "med")</f>
        <v>med</v>
      </c>
      <c r="AY774" s="12">
        <f>IF(AR774="", AP774, AR774)</f>
        <v>120</v>
      </c>
      <c r="AZ774" s="49" t="s">
        <v>886</v>
      </c>
      <c r="BA774" s="49" t="str">
        <f>IF(AZ774="high","high","lower")</f>
        <v>lower</v>
      </c>
      <c r="BB774" s="47">
        <v>0.7</v>
      </c>
      <c r="BC774" s="49"/>
      <c r="BD774" s="49"/>
      <c r="BE774" s="49"/>
      <c r="BF774" s="49"/>
      <c r="BG774" s="18" t="s">
        <v>1030</v>
      </c>
      <c r="BH774" s="18" t="s">
        <v>1031</v>
      </c>
    </row>
    <row r="775" spans="1:60" ht="15.75" customHeight="1" x14ac:dyDescent="0.2">
      <c r="A775" s="11">
        <v>778</v>
      </c>
      <c r="B775" s="22">
        <v>12440</v>
      </c>
      <c r="C775" s="13" t="s">
        <v>946</v>
      </c>
      <c r="D775" s="13" t="s">
        <v>949</v>
      </c>
      <c r="E775" s="13">
        <v>2012</v>
      </c>
      <c r="F775" s="13">
        <v>2014</v>
      </c>
      <c r="G775" s="13" t="s">
        <v>948</v>
      </c>
      <c r="H775" s="13"/>
      <c r="I775" s="13" t="s">
        <v>104</v>
      </c>
      <c r="J775" s="13" t="s">
        <v>105</v>
      </c>
      <c r="K775" s="13"/>
      <c r="L775" s="15">
        <v>100</v>
      </c>
      <c r="M775" s="26" t="s">
        <v>41</v>
      </c>
      <c r="N775" s="13" t="s">
        <v>42</v>
      </c>
      <c r="O775" s="14" t="s">
        <v>949</v>
      </c>
      <c r="P775" s="12">
        <v>1</v>
      </c>
      <c r="Q775" s="12">
        <v>81</v>
      </c>
      <c r="R775" s="17">
        <v>100</v>
      </c>
      <c r="S775" s="17">
        <v>68.8</v>
      </c>
      <c r="T775" s="17">
        <v>89</v>
      </c>
      <c r="U775" s="17"/>
      <c r="V775" s="17"/>
      <c r="W775" s="17"/>
      <c r="X775" s="17">
        <v>16</v>
      </c>
      <c r="Y775" s="17">
        <v>305</v>
      </c>
      <c r="Z775" s="17" t="str">
        <f>IF(T775="", "mean", "med")</f>
        <v>med</v>
      </c>
      <c r="AA775" s="17">
        <f>IF(T775="", R775, T775)</f>
        <v>89</v>
      </c>
      <c r="AB775" s="12">
        <v>0</v>
      </c>
      <c r="AC775" s="13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>
        <v>0</v>
      </c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49" t="s">
        <v>886</v>
      </c>
      <c r="BA775" s="49" t="str">
        <f>IF(AZ775="high","high","lower")</f>
        <v>lower</v>
      </c>
      <c r="BB775" s="47">
        <v>0.7</v>
      </c>
      <c r="BC775" s="49"/>
      <c r="BD775" s="49"/>
      <c r="BE775" s="49"/>
      <c r="BF775" s="49"/>
      <c r="BG775" s="18" t="s">
        <v>1030</v>
      </c>
      <c r="BH775" s="18" t="s">
        <v>1031</v>
      </c>
    </row>
    <row r="776" spans="1:60" ht="15.75" customHeight="1" x14ac:dyDescent="0.2">
      <c r="A776" s="11">
        <v>779</v>
      </c>
      <c r="B776" s="12">
        <v>12440</v>
      </c>
      <c r="C776" s="13" t="s">
        <v>946</v>
      </c>
      <c r="D776" s="13" t="s">
        <v>90</v>
      </c>
      <c r="E776" s="13">
        <v>2012</v>
      </c>
      <c r="F776" s="13">
        <v>2014</v>
      </c>
      <c r="G776" s="13" t="s">
        <v>948</v>
      </c>
      <c r="H776" s="13"/>
      <c r="I776" s="13" t="s">
        <v>104</v>
      </c>
      <c r="J776" s="13" t="s">
        <v>105</v>
      </c>
      <c r="K776" s="13"/>
      <c r="L776" s="15">
        <v>100</v>
      </c>
      <c r="M776" s="26" t="s">
        <v>41</v>
      </c>
      <c r="N776" s="13" t="s">
        <v>42</v>
      </c>
      <c r="O776" s="14" t="s">
        <v>90</v>
      </c>
      <c r="P776" s="12">
        <v>1</v>
      </c>
      <c r="Q776" s="12">
        <v>7</v>
      </c>
      <c r="R776" s="17">
        <v>125</v>
      </c>
      <c r="S776" s="17">
        <v>110.15</v>
      </c>
      <c r="T776" s="17">
        <v>60</v>
      </c>
      <c r="U776" s="17"/>
      <c r="V776" s="17"/>
      <c r="W776" s="17"/>
      <c r="X776" s="17">
        <v>29</v>
      </c>
      <c r="Y776" s="17">
        <v>279</v>
      </c>
      <c r="Z776" s="17" t="str">
        <f>IF(T776="", "mean", "med")</f>
        <v>med</v>
      </c>
      <c r="AA776" s="17">
        <f>IF(T776="", R776, T776)</f>
        <v>60</v>
      </c>
      <c r="AB776" s="12">
        <v>0</v>
      </c>
      <c r="AC776" s="13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>
        <v>0</v>
      </c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49" t="s">
        <v>886</v>
      </c>
      <c r="BA776" s="49" t="str">
        <f>IF(AZ776="high","high","lower")</f>
        <v>lower</v>
      </c>
      <c r="BB776" s="47">
        <v>0.7</v>
      </c>
      <c r="BC776" s="49"/>
      <c r="BD776" s="49"/>
      <c r="BE776" s="49"/>
      <c r="BF776" s="49"/>
      <c r="BG776" s="18" t="s">
        <v>1030</v>
      </c>
      <c r="BH776" s="18" t="s">
        <v>1031</v>
      </c>
    </row>
    <row r="777" spans="1:60" ht="15.75" customHeight="1" x14ac:dyDescent="0.2">
      <c r="A777" s="11">
        <v>780</v>
      </c>
      <c r="B777" s="12">
        <v>12140</v>
      </c>
      <c r="C777" s="13" t="s">
        <v>950</v>
      </c>
      <c r="D777" s="13" t="s">
        <v>89</v>
      </c>
      <c r="E777" s="13">
        <v>2006</v>
      </c>
      <c r="F777" s="13">
        <v>2015</v>
      </c>
      <c r="G777" s="13" t="s">
        <v>158</v>
      </c>
      <c r="H777" s="13"/>
      <c r="I777" s="13" t="s">
        <v>54</v>
      </c>
      <c r="J777" s="13" t="s">
        <v>89</v>
      </c>
      <c r="K777" s="14"/>
      <c r="L777" s="15">
        <v>52.9</v>
      </c>
      <c r="M777" s="26" t="s">
        <v>41</v>
      </c>
      <c r="N777" s="13" t="s">
        <v>99</v>
      </c>
      <c r="O777" s="13" t="s">
        <v>875</v>
      </c>
      <c r="P777" s="12">
        <v>1</v>
      </c>
      <c r="Q777" s="12">
        <v>39133</v>
      </c>
      <c r="R777" s="17">
        <v>44</v>
      </c>
      <c r="S777" s="17"/>
      <c r="T777" s="17">
        <v>21</v>
      </c>
      <c r="U777" s="17"/>
      <c r="V777" s="17"/>
      <c r="W777" s="17"/>
      <c r="X777" s="17"/>
      <c r="Y777" s="17"/>
      <c r="Z777" s="17" t="str">
        <f>IF(T777="", "mean", "med")</f>
        <v>med</v>
      </c>
      <c r="AA777" s="17">
        <f>IF(T777="", R777, T777)</f>
        <v>21</v>
      </c>
      <c r="AB777" s="12">
        <v>0</v>
      </c>
      <c r="AC777" s="13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>
        <v>0</v>
      </c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 t="s">
        <v>886</v>
      </c>
      <c r="BA777" s="12" t="str">
        <f>IF(AZ777="high","high","lower")</f>
        <v>lower</v>
      </c>
      <c r="BB777" s="47">
        <v>0.73</v>
      </c>
      <c r="BC777" s="12">
        <v>82.2</v>
      </c>
      <c r="BD777" s="12">
        <v>94.4</v>
      </c>
      <c r="BE777" s="12">
        <v>83.3</v>
      </c>
      <c r="BF777" s="12">
        <v>84.1</v>
      </c>
      <c r="BG777" s="18" t="s">
        <v>1030</v>
      </c>
      <c r="BH777" s="18" t="s">
        <v>1031</v>
      </c>
    </row>
    <row r="778" spans="1:60" ht="15.75" customHeight="1" x14ac:dyDescent="0.2">
      <c r="A778" s="11">
        <v>781</v>
      </c>
      <c r="B778" s="12">
        <v>12140</v>
      </c>
      <c r="C778" s="13" t="s">
        <v>950</v>
      </c>
      <c r="D778" s="13" t="s">
        <v>227</v>
      </c>
      <c r="E778" s="13">
        <v>2006</v>
      </c>
      <c r="F778" s="13">
        <v>2015</v>
      </c>
      <c r="G778" s="13" t="s">
        <v>158</v>
      </c>
      <c r="H778" s="13"/>
      <c r="I778" s="13" t="s">
        <v>54</v>
      </c>
      <c r="J778" s="13" t="s">
        <v>227</v>
      </c>
      <c r="K778" s="13"/>
      <c r="L778" s="19">
        <v>47.2</v>
      </c>
      <c r="M778" s="26" t="s">
        <v>41</v>
      </c>
      <c r="N778" s="13" t="s">
        <v>99</v>
      </c>
      <c r="O778" s="14" t="s">
        <v>875</v>
      </c>
      <c r="P778" s="12">
        <v>1</v>
      </c>
      <c r="Q778" s="22">
        <v>40014</v>
      </c>
      <c r="R778" s="17">
        <v>41</v>
      </c>
      <c r="S778" s="17"/>
      <c r="T778" s="17">
        <v>60</v>
      </c>
      <c r="U778" s="17"/>
      <c r="V778" s="17"/>
      <c r="W778" s="17"/>
      <c r="X778" s="17"/>
      <c r="Y778" s="17"/>
      <c r="Z778" s="17" t="str">
        <f>IF(T778="", "mean", "med")</f>
        <v>med</v>
      </c>
      <c r="AA778" s="17">
        <f>IF(T778="", R778, T778)</f>
        <v>60</v>
      </c>
      <c r="AB778" s="12">
        <v>0</v>
      </c>
      <c r="AC778" s="13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>
        <v>0</v>
      </c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 t="s">
        <v>886</v>
      </c>
      <c r="BA778" s="12" t="str">
        <f>IF(AZ778="high","high","lower")</f>
        <v>lower</v>
      </c>
      <c r="BB778" s="47">
        <v>0.73</v>
      </c>
      <c r="BC778" s="12">
        <v>82.2</v>
      </c>
      <c r="BD778" s="12">
        <v>94.4</v>
      </c>
      <c r="BE778" s="12">
        <v>83.3</v>
      </c>
      <c r="BF778" s="12">
        <v>84.1</v>
      </c>
      <c r="BG778" s="18" t="s">
        <v>1030</v>
      </c>
      <c r="BH778" s="18" t="s">
        <v>1031</v>
      </c>
    </row>
    <row r="779" spans="1:60" ht="15.75" customHeight="1" x14ac:dyDescent="0.2">
      <c r="A779" s="11">
        <v>782</v>
      </c>
      <c r="B779" s="12">
        <v>12105</v>
      </c>
      <c r="C779" s="13" t="s">
        <v>951</v>
      </c>
      <c r="D779" s="13" t="s">
        <v>38</v>
      </c>
      <c r="E779" s="13">
        <v>2020</v>
      </c>
      <c r="F779" s="13">
        <v>2020</v>
      </c>
      <c r="G779" s="13" t="s">
        <v>499</v>
      </c>
      <c r="H779" s="13"/>
      <c r="I779" s="13" t="s">
        <v>40</v>
      </c>
      <c r="J779" s="13" t="s">
        <v>40</v>
      </c>
      <c r="K779" s="13"/>
      <c r="L779" s="15">
        <v>100</v>
      </c>
      <c r="M779" s="26">
        <v>47.9</v>
      </c>
      <c r="N779" s="13" t="s">
        <v>42</v>
      </c>
      <c r="O779" s="13" t="s">
        <v>952</v>
      </c>
      <c r="P779" s="12">
        <v>1</v>
      </c>
      <c r="Q779" s="12">
        <v>328</v>
      </c>
      <c r="R779" s="17">
        <v>54.7</v>
      </c>
      <c r="S779" s="17"/>
      <c r="T779" s="17">
        <v>17</v>
      </c>
      <c r="U779" s="17"/>
      <c r="V779" s="17"/>
      <c r="W779" s="17"/>
      <c r="X779" s="17">
        <v>0</v>
      </c>
      <c r="Y779" s="17">
        <f>2.8*365</f>
        <v>1021.9999999999999</v>
      </c>
      <c r="Z779" s="17" t="str">
        <f>IF(T779="", "mean", "med")</f>
        <v>med</v>
      </c>
      <c r="AA779" s="17">
        <f>IF(T779="", R779, T779)</f>
        <v>17</v>
      </c>
      <c r="AB779" s="12">
        <v>0</v>
      </c>
      <c r="AC779" s="13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>
        <v>1</v>
      </c>
      <c r="AO779" s="12">
        <v>328</v>
      </c>
      <c r="AP779" s="12">
        <v>216</v>
      </c>
      <c r="AQ779" s="12"/>
      <c r="AR779" s="12">
        <v>61</v>
      </c>
      <c r="AS779" s="12"/>
      <c r="AT779" s="12"/>
      <c r="AU779" s="12"/>
      <c r="AV779" s="12">
        <v>0</v>
      </c>
      <c r="AW779" s="12">
        <f>11*365</f>
        <v>4015</v>
      </c>
      <c r="AX779" s="12" t="str">
        <f>IF(AR779="", "mean", "med")</f>
        <v>med</v>
      </c>
      <c r="AY779" s="12">
        <f>IF(AR779="", AP779, AR779)</f>
        <v>61</v>
      </c>
      <c r="AZ779" s="49" t="s">
        <v>886</v>
      </c>
      <c r="BA779" s="49" t="str">
        <f>IF(AZ779="high","high","lower")</f>
        <v>lower</v>
      </c>
      <c r="BB779" s="47"/>
      <c r="BC779" s="49"/>
      <c r="BD779" s="49"/>
      <c r="BE779" s="49"/>
      <c r="BF779" s="49"/>
      <c r="BG779" s="18" t="s">
        <v>1030</v>
      </c>
      <c r="BH779" s="18" t="s">
        <v>1031</v>
      </c>
    </row>
    <row r="780" spans="1:60" ht="15.75" customHeight="1" x14ac:dyDescent="0.2">
      <c r="A780" s="11">
        <v>783</v>
      </c>
      <c r="B780" s="12">
        <v>12516</v>
      </c>
      <c r="C780" s="13" t="s">
        <v>953</v>
      </c>
      <c r="D780" s="13" t="s">
        <v>38</v>
      </c>
      <c r="E780" s="13">
        <v>2016</v>
      </c>
      <c r="F780" s="13">
        <v>2018</v>
      </c>
      <c r="G780" s="13" t="s">
        <v>62</v>
      </c>
      <c r="H780" s="13"/>
      <c r="I780" s="13" t="s">
        <v>40</v>
      </c>
      <c r="J780" s="13" t="s">
        <v>40</v>
      </c>
      <c r="K780" s="13"/>
      <c r="L780" s="15">
        <v>100</v>
      </c>
      <c r="M780" s="38">
        <v>50</v>
      </c>
      <c r="N780" s="13" t="s">
        <v>42</v>
      </c>
      <c r="O780" s="13" t="s">
        <v>247</v>
      </c>
      <c r="P780" s="12">
        <v>1</v>
      </c>
      <c r="Q780" s="12">
        <v>98</v>
      </c>
      <c r="R780" s="17">
        <v>45.9</v>
      </c>
      <c r="S780" s="17">
        <v>88.3</v>
      </c>
      <c r="T780" s="17">
        <v>23</v>
      </c>
      <c r="U780" s="17">
        <v>12</v>
      </c>
      <c r="V780" s="17">
        <v>42.8</v>
      </c>
      <c r="W780" s="17"/>
      <c r="X780" s="17">
        <v>4</v>
      </c>
      <c r="Y780" s="13">
        <v>660</v>
      </c>
      <c r="Z780" s="17" t="str">
        <f>IF(T780="", "mean", "med")</f>
        <v>med</v>
      </c>
      <c r="AA780" s="17">
        <f>IF(T780="", R780, T780)</f>
        <v>23</v>
      </c>
      <c r="AB780" s="12">
        <v>1</v>
      </c>
      <c r="AC780" s="13">
        <v>98</v>
      </c>
      <c r="AD780" s="12">
        <v>40.1</v>
      </c>
      <c r="AE780" s="12">
        <v>32.1</v>
      </c>
      <c r="AF780" s="12">
        <v>28.5</v>
      </c>
      <c r="AG780" s="12">
        <v>16.5</v>
      </c>
      <c r="AH780" s="12">
        <v>60</v>
      </c>
      <c r="AI780" s="12"/>
      <c r="AJ780" s="12">
        <v>7</v>
      </c>
      <c r="AK780" s="12">
        <v>140</v>
      </c>
      <c r="AL780" s="12" t="str">
        <f>IF(AF780="", "mean", "med")</f>
        <v>med</v>
      </c>
      <c r="AM780" s="12">
        <f>IF(AF780="", AD780, AF780)</f>
        <v>28.5</v>
      </c>
      <c r="AN780" s="12">
        <v>1</v>
      </c>
      <c r="AO780" s="12">
        <v>98</v>
      </c>
      <c r="AP780" s="12">
        <v>213</v>
      </c>
      <c r="AQ780" s="12"/>
      <c r="AR780" s="12"/>
      <c r="AS780" s="12"/>
      <c r="AT780" s="12"/>
      <c r="AU780" s="12"/>
      <c r="AV780" s="12"/>
      <c r="AW780" s="49"/>
      <c r="AX780" s="12" t="str">
        <f>IF(AR780="", "mean", "med")</f>
        <v>mean</v>
      </c>
      <c r="AY780" s="12">
        <f>IF(AR780="", AP780, AR780)</f>
        <v>213</v>
      </c>
      <c r="AZ780" s="49" t="s">
        <v>808</v>
      </c>
      <c r="BA780" s="49" t="str">
        <f>IF(AZ780="high","high","lower")</f>
        <v>lower</v>
      </c>
      <c r="BB780" s="47">
        <v>0.53</v>
      </c>
      <c r="BC780" s="49"/>
      <c r="BD780" s="49"/>
      <c r="BE780" s="49"/>
      <c r="BF780" s="49"/>
      <c r="BG780" s="18" t="s">
        <v>1030</v>
      </c>
      <c r="BH780" s="18" t="s">
        <v>1031</v>
      </c>
    </row>
    <row r="781" spans="1:60" ht="15.75" customHeight="1" x14ac:dyDescent="0.2">
      <c r="A781" s="11">
        <v>784</v>
      </c>
      <c r="B781" s="12">
        <v>11976</v>
      </c>
      <c r="C781" s="13" t="s">
        <v>954</v>
      </c>
      <c r="D781" s="13" t="s">
        <v>38</v>
      </c>
      <c r="E781" s="13">
        <v>2011</v>
      </c>
      <c r="F781" s="13">
        <v>2019</v>
      </c>
      <c r="G781" s="14" t="s">
        <v>161</v>
      </c>
      <c r="H781" s="14"/>
      <c r="I781" s="13" t="s">
        <v>94</v>
      </c>
      <c r="J781" s="14" t="s">
        <v>299</v>
      </c>
      <c r="K781" s="14" t="s">
        <v>839</v>
      </c>
      <c r="L781" s="15">
        <v>45.8</v>
      </c>
      <c r="M781" s="26">
        <v>59</v>
      </c>
      <c r="N781" s="13" t="s">
        <v>42</v>
      </c>
      <c r="O781" s="14" t="s">
        <v>136</v>
      </c>
      <c r="P781" s="12">
        <v>1</v>
      </c>
      <c r="Q781" s="22">
        <v>2263</v>
      </c>
      <c r="R781" s="17"/>
      <c r="S781" s="17"/>
      <c r="T781" s="17">
        <v>3</v>
      </c>
      <c r="U781" s="17">
        <v>2</v>
      </c>
      <c r="V781" s="17">
        <v>7</v>
      </c>
      <c r="W781" s="17"/>
      <c r="X781" s="17"/>
      <c r="Y781" s="17"/>
      <c r="Z781" s="17" t="str">
        <f>IF(T781="", "mean", "med")</f>
        <v>med</v>
      </c>
      <c r="AA781" s="17">
        <f>IF(T781="", R781, T781)</f>
        <v>3</v>
      </c>
      <c r="AB781" s="12">
        <v>0</v>
      </c>
      <c r="AC781" s="13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>
        <v>0</v>
      </c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 t="s">
        <v>52</v>
      </c>
      <c r="BA781" s="12" t="str">
        <f>IF(AZ781="high","high","lower")</f>
        <v>high</v>
      </c>
      <c r="BB781" s="47">
        <v>0.93899999999999995</v>
      </c>
      <c r="BC781" s="12">
        <v>88.7</v>
      </c>
      <c r="BD781" s="12">
        <v>91.8</v>
      </c>
      <c r="BE781" s="12">
        <v>100</v>
      </c>
      <c r="BF781" s="12">
        <v>91.8</v>
      </c>
      <c r="BG781" s="18" t="s">
        <v>1030</v>
      </c>
      <c r="BH781" s="18" t="s">
        <v>1031</v>
      </c>
    </row>
    <row r="782" spans="1:60" ht="15.75" customHeight="1" x14ac:dyDescent="0.2">
      <c r="A782" s="11">
        <v>785</v>
      </c>
      <c r="B782" s="22">
        <v>12127</v>
      </c>
      <c r="C782" s="13" t="s">
        <v>955</v>
      </c>
      <c r="D782" s="13" t="s">
        <v>38</v>
      </c>
      <c r="E782" s="13">
        <v>2019</v>
      </c>
      <c r="F782" s="13">
        <v>2020</v>
      </c>
      <c r="G782" s="13" t="s">
        <v>145</v>
      </c>
      <c r="H782" s="13"/>
      <c r="I782" s="13" t="s">
        <v>79</v>
      </c>
      <c r="J782" s="31" t="s">
        <v>236</v>
      </c>
      <c r="K782" s="13"/>
      <c r="L782" s="15">
        <v>32.5</v>
      </c>
      <c r="M782" s="26">
        <v>60.7</v>
      </c>
      <c r="N782" s="13" t="s">
        <v>41</v>
      </c>
      <c r="O782" s="13"/>
      <c r="P782" s="12">
        <v>0</v>
      </c>
      <c r="Q782" s="12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2">
        <v>0</v>
      </c>
      <c r="AC782" s="13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>
        <v>1</v>
      </c>
      <c r="AO782" s="12">
        <v>261</v>
      </c>
      <c r="AP782" s="12"/>
      <c r="AQ782" s="12"/>
      <c r="AR782" s="12">
        <v>92</v>
      </c>
      <c r="AS782" s="12">
        <v>37.5</v>
      </c>
      <c r="AT782" s="12">
        <v>167.5</v>
      </c>
      <c r="AU782" s="12"/>
      <c r="AV782" s="12"/>
      <c r="AW782" s="12"/>
      <c r="AX782" s="12" t="str">
        <f>IF(AR782="", "mean", "med")</f>
        <v>med</v>
      </c>
      <c r="AY782" s="12">
        <f>IF(AR782="", AP782, AR782)</f>
        <v>92</v>
      </c>
      <c r="AZ782" s="12" t="s">
        <v>808</v>
      </c>
      <c r="BA782" s="12" t="str">
        <f>IF(AZ782="high","high","lower")</f>
        <v>lower</v>
      </c>
      <c r="BB782" s="47">
        <v>0.64500000000000002</v>
      </c>
      <c r="BC782" s="12">
        <v>64.900000000000006</v>
      </c>
      <c r="BD782" s="12">
        <v>80.8</v>
      </c>
      <c r="BE782" s="12">
        <v>58.3</v>
      </c>
      <c r="BF782" s="12">
        <v>61.3</v>
      </c>
      <c r="BG782" s="18" t="s">
        <v>1030</v>
      </c>
      <c r="BH782" s="18" t="s">
        <v>1031</v>
      </c>
    </row>
    <row r="783" spans="1:60" ht="15.75" customHeight="1" x14ac:dyDescent="0.2">
      <c r="A783" s="11">
        <v>786</v>
      </c>
      <c r="B783" s="12">
        <v>12404</v>
      </c>
      <c r="C783" s="13" t="s">
        <v>956</v>
      </c>
      <c r="D783" s="14" t="s">
        <v>38</v>
      </c>
      <c r="E783" s="13">
        <v>2019</v>
      </c>
      <c r="F783" s="13">
        <v>2020</v>
      </c>
      <c r="G783" s="13" t="s">
        <v>268</v>
      </c>
      <c r="H783" s="13"/>
      <c r="I783" s="13" t="s">
        <v>40</v>
      </c>
      <c r="J783" s="13" t="s">
        <v>40</v>
      </c>
      <c r="K783" s="14"/>
      <c r="L783" s="15">
        <v>100</v>
      </c>
      <c r="M783" s="26">
        <v>40</v>
      </c>
      <c r="N783" s="13" t="s">
        <v>42</v>
      </c>
      <c r="O783" s="13"/>
      <c r="P783" s="12">
        <v>0</v>
      </c>
      <c r="Q783" s="12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2">
        <v>0</v>
      </c>
      <c r="AC783" s="13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>
        <v>1</v>
      </c>
      <c r="AO783" s="12">
        <v>371</v>
      </c>
      <c r="AP783" s="12">
        <f>8*30</f>
        <v>240</v>
      </c>
      <c r="AQ783" s="12"/>
      <c r="AR783" s="12"/>
      <c r="AS783" s="12"/>
      <c r="AT783" s="12"/>
      <c r="AU783" s="12"/>
      <c r="AV783" s="12">
        <v>14</v>
      </c>
      <c r="AW783" s="12">
        <f>3*365</f>
        <v>1095</v>
      </c>
      <c r="AX783" s="12" t="str">
        <f>IF(AR783="", "mean", "med")</f>
        <v>mean</v>
      </c>
      <c r="AY783" s="12">
        <f>IF(AR783="", AP783, AR783)</f>
        <v>240</v>
      </c>
      <c r="AZ783" s="49" t="s">
        <v>146</v>
      </c>
      <c r="BA783" s="49" t="str">
        <f>IF(AZ783="high","high","lower")</f>
        <v>lower</v>
      </c>
      <c r="BB783" s="47">
        <v>0.48499999999999999</v>
      </c>
      <c r="BC783" s="49"/>
      <c r="BD783" s="49"/>
      <c r="BE783" s="49"/>
      <c r="BF783" s="49"/>
      <c r="BG783" s="18" t="s">
        <v>1030</v>
      </c>
      <c r="BH783" s="18" t="s">
        <v>1031</v>
      </c>
    </row>
    <row r="784" spans="1:60" ht="15.75" customHeight="1" x14ac:dyDescent="0.2">
      <c r="A784" s="11">
        <v>787</v>
      </c>
      <c r="B784" s="12">
        <v>12696</v>
      </c>
      <c r="C784" s="13" t="s">
        <v>957</v>
      </c>
      <c r="D784" s="13" t="s">
        <v>38</v>
      </c>
      <c r="E784" s="13">
        <v>2019</v>
      </c>
      <c r="F784" s="13">
        <v>2019</v>
      </c>
      <c r="G784" s="14" t="s">
        <v>145</v>
      </c>
      <c r="H784" s="14"/>
      <c r="I784" s="13" t="s">
        <v>54</v>
      </c>
      <c r="J784" s="13" t="s">
        <v>54</v>
      </c>
      <c r="K784" s="13" t="s">
        <v>958</v>
      </c>
      <c r="L784" s="15">
        <v>25</v>
      </c>
      <c r="M784" s="26">
        <v>51.9</v>
      </c>
      <c r="N784" s="13" t="s">
        <v>41</v>
      </c>
      <c r="O784" s="13"/>
      <c r="P784" s="12">
        <v>0</v>
      </c>
      <c r="Q784" s="12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2">
        <v>1</v>
      </c>
      <c r="AC784" s="13">
        <v>20</v>
      </c>
      <c r="AD784" s="12">
        <f>6.8*7</f>
        <v>47.6</v>
      </c>
      <c r="AE784" s="12">
        <f>6.1*7</f>
        <v>42.699999999999996</v>
      </c>
      <c r="AF784" s="12"/>
      <c r="AG784" s="12"/>
      <c r="AH784" s="12"/>
      <c r="AI784" s="12"/>
      <c r="AJ784" s="12"/>
      <c r="AK784" s="12"/>
      <c r="AL784" s="12" t="str">
        <f>IF(AF784="", "mean", "med")</f>
        <v>mean</v>
      </c>
      <c r="AM784" s="12">
        <f>IF(AF784="", AD784, AF784)</f>
        <v>47.6</v>
      </c>
      <c r="AN784" s="12">
        <v>0</v>
      </c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 t="s">
        <v>808</v>
      </c>
      <c r="BA784" s="12" t="str">
        <f>IF(AZ784="high","high","lower")</f>
        <v>lower</v>
      </c>
      <c r="BB784" s="47">
        <v>0.64500000000000002</v>
      </c>
      <c r="BC784" s="12">
        <v>64.900000000000006</v>
      </c>
      <c r="BD784" s="12">
        <v>80.8</v>
      </c>
      <c r="BE784" s="12">
        <v>58.3</v>
      </c>
      <c r="BF784" s="12">
        <v>61.3</v>
      </c>
      <c r="BG784" s="18" t="s">
        <v>1030</v>
      </c>
      <c r="BH784" s="18" t="s">
        <v>1031</v>
      </c>
    </row>
    <row r="785" spans="1:60" ht="15.75" customHeight="1" x14ac:dyDescent="0.2">
      <c r="A785" s="11">
        <v>788</v>
      </c>
      <c r="B785" s="12">
        <v>12043</v>
      </c>
      <c r="C785" s="14" t="s">
        <v>959</v>
      </c>
      <c r="D785" s="13" t="s">
        <v>38</v>
      </c>
      <c r="E785" s="13">
        <v>2013</v>
      </c>
      <c r="F785" s="13">
        <v>2015</v>
      </c>
      <c r="G785" s="14" t="s">
        <v>125</v>
      </c>
      <c r="H785" s="14"/>
      <c r="I785" s="13" t="s">
        <v>40</v>
      </c>
      <c r="J785" s="13" t="s">
        <v>40</v>
      </c>
      <c r="K785" s="13"/>
      <c r="L785" s="15">
        <v>100</v>
      </c>
      <c r="M785" s="26">
        <v>57.7</v>
      </c>
      <c r="N785" s="13" t="s">
        <v>42</v>
      </c>
      <c r="O785" s="13" t="s">
        <v>90</v>
      </c>
      <c r="P785" s="12">
        <v>1</v>
      </c>
      <c r="Q785" s="12">
        <v>1236</v>
      </c>
      <c r="R785" s="17"/>
      <c r="S785" s="17"/>
      <c r="T785" s="17">
        <v>35</v>
      </c>
      <c r="U785" s="17"/>
      <c r="V785" s="17"/>
      <c r="W785" s="21">
        <v>24</v>
      </c>
      <c r="X785" s="17"/>
      <c r="Y785" s="17"/>
      <c r="Z785" s="17" t="str">
        <f>IF(T785="", "mean", "med")</f>
        <v>med</v>
      </c>
      <c r="AA785" s="17">
        <f>IF(T785="", R785, T785)</f>
        <v>35</v>
      </c>
      <c r="AB785" s="12">
        <v>0</v>
      </c>
      <c r="AC785" s="13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>
        <v>0</v>
      </c>
      <c r="AO785" s="2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 t="s">
        <v>52</v>
      </c>
      <c r="BA785" s="12" t="str">
        <f>IF(AZ785="high","high","lower")</f>
        <v>high</v>
      </c>
      <c r="BB785" s="47">
        <v>0.88800000000000001</v>
      </c>
      <c r="BC785" s="12">
        <v>84</v>
      </c>
      <c r="BD785" s="12">
        <v>89.7</v>
      </c>
      <c r="BE785" s="12">
        <v>70.8</v>
      </c>
      <c r="BF785" s="12">
        <v>89.2</v>
      </c>
      <c r="BG785" s="18" t="s">
        <v>1030</v>
      </c>
      <c r="BH785" s="18" t="s">
        <v>1031</v>
      </c>
    </row>
    <row r="786" spans="1:60" ht="15.75" customHeight="1" x14ac:dyDescent="0.2">
      <c r="A786" s="11">
        <v>789</v>
      </c>
      <c r="B786" s="12">
        <v>12821</v>
      </c>
      <c r="C786" s="13" t="s">
        <v>960</v>
      </c>
      <c r="D786" s="14" t="s">
        <v>961</v>
      </c>
      <c r="E786" s="13">
        <v>2015</v>
      </c>
      <c r="F786" s="13">
        <v>2019</v>
      </c>
      <c r="G786" s="13" t="s">
        <v>93</v>
      </c>
      <c r="H786" s="13"/>
      <c r="I786" s="13" t="s">
        <v>40</v>
      </c>
      <c r="J786" s="13" t="s">
        <v>40</v>
      </c>
      <c r="K786" s="13"/>
      <c r="L786" s="15">
        <v>100</v>
      </c>
      <c r="M786" s="26" t="s">
        <v>41</v>
      </c>
      <c r="N786" s="13" t="s">
        <v>42</v>
      </c>
      <c r="O786" s="14" t="s">
        <v>304</v>
      </c>
      <c r="P786" s="12">
        <v>1</v>
      </c>
      <c r="Q786" s="12">
        <v>685</v>
      </c>
      <c r="R786" s="17"/>
      <c r="S786" s="17"/>
      <c r="T786" s="17">
        <v>63</v>
      </c>
      <c r="U786" s="21">
        <v>45</v>
      </c>
      <c r="V786" s="17">
        <v>90</v>
      </c>
      <c r="W786" s="17"/>
      <c r="X786" s="17"/>
      <c r="Y786" s="17"/>
      <c r="Z786" s="17" t="str">
        <f>IF(T786="", "mean", "med")</f>
        <v>med</v>
      </c>
      <c r="AA786" s="17">
        <f>IF(T786="", R786, T786)</f>
        <v>63</v>
      </c>
      <c r="AB786" s="12">
        <v>0</v>
      </c>
      <c r="AC786" s="13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>
        <v>0</v>
      </c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 t="s">
        <v>886</v>
      </c>
      <c r="BA786" s="12" t="str">
        <f>IF(AZ786="high","high","lower")</f>
        <v>lower</v>
      </c>
      <c r="BB786" s="47">
        <v>0.70499999999999996</v>
      </c>
      <c r="BC786" s="12">
        <v>61.2</v>
      </c>
      <c r="BD786" s="12">
        <v>72.2</v>
      </c>
      <c r="BE786" s="12">
        <v>66.7</v>
      </c>
      <c r="BF786" s="12">
        <v>56.7</v>
      </c>
      <c r="BG786" s="18" t="s">
        <v>1030</v>
      </c>
      <c r="BH786" s="18" t="s">
        <v>1031</v>
      </c>
    </row>
    <row r="787" spans="1:60" ht="15.75" customHeight="1" x14ac:dyDescent="0.2">
      <c r="A787" s="11">
        <v>790</v>
      </c>
      <c r="B787" s="12">
        <v>12821</v>
      </c>
      <c r="C787" s="13" t="s">
        <v>960</v>
      </c>
      <c r="D787" s="13" t="s">
        <v>90</v>
      </c>
      <c r="E787" s="13">
        <v>2015</v>
      </c>
      <c r="F787" s="13">
        <v>2019</v>
      </c>
      <c r="G787" s="13" t="s">
        <v>93</v>
      </c>
      <c r="H787" s="13"/>
      <c r="I787" s="13" t="s">
        <v>40</v>
      </c>
      <c r="J787" s="13" t="s">
        <v>40</v>
      </c>
      <c r="K787" s="14"/>
      <c r="L787" s="15">
        <v>100</v>
      </c>
      <c r="M787" s="26" t="s">
        <v>41</v>
      </c>
      <c r="N787" s="13" t="s">
        <v>42</v>
      </c>
      <c r="O787" s="13" t="s">
        <v>90</v>
      </c>
      <c r="P787" s="12">
        <v>1</v>
      </c>
      <c r="Q787" s="12">
        <v>575</v>
      </c>
      <c r="R787" s="17"/>
      <c r="S787" s="17"/>
      <c r="T787" s="17">
        <v>40</v>
      </c>
      <c r="U787" s="17">
        <v>27</v>
      </c>
      <c r="V787" s="17">
        <v>63</v>
      </c>
      <c r="W787" s="17"/>
      <c r="X787" s="17"/>
      <c r="Y787" s="17"/>
      <c r="Z787" s="17" t="str">
        <f>IF(T787="", "mean", "med")</f>
        <v>med</v>
      </c>
      <c r="AA787" s="17">
        <f>IF(T787="", R787, T787)</f>
        <v>40</v>
      </c>
      <c r="AB787" s="12">
        <v>0</v>
      </c>
      <c r="AC787" s="13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>
        <v>0</v>
      </c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 t="s">
        <v>886</v>
      </c>
      <c r="BA787" s="12" t="str">
        <f>IF(AZ787="high","high","lower")</f>
        <v>lower</v>
      </c>
      <c r="BB787" s="47">
        <v>0.70499999999999996</v>
      </c>
      <c r="BC787" s="12">
        <v>61.2</v>
      </c>
      <c r="BD787" s="12">
        <v>72.2</v>
      </c>
      <c r="BE787" s="12">
        <v>66.7</v>
      </c>
      <c r="BF787" s="12">
        <v>56.7</v>
      </c>
      <c r="BG787" s="18" t="s">
        <v>1030</v>
      </c>
      <c r="BH787" s="18" t="s">
        <v>1031</v>
      </c>
    </row>
    <row r="788" spans="1:60" ht="15.75" customHeight="1" x14ac:dyDescent="0.2">
      <c r="A788" s="11">
        <v>791</v>
      </c>
      <c r="B788" s="12">
        <v>12226</v>
      </c>
      <c r="C788" s="13" t="s">
        <v>962</v>
      </c>
      <c r="D788" s="13" t="s">
        <v>38</v>
      </c>
      <c r="E788" s="13">
        <v>2020</v>
      </c>
      <c r="F788" s="13">
        <v>2020</v>
      </c>
      <c r="G788" s="13" t="s">
        <v>145</v>
      </c>
      <c r="H788" s="13"/>
      <c r="I788" s="13" t="s">
        <v>40</v>
      </c>
      <c r="J788" s="13" t="s">
        <v>40</v>
      </c>
      <c r="K788" s="13"/>
      <c r="L788" s="15">
        <v>100</v>
      </c>
      <c r="M788" s="28">
        <v>47.8</v>
      </c>
      <c r="N788" s="13" t="s">
        <v>41</v>
      </c>
      <c r="O788" s="13"/>
      <c r="P788" s="12">
        <v>0</v>
      </c>
      <c r="Q788" s="12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2">
        <v>1</v>
      </c>
      <c r="AC788" s="13">
        <v>300</v>
      </c>
      <c r="AD788" s="12">
        <f>1.64*30</f>
        <v>49.199999999999996</v>
      </c>
      <c r="AE788" s="12">
        <f>3.25*30</f>
        <v>97.5</v>
      </c>
      <c r="AF788" s="12">
        <f>0.5*30</f>
        <v>15</v>
      </c>
      <c r="AG788" s="12">
        <f>0.33*30</f>
        <v>9.9</v>
      </c>
      <c r="AH788" s="12">
        <f>30</f>
        <v>30</v>
      </c>
      <c r="AI788" s="12"/>
      <c r="AJ788" s="12"/>
      <c r="AK788" s="12"/>
      <c r="AL788" s="12" t="str">
        <f>IF(AF788="", "mean", "med")</f>
        <v>med</v>
      </c>
      <c r="AM788" s="12">
        <f>IF(AF788="", AD788, AF788)</f>
        <v>15</v>
      </c>
      <c r="AN788" s="12">
        <v>1</v>
      </c>
      <c r="AO788" s="12">
        <v>300</v>
      </c>
      <c r="AP788" s="12">
        <f>7.98*30</f>
        <v>239.4</v>
      </c>
      <c r="AQ788" s="12">
        <f>8.68*30</f>
        <v>260.39999999999998</v>
      </c>
      <c r="AR788" s="12">
        <f>5*30</f>
        <v>150</v>
      </c>
      <c r="AS788" s="12">
        <f>4*30</f>
        <v>120</v>
      </c>
      <c r="AT788" s="12">
        <f>8*30</f>
        <v>240</v>
      </c>
      <c r="AU788" s="12"/>
      <c r="AV788" s="12"/>
      <c r="AW788" s="12"/>
      <c r="AX788" s="12" t="str">
        <f>IF(AR788="", "mean", "med")</f>
        <v>med</v>
      </c>
      <c r="AY788" s="12">
        <f>IF(AR788="", AP788, AR788)</f>
        <v>150</v>
      </c>
      <c r="AZ788" s="12" t="s">
        <v>808</v>
      </c>
      <c r="BA788" s="12" t="str">
        <f>IF(AZ788="high","high","lower")</f>
        <v>lower</v>
      </c>
      <c r="BB788" s="47"/>
      <c r="BC788" s="12">
        <v>64.900000000000006</v>
      </c>
      <c r="BD788" s="12">
        <v>80.8</v>
      </c>
      <c r="BE788" s="12">
        <v>58.3</v>
      </c>
      <c r="BF788" s="12">
        <v>61.3</v>
      </c>
      <c r="BG788" s="18" t="s">
        <v>1030</v>
      </c>
      <c r="BH788" s="18" t="s">
        <v>1031</v>
      </c>
    </row>
    <row r="789" spans="1:60" ht="15.75" customHeight="1" x14ac:dyDescent="0.2">
      <c r="A789" s="11">
        <v>792</v>
      </c>
      <c r="B789" s="12">
        <v>12091</v>
      </c>
      <c r="C789" s="13" t="s">
        <v>963</v>
      </c>
      <c r="D789" s="13" t="s">
        <v>38</v>
      </c>
      <c r="E789" s="13">
        <v>2014</v>
      </c>
      <c r="F789" s="13">
        <v>2016</v>
      </c>
      <c r="G789" s="13" t="s">
        <v>131</v>
      </c>
      <c r="H789" s="13"/>
      <c r="I789" s="13" t="s">
        <v>79</v>
      </c>
      <c r="J789" s="13" t="s">
        <v>79</v>
      </c>
      <c r="K789" s="13"/>
      <c r="L789" s="15">
        <v>30.2</v>
      </c>
      <c r="M789" s="26">
        <v>65.599999999999994</v>
      </c>
      <c r="N789" s="13" t="s">
        <v>42</v>
      </c>
      <c r="O789" s="14" t="s">
        <v>964</v>
      </c>
      <c r="P789" s="12">
        <v>1</v>
      </c>
      <c r="Q789" s="22">
        <v>192</v>
      </c>
      <c r="R789" s="21"/>
      <c r="S789" s="21"/>
      <c r="T789" s="17">
        <v>40</v>
      </c>
      <c r="U789" s="17">
        <v>28</v>
      </c>
      <c r="V789" s="17">
        <v>54.8</v>
      </c>
      <c r="W789" s="17"/>
      <c r="X789" s="17"/>
      <c r="Y789" s="17"/>
      <c r="Z789" s="17" t="str">
        <f>IF(T789="", "mean", "med")</f>
        <v>med</v>
      </c>
      <c r="AA789" s="17">
        <f>IF(T789="", R789, T789)</f>
        <v>40</v>
      </c>
      <c r="AB789" s="12">
        <v>0</v>
      </c>
      <c r="AC789" s="13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>
        <v>0</v>
      </c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 t="s">
        <v>52</v>
      </c>
      <c r="BA789" s="12" t="str">
        <f>IF(AZ789="high","high","lower")</f>
        <v>high</v>
      </c>
      <c r="BB789" s="47">
        <v>0.93400000000000005</v>
      </c>
      <c r="BC789" s="12">
        <v>89.9</v>
      </c>
      <c r="BD789" s="12">
        <v>94</v>
      </c>
      <c r="BE789" s="12">
        <v>100</v>
      </c>
      <c r="BF789" s="12">
        <v>92.1</v>
      </c>
      <c r="BG789" s="18" t="s">
        <v>1034</v>
      </c>
      <c r="BH789" s="18" t="s">
        <v>1031</v>
      </c>
    </row>
    <row r="790" spans="1:60" ht="15.75" customHeight="1" x14ac:dyDescent="0.2">
      <c r="A790" s="11">
        <v>793</v>
      </c>
      <c r="B790" s="12">
        <v>12269</v>
      </c>
      <c r="C790" s="13" t="s">
        <v>965</v>
      </c>
      <c r="D790" s="14" t="s">
        <v>966</v>
      </c>
      <c r="E790" s="13">
        <v>2019</v>
      </c>
      <c r="F790" s="13">
        <v>2019</v>
      </c>
      <c r="G790" s="13" t="s">
        <v>77</v>
      </c>
      <c r="H790" s="13"/>
      <c r="I790" s="13" t="s">
        <v>70</v>
      </c>
      <c r="J790" s="13" t="s">
        <v>71</v>
      </c>
      <c r="K790" s="14" t="s">
        <v>917</v>
      </c>
      <c r="L790" s="19">
        <v>41.3</v>
      </c>
      <c r="M790" s="28">
        <v>81.400000000000006</v>
      </c>
      <c r="N790" s="13" t="s">
        <v>42</v>
      </c>
      <c r="O790" s="13"/>
      <c r="P790" s="12">
        <v>0</v>
      </c>
      <c r="Q790" s="12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2">
        <v>0</v>
      </c>
      <c r="AC790" s="13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>
        <v>1</v>
      </c>
      <c r="AO790" s="22">
        <v>51</v>
      </c>
      <c r="AP790" s="12"/>
      <c r="AQ790" s="12"/>
      <c r="AR790" s="22">
        <v>56</v>
      </c>
      <c r="AS790" s="12">
        <v>28</v>
      </c>
      <c r="AT790" s="12">
        <v>90</v>
      </c>
      <c r="AU790" s="12"/>
      <c r="AV790" s="12"/>
      <c r="AW790" s="12"/>
      <c r="AX790" s="12" t="str">
        <f>IF(AR790="", "mean", "med")</f>
        <v>med</v>
      </c>
      <c r="AY790" s="12">
        <f>IF(AR790="", AP790, AR790)</f>
        <v>56</v>
      </c>
      <c r="AZ790" s="12" t="s">
        <v>52</v>
      </c>
      <c r="BA790" s="12" t="str">
        <f>IF(AZ790="high","high","lower")</f>
        <v>high</v>
      </c>
      <c r="BB790" s="47">
        <v>0.93200000000000005</v>
      </c>
      <c r="BC790" s="12">
        <v>85.3</v>
      </c>
      <c r="BD790" s="12">
        <v>96.3</v>
      </c>
      <c r="BE790" s="12">
        <v>91.7</v>
      </c>
      <c r="BF790" s="12">
        <v>80</v>
      </c>
      <c r="BG790" s="18" t="s">
        <v>1030</v>
      </c>
      <c r="BH790" s="18" t="s">
        <v>1031</v>
      </c>
    </row>
    <row r="791" spans="1:60" ht="15.75" customHeight="1" x14ac:dyDescent="0.2">
      <c r="A791" s="11">
        <v>794</v>
      </c>
      <c r="B791" s="12">
        <v>11952</v>
      </c>
      <c r="C791" s="13" t="s">
        <v>967</v>
      </c>
      <c r="D791" s="13" t="s">
        <v>38</v>
      </c>
      <c r="E791" s="13">
        <v>2015</v>
      </c>
      <c r="F791" s="13">
        <v>2017</v>
      </c>
      <c r="G791" s="13" t="s">
        <v>393</v>
      </c>
      <c r="H791" s="13"/>
      <c r="I791" s="13" t="s">
        <v>40</v>
      </c>
      <c r="J791" s="13" t="s">
        <v>40</v>
      </c>
      <c r="K791" s="14"/>
      <c r="L791" s="15">
        <v>100</v>
      </c>
      <c r="M791" s="26">
        <v>48</v>
      </c>
      <c r="N791" s="13" t="s">
        <v>42</v>
      </c>
      <c r="O791" s="14"/>
      <c r="P791" s="12">
        <v>0</v>
      </c>
      <c r="Q791" s="12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2">
        <v>0</v>
      </c>
      <c r="AC791" s="13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>
        <v>1</v>
      </c>
      <c r="AO791" s="12">
        <v>499</v>
      </c>
      <c r="AP791" s="12">
        <f>15.7*30</f>
        <v>471</v>
      </c>
      <c r="AQ791" s="12">
        <f>25.9*30</f>
        <v>777</v>
      </c>
      <c r="AR791" s="12"/>
      <c r="AS791" s="12"/>
      <c r="AT791" s="12"/>
      <c r="AU791" s="12"/>
      <c r="AV791" s="12"/>
      <c r="AW791" s="12"/>
      <c r="AX791" s="12" t="str">
        <f>IF(AR791="", "mean", "med")</f>
        <v>mean</v>
      </c>
      <c r="AY791" s="12">
        <f>IF(AR791="", AP791, AR791)</f>
        <v>471</v>
      </c>
      <c r="AZ791" s="49" t="s">
        <v>808</v>
      </c>
      <c r="BA791" s="49" t="str">
        <f>IF(AZ791="high","high","lower")</f>
        <v>lower</v>
      </c>
      <c r="BB791" s="47">
        <v>0.54300000000000004</v>
      </c>
      <c r="BC791" s="49"/>
      <c r="BD791" s="49"/>
      <c r="BE791" s="49"/>
      <c r="BF791" s="49"/>
      <c r="BG791" s="18" t="s">
        <v>1034</v>
      </c>
      <c r="BH791" s="18" t="s">
        <v>1031</v>
      </c>
    </row>
    <row r="792" spans="1:60" ht="15.75" customHeight="1" x14ac:dyDescent="0.2">
      <c r="A792" s="11">
        <v>795</v>
      </c>
      <c r="B792" s="12">
        <v>12442</v>
      </c>
      <c r="C792" s="13" t="s">
        <v>968</v>
      </c>
      <c r="D792" s="13" t="s">
        <v>38</v>
      </c>
      <c r="E792" s="13">
        <v>2015</v>
      </c>
      <c r="F792" s="13">
        <v>2017</v>
      </c>
      <c r="G792" s="13" t="s">
        <v>125</v>
      </c>
      <c r="H792" s="13"/>
      <c r="I792" s="13" t="s">
        <v>599</v>
      </c>
      <c r="J792" s="13" t="s">
        <v>364</v>
      </c>
      <c r="K792" s="13"/>
      <c r="L792" s="15">
        <v>75</v>
      </c>
      <c r="M792" s="26">
        <v>48.9</v>
      </c>
      <c r="N792" s="13" t="s">
        <v>42</v>
      </c>
      <c r="O792" s="13" t="s">
        <v>90</v>
      </c>
      <c r="P792" s="12">
        <v>1</v>
      </c>
      <c r="Q792" s="12">
        <v>39</v>
      </c>
      <c r="R792" s="17"/>
      <c r="S792" s="17"/>
      <c r="T792" s="17">
        <v>66</v>
      </c>
      <c r="U792" s="17">
        <v>38</v>
      </c>
      <c r="V792" s="17">
        <v>151</v>
      </c>
      <c r="W792" s="17"/>
      <c r="X792" s="17"/>
      <c r="Y792" s="17"/>
      <c r="Z792" s="17" t="str">
        <f>IF(T792="", "mean", "med")</f>
        <v>med</v>
      </c>
      <c r="AA792" s="17">
        <f>IF(T792="", R792, T792)</f>
        <v>66</v>
      </c>
      <c r="AB792" s="12">
        <v>0</v>
      </c>
      <c r="AC792" s="13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>
        <v>0</v>
      </c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 t="s">
        <v>52</v>
      </c>
      <c r="BA792" s="12" t="str">
        <f>IF(AZ792="high","high","lower")</f>
        <v>high</v>
      </c>
      <c r="BB792" s="47">
        <v>0.89900000000000002</v>
      </c>
      <c r="BC792" s="12">
        <v>84</v>
      </c>
      <c r="BD792" s="12">
        <v>89.7</v>
      </c>
      <c r="BE792" s="12">
        <v>70.8</v>
      </c>
      <c r="BF792" s="12">
        <v>89.2</v>
      </c>
      <c r="BG792" s="18" t="s">
        <v>1030</v>
      </c>
      <c r="BH792" s="18" t="s">
        <v>1031</v>
      </c>
    </row>
    <row r="793" spans="1:60" ht="15.75" customHeight="1" x14ac:dyDescent="0.2">
      <c r="A793" s="11">
        <v>796</v>
      </c>
      <c r="B793" s="12">
        <v>11996</v>
      </c>
      <c r="C793" s="13" t="s">
        <v>969</v>
      </c>
      <c r="D793" s="13" t="s">
        <v>38</v>
      </c>
      <c r="E793" s="13">
        <v>2017</v>
      </c>
      <c r="F793" s="13">
        <v>2017</v>
      </c>
      <c r="G793" s="13" t="s">
        <v>312</v>
      </c>
      <c r="H793" s="13" t="s">
        <v>970</v>
      </c>
      <c r="I793" s="13" t="s">
        <v>467</v>
      </c>
      <c r="J793" s="13" t="s">
        <v>466</v>
      </c>
      <c r="K793" s="13"/>
      <c r="L793" s="15">
        <v>60</v>
      </c>
      <c r="M793" s="26">
        <v>54</v>
      </c>
      <c r="N793" s="13" t="s">
        <v>42</v>
      </c>
      <c r="O793" s="13"/>
      <c r="P793" s="12">
        <v>0</v>
      </c>
      <c r="Q793" s="12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2">
        <v>1</v>
      </c>
      <c r="AC793" s="13">
        <v>15</v>
      </c>
      <c r="AD793" s="12"/>
      <c r="AE793" s="12"/>
      <c r="AF793" s="12">
        <f>18*7</f>
        <v>126</v>
      </c>
      <c r="AG793" s="12">
        <f>12*7</f>
        <v>84</v>
      </c>
      <c r="AH793" s="12">
        <f>32.5*7</f>
        <v>227.5</v>
      </c>
      <c r="AI793" s="12"/>
      <c r="AJ793" s="12">
        <f>3*7</f>
        <v>21</v>
      </c>
      <c r="AK793" s="12">
        <f>140*7</f>
        <v>980</v>
      </c>
      <c r="AL793" s="12" t="str">
        <f>IF(AF793="", "mean", "med")</f>
        <v>med</v>
      </c>
      <c r="AM793" s="12">
        <f>IF(AF793="", AD793, AF793)</f>
        <v>126</v>
      </c>
      <c r="AN793" s="12">
        <v>1</v>
      </c>
      <c r="AO793" s="12">
        <v>15</v>
      </c>
      <c r="AP793" s="12"/>
      <c r="AQ793" s="12"/>
      <c r="AR793" s="12">
        <f>4*7</f>
        <v>28</v>
      </c>
      <c r="AS793" s="12">
        <f>2*7</f>
        <v>14</v>
      </c>
      <c r="AT793" s="12">
        <f>11.5*7</f>
        <v>80.5</v>
      </c>
      <c r="AU793" s="12"/>
      <c r="AV793" s="12">
        <v>0</v>
      </c>
      <c r="AW793" s="12">
        <f>119*7</f>
        <v>833</v>
      </c>
      <c r="AX793" s="12" t="str">
        <f>IF(AR793="", "mean", "med")</f>
        <v>med</v>
      </c>
      <c r="AY793" s="12">
        <f>IF(AR793="", AP793, AR793)</f>
        <v>28</v>
      </c>
      <c r="AZ793" s="12" t="s">
        <v>52</v>
      </c>
      <c r="BA793" s="12" t="str">
        <f>IF(AZ793="high","high","lower")</f>
        <v>high</v>
      </c>
      <c r="BB793" s="47">
        <v>0.93300000000000005</v>
      </c>
      <c r="BC793" s="12">
        <v>87.6</v>
      </c>
      <c r="BD793" s="12">
        <v>95.2</v>
      </c>
      <c r="BE793" s="12">
        <v>95.9</v>
      </c>
      <c r="BF793" s="12">
        <v>86.1</v>
      </c>
      <c r="BG793" s="18" t="s">
        <v>1030</v>
      </c>
      <c r="BH793" s="18" t="s">
        <v>1031</v>
      </c>
    </row>
    <row r="794" spans="1:60" ht="15.75" customHeight="1" x14ac:dyDescent="0.2">
      <c r="A794" s="11">
        <v>797</v>
      </c>
      <c r="B794" s="22">
        <v>12319</v>
      </c>
      <c r="C794" s="13" t="s">
        <v>971</v>
      </c>
      <c r="D794" s="13" t="s">
        <v>38</v>
      </c>
      <c r="E794" s="13">
        <v>2004</v>
      </c>
      <c r="F794" s="13">
        <v>2016</v>
      </c>
      <c r="G794" s="13" t="s">
        <v>49</v>
      </c>
      <c r="H794" s="13"/>
      <c r="I794" s="13" t="s">
        <v>79</v>
      </c>
      <c r="J794" s="13" t="s">
        <v>972</v>
      </c>
      <c r="K794" s="13"/>
      <c r="L794" s="15">
        <v>39.6</v>
      </c>
      <c r="M794" s="28">
        <v>52.6</v>
      </c>
      <c r="N794" s="13" t="s">
        <v>99</v>
      </c>
      <c r="O794" s="13" t="s">
        <v>90</v>
      </c>
      <c r="P794" s="12">
        <v>1</v>
      </c>
      <c r="Q794" s="12">
        <v>814</v>
      </c>
      <c r="R794" s="17"/>
      <c r="S794" s="17"/>
      <c r="T794" s="17">
        <v>34</v>
      </c>
      <c r="U794" s="17">
        <v>14</v>
      </c>
      <c r="V794" s="17">
        <v>56</v>
      </c>
      <c r="W794" s="17"/>
      <c r="X794" s="21"/>
      <c r="Y794" s="21"/>
      <c r="Z794" s="17" t="str">
        <f>IF(T794="", "mean", "med")</f>
        <v>med</v>
      </c>
      <c r="AA794" s="17">
        <f>IF(T794="", R794, T794)</f>
        <v>34</v>
      </c>
      <c r="AB794" s="12">
        <v>0</v>
      </c>
      <c r="AC794" s="13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>
        <v>0</v>
      </c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 t="s">
        <v>52</v>
      </c>
      <c r="BA794" s="12" t="str">
        <f>IF(AZ794="high","high","lower")</f>
        <v>high</v>
      </c>
      <c r="BB794" s="47">
        <v>0.91300000000000003</v>
      </c>
      <c r="BC794" s="12">
        <v>84</v>
      </c>
      <c r="BD794" s="12">
        <v>88</v>
      </c>
      <c r="BE794" s="12">
        <v>100</v>
      </c>
      <c r="BF794" s="12">
        <v>84.2</v>
      </c>
      <c r="BG794" s="18" t="s">
        <v>1030</v>
      </c>
      <c r="BH794" s="18" t="s">
        <v>1031</v>
      </c>
    </row>
    <row r="795" spans="1:60" ht="15.75" customHeight="1" x14ac:dyDescent="0.2">
      <c r="A795" s="11">
        <v>798</v>
      </c>
      <c r="B795" s="12">
        <v>12788</v>
      </c>
      <c r="C795" s="13" t="s">
        <v>973</v>
      </c>
      <c r="D795" s="13" t="s">
        <v>974</v>
      </c>
      <c r="E795" s="13">
        <v>2012</v>
      </c>
      <c r="F795" s="13">
        <v>2016</v>
      </c>
      <c r="G795" s="13" t="s">
        <v>134</v>
      </c>
      <c r="H795" s="13"/>
      <c r="I795" s="13" t="s">
        <v>79</v>
      </c>
      <c r="J795" s="13" t="s">
        <v>238</v>
      </c>
      <c r="K795" s="14"/>
      <c r="L795" s="15">
        <v>15.1</v>
      </c>
      <c r="M795" s="26">
        <v>60</v>
      </c>
      <c r="N795" s="13" t="s">
        <v>42</v>
      </c>
      <c r="O795" s="13" t="s">
        <v>142</v>
      </c>
      <c r="P795" s="12">
        <v>1</v>
      </c>
      <c r="Q795" s="12">
        <v>650</v>
      </c>
      <c r="R795" s="17"/>
      <c r="S795" s="17"/>
      <c r="T795" s="17">
        <v>58</v>
      </c>
      <c r="U795" s="17"/>
      <c r="V795" s="17"/>
      <c r="W795" s="17"/>
      <c r="X795" s="17">
        <v>25</v>
      </c>
      <c r="Y795" s="17">
        <v>228</v>
      </c>
      <c r="Z795" s="17" t="str">
        <f>IF(T795="", "mean", "med")</f>
        <v>med</v>
      </c>
      <c r="AA795" s="17">
        <f>IF(T795="", R795, T795)</f>
        <v>58</v>
      </c>
      <c r="AB795" s="12">
        <v>0</v>
      </c>
      <c r="AC795" s="13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>
        <v>0</v>
      </c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 t="s">
        <v>52</v>
      </c>
      <c r="BA795" s="12" t="str">
        <f>IF(AZ795="high","high","lower")</f>
        <v>high</v>
      </c>
      <c r="BB795" s="47">
        <v>0.91600000000000004</v>
      </c>
      <c r="BC795" s="12">
        <v>84.8</v>
      </c>
      <c r="BD795" s="12">
        <v>94</v>
      </c>
      <c r="BE795" s="12">
        <v>100</v>
      </c>
      <c r="BF795" s="12">
        <v>82.2</v>
      </c>
      <c r="BG795" s="18" t="s">
        <v>1030</v>
      </c>
      <c r="BH795" s="18" t="s">
        <v>1031</v>
      </c>
    </row>
    <row r="796" spans="1:60" ht="15.75" customHeight="1" x14ac:dyDescent="0.2">
      <c r="A796" s="11">
        <v>799</v>
      </c>
      <c r="B796" s="12">
        <v>12788</v>
      </c>
      <c r="C796" s="13" t="s">
        <v>973</v>
      </c>
      <c r="D796" s="13" t="s">
        <v>975</v>
      </c>
      <c r="E796" s="13">
        <v>2012</v>
      </c>
      <c r="F796" s="13">
        <v>2016</v>
      </c>
      <c r="G796" s="13" t="s">
        <v>134</v>
      </c>
      <c r="H796" s="13"/>
      <c r="I796" s="13" t="s">
        <v>79</v>
      </c>
      <c r="J796" s="13" t="s">
        <v>238</v>
      </c>
      <c r="K796" s="13"/>
      <c r="L796" s="15">
        <v>25.7</v>
      </c>
      <c r="M796" s="26">
        <v>64</v>
      </c>
      <c r="N796" s="13" t="s">
        <v>42</v>
      </c>
      <c r="O796" s="14" t="s">
        <v>142</v>
      </c>
      <c r="P796" s="12">
        <v>1</v>
      </c>
      <c r="Q796" s="12">
        <v>113</v>
      </c>
      <c r="R796" s="17"/>
      <c r="S796" s="17"/>
      <c r="T796" s="17">
        <v>63</v>
      </c>
      <c r="U796" s="17"/>
      <c r="V796" s="17"/>
      <c r="W796" s="21"/>
      <c r="X796" s="17">
        <v>30</v>
      </c>
      <c r="Y796" s="17">
        <v>217</v>
      </c>
      <c r="Z796" s="17" t="str">
        <f>IF(T796="", "mean", "med")</f>
        <v>med</v>
      </c>
      <c r="AA796" s="17">
        <f>IF(T796="", R796, T796)</f>
        <v>63</v>
      </c>
      <c r="AB796" s="12">
        <v>0</v>
      </c>
      <c r="AC796" s="13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>
        <v>0</v>
      </c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 t="s">
        <v>52</v>
      </c>
      <c r="BA796" s="12" t="str">
        <f>IF(AZ796="high","high","lower")</f>
        <v>high</v>
      </c>
      <c r="BB796" s="47">
        <v>0.91600000000000004</v>
      </c>
      <c r="BC796" s="12">
        <v>84.8</v>
      </c>
      <c r="BD796" s="12">
        <v>94</v>
      </c>
      <c r="BE796" s="12">
        <v>100</v>
      </c>
      <c r="BF796" s="12">
        <v>82.2</v>
      </c>
      <c r="BG796" s="18" t="s">
        <v>1030</v>
      </c>
      <c r="BH796" s="18" t="s">
        <v>1031</v>
      </c>
    </row>
    <row r="797" spans="1:60" ht="15.75" customHeight="1" x14ac:dyDescent="0.2">
      <c r="A797" s="11">
        <v>800</v>
      </c>
      <c r="B797" s="22">
        <v>12259</v>
      </c>
      <c r="C797" s="14" t="s">
        <v>976</v>
      </c>
      <c r="D797" s="13">
        <v>2010</v>
      </c>
      <c r="E797" s="13">
        <v>2010</v>
      </c>
      <c r="F797" s="13">
        <v>2010</v>
      </c>
      <c r="G797" s="14" t="s">
        <v>205</v>
      </c>
      <c r="H797" s="14"/>
      <c r="I797" s="13" t="s">
        <v>54</v>
      </c>
      <c r="J797" s="13" t="s">
        <v>229</v>
      </c>
      <c r="K797" s="14" t="s">
        <v>288</v>
      </c>
      <c r="L797" s="15" t="s">
        <v>41</v>
      </c>
      <c r="M797" s="26" t="s">
        <v>41</v>
      </c>
      <c r="N797" s="13" t="s">
        <v>99</v>
      </c>
      <c r="O797" s="13"/>
      <c r="P797" s="12">
        <v>0</v>
      </c>
      <c r="Q797" s="12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2">
        <v>1</v>
      </c>
      <c r="AC797" s="13">
        <v>157</v>
      </c>
      <c r="AD797" s="12"/>
      <c r="AE797" s="12"/>
      <c r="AF797" s="12">
        <v>46</v>
      </c>
      <c r="AG797" s="12"/>
      <c r="AH797" s="12"/>
      <c r="AI797" s="12"/>
      <c r="AJ797" s="12"/>
      <c r="AK797" s="12"/>
      <c r="AL797" s="12" t="str">
        <f>IF(AF797="", "mean", "med")</f>
        <v>med</v>
      </c>
      <c r="AM797" s="12">
        <f>IF(AF797="", AD797, AF797)</f>
        <v>46</v>
      </c>
      <c r="AN797" s="12">
        <v>0</v>
      </c>
      <c r="AO797" s="2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49" t="s">
        <v>52</v>
      </c>
      <c r="BA797" s="49" t="str">
        <f>IF(AZ797="high","high","lower")</f>
        <v>high</v>
      </c>
      <c r="BB797" s="47">
        <v>0.91700000000000004</v>
      </c>
      <c r="BC797" s="49"/>
      <c r="BD797" s="49"/>
      <c r="BE797" s="49"/>
      <c r="BF797" s="49"/>
      <c r="BG797" s="18" t="s">
        <v>1034</v>
      </c>
      <c r="BH797" s="18" t="s">
        <v>1031</v>
      </c>
    </row>
    <row r="798" spans="1:60" ht="15.75" customHeight="1" x14ac:dyDescent="0.2">
      <c r="A798" s="11">
        <v>801</v>
      </c>
      <c r="B798" s="12">
        <v>12259</v>
      </c>
      <c r="C798" s="13" t="s">
        <v>976</v>
      </c>
      <c r="D798" s="13">
        <v>2016</v>
      </c>
      <c r="E798" s="13">
        <v>2016</v>
      </c>
      <c r="F798" s="13">
        <v>2016</v>
      </c>
      <c r="G798" s="13" t="s">
        <v>205</v>
      </c>
      <c r="H798" s="13"/>
      <c r="I798" s="13" t="s">
        <v>54</v>
      </c>
      <c r="J798" s="13" t="s">
        <v>229</v>
      </c>
      <c r="K798" s="14" t="s">
        <v>288</v>
      </c>
      <c r="L798" s="15" t="s">
        <v>41</v>
      </c>
      <c r="M798" s="26" t="s">
        <v>41</v>
      </c>
      <c r="N798" s="13" t="s">
        <v>99</v>
      </c>
      <c r="O798" s="13"/>
      <c r="P798" s="12">
        <v>0</v>
      </c>
      <c r="Q798" s="12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2">
        <v>1</v>
      </c>
      <c r="AC798" s="13">
        <v>146</v>
      </c>
      <c r="AD798" s="12"/>
      <c r="AE798" s="12"/>
      <c r="AF798" s="12">
        <v>31</v>
      </c>
      <c r="AG798" s="12"/>
      <c r="AH798" s="12"/>
      <c r="AI798" s="12"/>
      <c r="AJ798" s="12"/>
      <c r="AK798" s="12"/>
      <c r="AL798" s="12" t="str">
        <f>IF(AF798="", "mean", "med")</f>
        <v>med</v>
      </c>
      <c r="AM798" s="12">
        <f>IF(AF798="", AD798, AF798)</f>
        <v>31</v>
      </c>
      <c r="AN798" s="12">
        <v>0</v>
      </c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49" t="s">
        <v>52</v>
      </c>
      <c r="BA798" s="49" t="str">
        <f>IF(AZ798="high","high","lower")</f>
        <v>high</v>
      </c>
      <c r="BB798" s="47">
        <v>0.93500000000000005</v>
      </c>
      <c r="BC798" s="49"/>
      <c r="BD798" s="49"/>
      <c r="BE798" s="49"/>
      <c r="BF798" s="49"/>
      <c r="BG798" s="18" t="s">
        <v>1034</v>
      </c>
      <c r="BH798" s="18" t="s">
        <v>1031</v>
      </c>
    </row>
    <row r="799" spans="1:60" ht="15.75" customHeight="1" x14ac:dyDescent="0.2">
      <c r="A799" s="11">
        <v>802</v>
      </c>
      <c r="B799" s="22">
        <v>12058</v>
      </c>
      <c r="C799" s="13" t="s">
        <v>641</v>
      </c>
      <c r="D799" s="13" t="s">
        <v>38</v>
      </c>
      <c r="E799" s="13">
        <v>2007</v>
      </c>
      <c r="F799" s="13">
        <v>2015</v>
      </c>
      <c r="G799" s="13" t="s">
        <v>134</v>
      </c>
      <c r="H799" s="13"/>
      <c r="I799" s="13" t="s">
        <v>40</v>
      </c>
      <c r="J799" s="13" t="s">
        <v>40</v>
      </c>
      <c r="K799" s="13"/>
      <c r="L799" s="15">
        <v>100</v>
      </c>
      <c r="M799" s="28" t="s">
        <v>41</v>
      </c>
      <c r="N799" s="13" t="s">
        <v>99</v>
      </c>
      <c r="O799" s="13"/>
      <c r="P799" s="12">
        <v>0</v>
      </c>
      <c r="Q799" s="12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2">
        <v>1</v>
      </c>
      <c r="AC799" s="13">
        <v>45967</v>
      </c>
      <c r="AD799" s="12"/>
      <c r="AE799" s="12"/>
      <c r="AF799" s="12">
        <v>41</v>
      </c>
      <c r="AG799" s="12">
        <v>20</v>
      </c>
      <c r="AH799" s="12">
        <v>92</v>
      </c>
      <c r="AI799" s="12"/>
      <c r="AJ799" s="12"/>
      <c r="AK799" s="12"/>
      <c r="AL799" s="12" t="str">
        <f>IF(AF799="", "mean", "med")</f>
        <v>med</v>
      </c>
      <c r="AM799" s="12">
        <f>IF(AF799="", AD799, AF799)</f>
        <v>41</v>
      </c>
      <c r="AN799" s="12">
        <v>0</v>
      </c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 t="s">
        <v>52</v>
      </c>
      <c r="BA799" s="12" t="str">
        <f>IF(AZ799="high","high","lower")</f>
        <v>high</v>
      </c>
      <c r="BB799" s="47">
        <v>0.90600000000000003</v>
      </c>
      <c r="BC799" s="12">
        <v>84.8</v>
      </c>
      <c r="BD799" s="12">
        <v>94</v>
      </c>
      <c r="BE799" s="12">
        <v>100</v>
      </c>
      <c r="BF799" s="12">
        <v>82.2</v>
      </c>
      <c r="BG799" s="18" t="s">
        <v>1034</v>
      </c>
      <c r="BH799" s="18" t="s">
        <v>1031</v>
      </c>
    </row>
    <row r="800" spans="1:60" ht="15.75" customHeight="1" x14ac:dyDescent="0.2">
      <c r="A800" s="11">
        <v>803</v>
      </c>
      <c r="B800" s="12">
        <v>11963</v>
      </c>
      <c r="C800" s="13" t="s">
        <v>641</v>
      </c>
      <c r="D800" s="13" t="s">
        <v>977</v>
      </c>
      <c r="E800" s="13">
        <v>2007</v>
      </c>
      <c r="F800" s="13">
        <v>2015</v>
      </c>
      <c r="G800" s="13" t="s">
        <v>134</v>
      </c>
      <c r="H800" s="13"/>
      <c r="I800" s="13" t="s">
        <v>40</v>
      </c>
      <c r="J800" s="13" t="s">
        <v>40</v>
      </c>
      <c r="K800" s="13"/>
      <c r="L800" s="19">
        <v>100</v>
      </c>
      <c r="M800" s="26" t="s">
        <v>41</v>
      </c>
      <c r="N800" s="13" t="s">
        <v>99</v>
      </c>
      <c r="O800" s="14" t="s">
        <v>978</v>
      </c>
      <c r="P800" s="12">
        <v>1</v>
      </c>
      <c r="Q800" s="12">
        <v>22009</v>
      </c>
      <c r="R800" s="17"/>
      <c r="S800" s="17"/>
      <c r="T800" s="17">
        <v>35</v>
      </c>
      <c r="U800" s="17">
        <v>23</v>
      </c>
      <c r="V800" s="17">
        <v>48</v>
      </c>
      <c r="W800" s="17"/>
      <c r="X800" s="17"/>
      <c r="Y800" s="17"/>
      <c r="Z800" s="17" t="str">
        <f>IF(T800="", "mean", "med")</f>
        <v>med</v>
      </c>
      <c r="AA800" s="17">
        <f>IF(T800="", R800, T800)</f>
        <v>35</v>
      </c>
      <c r="AB800" s="12">
        <v>0</v>
      </c>
      <c r="AC800" s="13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>
        <v>0</v>
      </c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 t="s">
        <v>52</v>
      </c>
      <c r="BA800" s="12" t="str">
        <f>IF(AZ800="high","high","lower")</f>
        <v>high</v>
      </c>
      <c r="BB800" s="47">
        <v>0.90600000000000003</v>
      </c>
      <c r="BC800" s="12">
        <v>84.8</v>
      </c>
      <c r="BD800" s="12">
        <v>94</v>
      </c>
      <c r="BE800" s="12">
        <v>100</v>
      </c>
      <c r="BF800" s="12">
        <v>82.2</v>
      </c>
      <c r="BG800" s="18" t="s">
        <v>1030</v>
      </c>
      <c r="BH800" s="18" t="s">
        <v>1031</v>
      </c>
    </row>
    <row r="801" spans="1:60" ht="15.75" customHeight="1" x14ac:dyDescent="0.2">
      <c r="A801" s="11">
        <v>804</v>
      </c>
      <c r="B801" s="12">
        <v>11963</v>
      </c>
      <c r="C801" s="13" t="s">
        <v>641</v>
      </c>
      <c r="D801" s="13" t="s">
        <v>979</v>
      </c>
      <c r="E801" s="13">
        <v>2007</v>
      </c>
      <c r="F801" s="13">
        <v>2015</v>
      </c>
      <c r="G801" s="13" t="s">
        <v>134</v>
      </c>
      <c r="H801" s="13"/>
      <c r="I801" s="13" t="s">
        <v>40</v>
      </c>
      <c r="J801" s="13" t="s">
        <v>40</v>
      </c>
      <c r="K801" s="13"/>
      <c r="L801" s="15">
        <v>100</v>
      </c>
      <c r="M801" s="26" t="s">
        <v>41</v>
      </c>
      <c r="N801" s="13" t="s">
        <v>99</v>
      </c>
      <c r="O801" s="13" t="s">
        <v>978</v>
      </c>
      <c r="P801" s="12">
        <v>1</v>
      </c>
      <c r="Q801" s="12">
        <v>19555</v>
      </c>
      <c r="R801" s="17"/>
      <c r="S801" s="17"/>
      <c r="T801" s="17">
        <v>30</v>
      </c>
      <c r="U801" s="17">
        <v>19</v>
      </c>
      <c r="V801" s="17">
        <v>43</v>
      </c>
      <c r="W801" s="17"/>
      <c r="X801" s="17"/>
      <c r="Y801" s="17"/>
      <c r="Z801" s="17" t="str">
        <f>IF(T801="", "mean", "med")</f>
        <v>med</v>
      </c>
      <c r="AA801" s="17">
        <f>IF(T801="", R801, T801)</f>
        <v>30</v>
      </c>
      <c r="AB801" s="12">
        <v>0</v>
      </c>
      <c r="AC801" s="13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>
        <v>0</v>
      </c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 t="s">
        <v>52</v>
      </c>
      <c r="BA801" s="12" t="str">
        <f>IF(AZ801="high","high","lower")</f>
        <v>high</v>
      </c>
      <c r="BB801" s="47">
        <v>0.90600000000000003</v>
      </c>
      <c r="BC801" s="12">
        <v>84.8</v>
      </c>
      <c r="BD801" s="12">
        <v>94</v>
      </c>
      <c r="BE801" s="12">
        <v>100</v>
      </c>
      <c r="BF801" s="12">
        <v>82.2</v>
      </c>
      <c r="BG801" s="18" t="s">
        <v>1030</v>
      </c>
      <c r="BH801" s="18" t="s">
        <v>1031</v>
      </c>
    </row>
    <row r="802" spans="1:60" ht="15.75" customHeight="1" x14ac:dyDescent="0.2">
      <c r="A802" s="11">
        <v>805</v>
      </c>
      <c r="B802" s="22">
        <v>12052</v>
      </c>
      <c r="C802" s="13" t="s">
        <v>980</v>
      </c>
      <c r="D802" s="14" t="s">
        <v>38</v>
      </c>
      <c r="E802" s="13">
        <v>2007</v>
      </c>
      <c r="F802" s="13">
        <v>2017</v>
      </c>
      <c r="G802" s="13" t="s">
        <v>259</v>
      </c>
      <c r="H802" s="13"/>
      <c r="I802" s="13" t="s">
        <v>94</v>
      </c>
      <c r="J802" s="13" t="s">
        <v>95</v>
      </c>
      <c r="K802" s="14" t="s">
        <v>981</v>
      </c>
      <c r="L802" s="15">
        <v>49</v>
      </c>
      <c r="M802" s="26">
        <v>70</v>
      </c>
      <c r="N802" s="13" t="s">
        <v>41</v>
      </c>
      <c r="O802" s="13" t="s">
        <v>870</v>
      </c>
      <c r="P802" s="12">
        <v>1</v>
      </c>
      <c r="Q802" s="12">
        <v>199</v>
      </c>
      <c r="R802" s="17"/>
      <c r="S802" s="17"/>
      <c r="T802" s="17">
        <v>22</v>
      </c>
      <c r="U802" s="17"/>
      <c r="V802" s="17"/>
      <c r="W802" s="17"/>
      <c r="X802" s="17">
        <v>0</v>
      </c>
      <c r="Y802" s="17">
        <v>393</v>
      </c>
      <c r="Z802" s="17" t="str">
        <f>IF(T802="", "mean", "med")</f>
        <v>med</v>
      </c>
      <c r="AA802" s="17">
        <f>IF(T802="", R802, T802)</f>
        <v>22</v>
      </c>
      <c r="AB802" s="12">
        <v>0</v>
      </c>
      <c r="AC802" s="13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>
        <v>0</v>
      </c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 t="s">
        <v>52</v>
      </c>
      <c r="BA802" s="12" t="str">
        <f>IF(AZ802="high","high","lower")</f>
        <v>high</v>
      </c>
      <c r="BB802" s="47">
        <v>0.89700000000000002</v>
      </c>
      <c r="BC802" s="12">
        <v>83.2</v>
      </c>
      <c r="BD802" s="12">
        <v>83.1</v>
      </c>
      <c r="BE802" s="12">
        <v>100</v>
      </c>
      <c r="BF802" s="12">
        <v>96.6</v>
      </c>
      <c r="BG802" s="18" t="s">
        <v>1032</v>
      </c>
      <c r="BH802" s="18" t="s">
        <v>1033</v>
      </c>
    </row>
    <row r="803" spans="1:60" ht="15.75" customHeight="1" x14ac:dyDescent="0.2">
      <c r="A803" s="11">
        <v>806</v>
      </c>
      <c r="B803" s="22">
        <v>12416</v>
      </c>
      <c r="C803" s="13" t="s">
        <v>982</v>
      </c>
      <c r="D803" s="13" t="s">
        <v>38</v>
      </c>
      <c r="E803" s="13">
        <v>2004</v>
      </c>
      <c r="F803" s="13">
        <v>2007</v>
      </c>
      <c r="G803" s="13" t="s">
        <v>627</v>
      </c>
      <c r="H803" s="13"/>
      <c r="I803" s="13" t="s">
        <v>79</v>
      </c>
      <c r="J803" s="13" t="s">
        <v>79</v>
      </c>
      <c r="K803" s="13"/>
      <c r="L803" s="15">
        <f>35/262*100</f>
        <v>13.358778625954198</v>
      </c>
      <c r="M803" s="26">
        <v>60</v>
      </c>
      <c r="N803" s="13" t="s">
        <v>42</v>
      </c>
      <c r="O803" s="13" t="s">
        <v>142</v>
      </c>
      <c r="P803" s="12">
        <v>1</v>
      </c>
      <c r="Q803" s="22">
        <v>262</v>
      </c>
      <c r="R803" s="21">
        <v>35.6</v>
      </c>
      <c r="S803" s="21"/>
      <c r="T803" s="17">
        <v>36</v>
      </c>
      <c r="U803" s="17">
        <v>28</v>
      </c>
      <c r="V803" s="17">
        <v>48.8</v>
      </c>
      <c r="W803" s="17"/>
      <c r="X803" s="17">
        <v>7</v>
      </c>
      <c r="Y803" s="17">
        <v>90</v>
      </c>
      <c r="Z803" s="17" t="str">
        <f>IF(T803="", "mean", "med")</f>
        <v>med</v>
      </c>
      <c r="AA803" s="17">
        <f>IF(T803="", R803, T803)</f>
        <v>36</v>
      </c>
      <c r="AB803" s="12">
        <v>0</v>
      </c>
      <c r="AC803" s="13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>
        <v>0</v>
      </c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49" t="s">
        <v>52</v>
      </c>
      <c r="BA803" s="49" t="str">
        <f>IF(AZ803="high","high","lower")</f>
        <v>high</v>
      </c>
      <c r="BB803" s="47">
        <v>0.872</v>
      </c>
      <c r="BC803" s="49"/>
      <c r="BD803" s="49"/>
      <c r="BE803" s="49"/>
      <c r="BF803" s="49"/>
      <c r="BG803" s="18" t="s">
        <v>1030</v>
      </c>
      <c r="BH803" s="18" t="s">
        <v>1031</v>
      </c>
    </row>
    <row r="804" spans="1:60" ht="15.75" customHeight="1" x14ac:dyDescent="0.2">
      <c r="A804" s="11">
        <v>807</v>
      </c>
      <c r="B804" s="12">
        <v>14189</v>
      </c>
      <c r="C804" s="13" t="s">
        <v>983</v>
      </c>
      <c r="D804" s="13" t="s">
        <v>984</v>
      </c>
      <c r="E804" s="13">
        <v>2010</v>
      </c>
      <c r="F804" s="13">
        <v>2015</v>
      </c>
      <c r="G804" s="13" t="s">
        <v>131</v>
      </c>
      <c r="H804" s="13"/>
      <c r="I804" s="13" t="s">
        <v>59</v>
      </c>
      <c r="J804" s="13" t="s">
        <v>320</v>
      </c>
      <c r="K804" s="13"/>
      <c r="L804" s="15">
        <f>100-61.8</f>
        <v>38.200000000000003</v>
      </c>
      <c r="M804" s="28">
        <v>64.900000000000006</v>
      </c>
      <c r="N804" s="13" t="s">
        <v>42</v>
      </c>
      <c r="O804" s="13"/>
      <c r="P804" s="12">
        <v>0</v>
      </c>
      <c r="Q804" s="12"/>
      <c r="R804" s="17"/>
      <c r="S804" s="17"/>
      <c r="T804" s="17"/>
      <c r="U804" s="17"/>
      <c r="V804" s="17"/>
      <c r="W804" s="17"/>
      <c r="X804" s="21"/>
      <c r="Y804" s="21"/>
      <c r="Z804" s="17"/>
      <c r="AA804" s="17"/>
      <c r="AB804" s="12">
        <v>1</v>
      </c>
      <c r="AC804" s="13">
        <v>72</v>
      </c>
      <c r="AD804" s="12"/>
      <c r="AE804" s="12"/>
      <c r="AF804" s="12">
        <v>78</v>
      </c>
      <c r="AG804" s="12">
        <v>37</v>
      </c>
      <c r="AH804" s="12">
        <v>140</v>
      </c>
      <c r="AI804" s="12"/>
      <c r="AJ804" s="12"/>
      <c r="AK804" s="12"/>
      <c r="AL804" s="12" t="str">
        <f>IF(AF804="", "mean", "med")</f>
        <v>med</v>
      </c>
      <c r="AM804" s="12">
        <f>IF(AF804="", AD804, AF804)</f>
        <v>78</v>
      </c>
      <c r="AN804" s="12">
        <v>1</v>
      </c>
      <c r="AO804" s="12">
        <v>53</v>
      </c>
      <c r="AP804" s="12"/>
      <c r="AQ804" s="12"/>
      <c r="AR804" s="12">
        <v>5</v>
      </c>
      <c r="AS804" s="12">
        <v>3</v>
      </c>
      <c r="AT804" s="12">
        <v>27</v>
      </c>
      <c r="AU804" s="12"/>
      <c r="AV804" s="12"/>
      <c r="AW804" s="12"/>
      <c r="AX804" s="12" t="str">
        <f>IF(AR804="", "mean", "med")</f>
        <v>med</v>
      </c>
      <c r="AY804" s="12">
        <f>IF(AR804="", AP804, AR804)</f>
        <v>5</v>
      </c>
      <c r="AZ804" s="12" t="s">
        <v>52</v>
      </c>
      <c r="BA804" s="12" t="str">
        <f>IF(AZ804="high","high","lower")</f>
        <v>high</v>
      </c>
      <c r="BB804" s="47">
        <v>0.92800000000000005</v>
      </c>
      <c r="BC804" s="12">
        <v>89.9</v>
      </c>
      <c r="BD804" s="12">
        <v>94</v>
      </c>
      <c r="BE804" s="12">
        <v>100</v>
      </c>
      <c r="BF804" s="12">
        <v>92.1</v>
      </c>
      <c r="BG804" s="18" t="s">
        <v>1034</v>
      </c>
      <c r="BH804" s="18" t="s">
        <v>1031</v>
      </c>
    </row>
    <row r="805" spans="1:60" ht="15.75" customHeight="1" x14ac:dyDescent="0.2">
      <c r="A805" s="11">
        <v>808</v>
      </c>
      <c r="B805" s="12">
        <v>14189</v>
      </c>
      <c r="C805" s="13" t="s">
        <v>983</v>
      </c>
      <c r="D805" s="13" t="s">
        <v>985</v>
      </c>
      <c r="E805" s="13">
        <v>2010</v>
      </c>
      <c r="F805" s="13">
        <v>2015</v>
      </c>
      <c r="G805" s="13" t="s">
        <v>131</v>
      </c>
      <c r="H805" s="13"/>
      <c r="I805" s="13" t="s">
        <v>59</v>
      </c>
      <c r="J805" s="13" t="s">
        <v>82</v>
      </c>
      <c r="K805" s="14"/>
      <c r="L805" s="15">
        <f>100-76.1</f>
        <v>23.900000000000006</v>
      </c>
      <c r="M805" s="26">
        <v>68.3</v>
      </c>
      <c r="N805" s="13" t="s">
        <v>42</v>
      </c>
      <c r="O805" s="14"/>
      <c r="P805" s="12">
        <v>0</v>
      </c>
      <c r="Q805" s="12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2">
        <v>1</v>
      </c>
      <c r="AC805" s="13">
        <v>292</v>
      </c>
      <c r="AD805" s="12"/>
      <c r="AE805" s="12"/>
      <c r="AF805" s="12">
        <v>53</v>
      </c>
      <c r="AG805" s="12">
        <v>29</v>
      </c>
      <c r="AH805" s="12">
        <v>97</v>
      </c>
      <c r="AI805" s="12"/>
      <c r="AJ805" s="12"/>
      <c r="AK805" s="12"/>
      <c r="AL805" s="12" t="str">
        <f>IF(AF805="", "mean", "med")</f>
        <v>med</v>
      </c>
      <c r="AM805" s="12">
        <f>IF(AF805="", AD805, AF805)</f>
        <v>53</v>
      </c>
      <c r="AN805" s="12">
        <v>1</v>
      </c>
      <c r="AO805" s="12">
        <v>203</v>
      </c>
      <c r="AP805" s="12"/>
      <c r="AQ805" s="12"/>
      <c r="AR805" s="12">
        <v>6</v>
      </c>
      <c r="AS805" s="12">
        <v>2</v>
      </c>
      <c r="AT805" s="12">
        <v>16</v>
      </c>
      <c r="AU805" s="12"/>
      <c r="AV805" s="12"/>
      <c r="AW805" s="12"/>
      <c r="AX805" s="12" t="str">
        <f>IF(AR805="", "mean", "med")</f>
        <v>med</v>
      </c>
      <c r="AY805" s="12">
        <f>IF(AR805="", AP805, AR805)</f>
        <v>6</v>
      </c>
      <c r="AZ805" s="12" t="s">
        <v>52</v>
      </c>
      <c r="BA805" s="12" t="str">
        <f>IF(AZ805="high","high","lower")</f>
        <v>high</v>
      </c>
      <c r="BB805" s="47">
        <v>0.92800000000000005</v>
      </c>
      <c r="BC805" s="12">
        <v>89.9</v>
      </c>
      <c r="BD805" s="12">
        <v>94</v>
      </c>
      <c r="BE805" s="12">
        <v>100</v>
      </c>
      <c r="BF805" s="12">
        <v>92.1</v>
      </c>
      <c r="BG805" s="18" t="s">
        <v>1034</v>
      </c>
      <c r="BH805" s="18" t="s">
        <v>1031</v>
      </c>
    </row>
    <row r="806" spans="1:60" ht="15.75" customHeight="1" x14ac:dyDescent="0.2">
      <c r="A806" s="11">
        <v>809</v>
      </c>
      <c r="B806" s="12">
        <v>14189</v>
      </c>
      <c r="C806" s="13" t="s">
        <v>983</v>
      </c>
      <c r="D806" s="13" t="s">
        <v>986</v>
      </c>
      <c r="E806" s="13">
        <v>2010</v>
      </c>
      <c r="F806" s="13">
        <v>2015</v>
      </c>
      <c r="G806" s="13" t="s">
        <v>131</v>
      </c>
      <c r="H806" s="13"/>
      <c r="I806" s="13" t="s">
        <v>104</v>
      </c>
      <c r="J806" s="13" t="s">
        <v>206</v>
      </c>
      <c r="K806" s="13"/>
      <c r="L806" s="15">
        <v>100</v>
      </c>
      <c r="M806" s="26">
        <v>64.2</v>
      </c>
      <c r="N806" s="13" t="s">
        <v>42</v>
      </c>
      <c r="O806" s="14"/>
      <c r="P806" s="12">
        <v>0</v>
      </c>
      <c r="Q806" s="12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2">
        <v>1</v>
      </c>
      <c r="AC806" s="13">
        <v>85</v>
      </c>
      <c r="AD806" s="12"/>
      <c r="AE806" s="12"/>
      <c r="AF806" s="12">
        <v>41</v>
      </c>
      <c r="AG806" s="12">
        <v>20</v>
      </c>
      <c r="AH806" s="12">
        <v>64</v>
      </c>
      <c r="AI806" s="12"/>
      <c r="AJ806" s="12"/>
      <c r="AK806" s="12"/>
      <c r="AL806" s="12" t="str">
        <f>IF(AF806="", "mean", "med")</f>
        <v>med</v>
      </c>
      <c r="AM806" s="12">
        <f>IF(AF806="", AD806, AF806)</f>
        <v>41</v>
      </c>
      <c r="AN806" s="12">
        <v>1</v>
      </c>
      <c r="AO806" s="12">
        <v>99</v>
      </c>
      <c r="AP806" s="12"/>
      <c r="AQ806" s="12"/>
      <c r="AR806" s="12">
        <v>15</v>
      </c>
      <c r="AS806" s="12">
        <v>5</v>
      </c>
      <c r="AT806" s="12">
        <v>43</v>
      </c>
      <c r="AU806" s="12"/>
      <c r="AV806" s="12"/>
      <c r="AW806" s="12"/>
      <c r="AX806" s="12" t="str">
        <f>IF(AR806="", "mean", "med")</f>
        <v>med</v>
      </c>
      <c r="AY806" s="12">
        <f>IF(AR806="", AP806, AR806)</f>
        <v>15</v>
      </c>
      <c r="AZ806" s="12" t="s">
        <v>52</v>
      </c>
      <c r="BA806" s="12" t="str">
        <f>IF(AZ806="high","high","lower")</f>
        <v>high</v>
      </c>
      <c r="BB806" s="47">
        <v>0.92800000000000005</v>
      </c>
      <c r="BC806" s="12">
        <v>89.9</v>
      </c>
      <c r="BD806" s="12">
        <v>94</v>
      </c>
      <c r="BE806" s="12">
        <v>100</v>
      </c>
      <c r="BF806" s="12">
        <v>92.1</v>
      </c>
      <c r="BG806" s="18" t="s">
        <v>1034</v>
      </c>
      <c r="BH806" s="18" t="s">
        <v>1031</v>
      </c>
    </row>
    <row r="807" spans="1:60" ht="15.75" customHeight="1" x14ac:dyDescent="0.2">
      <c r="A807" s="11">
        <v>810</v>
      </c>
      <c r="B807" s="12">
        <v>12337</v>
      </c>
      <c r="C807" s="13" t="s">
        <v>987</v>
      </c>
      <c r="D807" s="14" t="s">
        <v>38</v>
      </c>
      <c r="E807" s="13">
        <v>2018</v>
      </c>
      <c r="F807" s="13">
        <v>2018</v>
      </c>
      <c r="G807" s="13" t="s">
        <v>796</v>
      </c>
      <c r="H807" s="13"/>
      <c r="I807" s="13" t="s">
        <v>79</v>
      </c>
      <c r="J807" s="13" t="s">
        <v>79</v>
      </c>
      <c r="K807" s="13"/>
      <c r="L807" s="15">
        <v>27</v>
      </c>
      <c r="M807" s="26">
        <v>57.8</v>
      </c>
      <c r="N807" s="13" t="s">
        <v>41</v>
      </c>
      <c r="O807" s="13"/>
      <c r="P807" s="12">
        <v>0</v>
      </c>
      <c r="Q807" s="22"/>
      <c r="R807" s="21"/>
      <c r="S807" s="21"/>
      <c r="T807" s="17"/>
      <c r="U807" s="17"/>
      <c r="V807" s="17"/>
      <c r="W807" s="17"/>
      <c r="X807" s="17"/>
      <c r="Y807" s="17"/>
      <c r="Z807" s="17"/>
      <c r="AA807" s="17"/>
      <c r="AB807" s="12">
        <v>0</v>
      </c>
      <c r="AC807" s="13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>
        <v>1</v>
      </c>
      <c r="AO807" s="12">
        <v>33</v>
      </c>
      <c r="AP807" s="12">
        <f>5.7*30</f>
        <v>171</v>
      </c>
      <c r="AQ807" s="12"/>
      <c r="AR807" s="12"/>
      <c r="AS807" s="12"/>
      <c r="AT807" s="12"/>
      <c r="AU807" s="12"/>
      <c r="AV807" s="12"/>
      <c r="AW807" s="12"/>
      <c r="AX807" s="12" t="str">
        <f>IF(AR807="", "mean", "med")</f>
        <v>mean</v>
      </c>
      <c r="AY807" s="12">
        <f>IF(AR807="", AP807, AR807)</f>
        <v>171</v>
      </c>
      <c r="AZ807" s="49" t="s">
        <v>808</v>
      </c>
      <c r="BA807" s="49" t="str">
        <f>IF(AZ807="high","high","lower")</f>
        <v>lower</v>
      </c>
      <c r="BB807" s="47">
        <v>0.51600000000000001</v>
      </c>
      <c r="BC807" s="49"/>
      <c r="BD807" s="49"/>
      <c r="BE807" s="49"/>
      <c r="BF807" s="49"/>
      <c r="BG807" s="18" t="s">
        <v>1030</v>
      </c>
      <c r="BH807" s="18" t="s">
        <v>1031</v>
      </c>
    </row>
    <row r="808" spans="1:60" ht="15.75" customHeight="1" x14ac:dyDescent="0.2">
      <c r="A808" s="11">
        <v>811</v>
      </c>
      <c r="B808" s="22">
        <v>2857</v>
      </c>
      <c r="C808" s="14" t="s">
        <v>988</v>
      </c>
      <c r="D808" s="13" t="s">
        <v>38</v>
      </c>
      <c r="E808" s="13">
        <v>2011</v>
      </c>
      <c r="F808" s="13">
        <v>2011</v>
      </c>
      <c r="G808" s="14" t="s">
        <v>615</v>
      </c>
      <c r="H808" s="14"/>
      <c r="I808" s="13" t="s">
        <v>79</v>
      </c>
      <c r="J808" s="31" t="s">
        <v>236</v>
      </c>
      <c r="K808" s="13"/>
      <c r="L808" s="15">
        <v>36.4</v>
      </c>
      <c r="M808" s="26">
        <v>61.4</v>
      </c>
      <c r="N808" s="13" t="s">
        <v>42</v>
      </c>
      <c r="O808" s="13"/>
      <c r="P808" s="12">
        <v>0</v>
      </c>
      <c r="Q808" s="12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2">
        <v>1</v>
      </c>
      <c r="AC808" s="13">
        <v>154</v>
      </c>
      <c r="AD808" s="12">
        <v>67.7</v>
      </c>
      <c r="AE808" s="12"/>
      <c r="AF808" s="12">
        <v>14</v>
      </c>
      <c r="AG808" s="12">
        <v>0</v>
      </c>
      <c r="AH808" s="12">
        <v>46.8</v>
      </c>
      <c r="AI808" s="12"/>
      <c r="AJ808" s="12">
        <v>0</v>
      </c>
      <c r="AK808" s="12">
        <v>1278</v>
      </c>
      <c r="AL808" s="12" t="str">
        <f>IF(AF808="", "mean", "med")</f>
        <v>med</v>
      </c>
      <c r="AM808" s="12">
        <f>IF(AF808="", AD808, AF808)</f>
        <v>14</v>
      </c>
      <c r="AN808" s="12">
        <v>1</v>
      </c>
      <c r="AO808" s="22">
        <v>154</v>
      </c>
      <c r="AP808" s="12">
        <v>100</v>
      </c>
      <c r="AQ808" s="12"/>
      <c r="AR808" s="12">
        <v>30</v>
      </c>
      <c r="AS808" s="12">
        <v>7</v>
      </c>
      <c r="AT808" s="12">
        <v>90</v>
      </c>
      <c r="AU808" s="12"/>
      <c r="AV808" s="12">
        <v>0</v>
      </c>
      <c r="AW808" s="12">
        <v>1095</v>
      </c>
      <c r="AX808" s="12" t="str">
        <f>IF(AR808="", "mean", "med")</f>
        <v>med</v>
      </c>
      <c r="AY808" s="12">
        <f>IF(AR808="", AP808, AR808)</f>
        <v>30</v>
      </c>
      <c r="AZ808" s="49" t="s">
        <v>886</v>
      </c>
      <c r="BA808" s="49" t="str">
        <f>IF(AZ808="high","high","lower")</f>
        <v>lower</v>
      </c>
      <c r="BB808" s="47">
        <v>0.73299999999999998</v>
      </c>
      <c r="BC808" s="49"/>
      <c r="BD808" s="49"/>
      <c r="BE808" s="49"/>
      <c r="BF808" s="49"/>
      <c r="BG808" s="18" t="s">
        <v>1030</v>
      </c>
      <c r="BH808" s="18" t="s">
        <v>1031</v>
      </c>
    </row>
    <row r="809" spans="1:60" ht="15.75" customHeight="1" x14ac:dyDescent="0.2">
      <c r="A809" s="11">
        <v>812</v>
      </c>
      <c r="B809" s="12">
        <v>4320</v>
      </c>
      <c r="C809" s="13" t="s">
        <v>694</v>
      </c>
      <c r="D809" s="13" t="s">
        <v>38</v>
      </c>
      <c r="E809" s="13">
        <v>2017</v>
      </c>
      <c r="F809" s="13">
        <v>2017</v>
      </c>
      <c r="G809" s="13" t="s">
        <v>264</v>
      </c>
      <c r="H809" s="13"/>
      <c r="I809" s="13" t="s">
        <v>40</v>
      </c>
      <c r="J809" s="13" t="s">
        <v>40</v>
      </c>
      <c r="K809" s="13"/>
      <c r="L809" s="15">
        <v>100</v>
      </c>
      <c r="M809" s="26">
        <v>47</v>
      </c>
      <c r="N809" s="13" t="s">
        <v>42</v>
      </c>
      <c r="O809" s="13"/>
      <c r="P809" s="12">
        <v>0</v>
      </c>
      <c r="Q809" s="12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2">
        <v>0</v>
      </c>
      <c r="AC809" s="13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>
        <v>1</v>
      </c>
      <c r="AO809" s="12">
        <v>283</v>
      </c>
      <c r="AP809" s="12"/>
      <c r="AQ809" s="12"/>
      <c r="AR809" s="12">
        <v>50</v>
      </c>
      <c r="AS809" s="12"/>
      <c r="AT809" s="12"/>
      <c r="AU809" s="12">
        <v>170</v>
      </c>
      <c r="AV809" s="12">
        <v>0.2</v>
      </c>
      <c r="AW809" s="12">
        <v>900</v>
      </c>
      <c r="AX809" s="12" t="str">
        <f>IF(AR809="", "mean", "med")</f>
        <v>med</v>
      </c>
      <c r="AY809" s="12">
        <f>IF(AR809="", AP809, AR809)</f>
        <v>50</v>
      </c>
      <c r="AZ809" s="12" t="s">
        <v>886</v>
      </c>
      <c r="BA809" s="12" t="str">
        <f>IF(AZ809="high","high","lower")</f>
        <v>lower</v>
      </c>
      <c r="BB809" s="47">
        <v>0.75</v>
      </c>
      <c r="BC809" s="12">
        <v>64.5</v>
      </c>
      <c r="BD809" s="12">
        <v>73.099999999999994</v>
      </c>
      <c r="BE809" s="12">
        <v>50</v>
      </c>
      <c r="BF809" s="12">
        <v>61.3</v>
      </c>
      <c r="BG809" s="18" t="s">
        <v>1030</v>
      </c>
      <c r="BH809" s="18" t="s">
        <v>1031</v>
      </c>
    </row>
    <row r="810" spans="1:60" ht="15.75" customHeight="1" x14ac:dyDescent="0.2">
      <c r="A810" s="11">
        <v>813</v>
      </c>
      <c r="B810" s="12">
        <v>3241</v>
      </c>
      <c r="C810" s="13" t="s">
        <v>940</v>
      </c>
      <c r="D810" s="14" t="s">
        <v>82</v>
      </c>
      <c r="E810" s="13">
        <v>2014</v>
      </c>
      <c r="F810" s="13">
        <v>2014</v>
      </c>
      <c r="G810" s="13" t="s">
        <v>77</v>
      </c>
      <c r="H810" s="13" t="s">
        <v>823</v>
      </c>
      <c r="I810" s="13" t="s">
        <v>59</v>
      </c>
      <c r="J810" s="13" t="s">
        <v>82</v>
      </c>
      <c r="K810" s="14"/>
      <c r="L810" s="19" t="s">
        <v>41</v>
      </c>
      <c r="M810" s="19" t="s">
        <v>41</v>
      </c>
      <c r="N810" s="13" t="s">
        <v>41</v>
      </c>
      <c r="O810" s="14"/>
      <c r="P810" s="12">
        <v>0</v>
      </c>
      <c r="Q810" s="12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2">
        <v>1</v>
      </c>
      <c r="AC810" s="13">
        <v>43</v>
      </c>
      <c r="AD810" s="12"/>
      <c r="AE810" s="12"/>
      <c r="AF810" s="12">
        <v>47</v>
      </c>
      <c r="AG810" s="12">
        <v>26</v>
      </c>
      <c r="AH810" s="12">
        <v>63</v>
      </c>
      <c r="AI810" s="12"/>
      <c r="AJ810" s="12"/>
      <c r="AK810" s="12"/>
      <c r="AL810" s="12" t="str">
        <f>IF(AF810="", "mean", "med")</f>
        <v>med</v>
      </c>
      <c r="AM810" s="12">
        <f>IF(AF810="", AD810, AF810)</f>
        <v>47</v>
      </c>
      <c r="AN810" s="12">
        <v>0</v>
      </c>
      <c r="AO810" s="22"/>
      <c r="AP810" s="12"/>
      <c r="AQ810" s="12"/>
      <c r="AR810" s="22"/>
      <c r="AS810" s="12"/>
      <c r="AT810" s="12"/>
      <c r="AU810" s="12"/>
      <c r="AV810" s="12"/>
      <c r="AW810" s="12"/>
      <c r="AX810" s="12"/>
      <c r="AY810" s="12"/>
      <c r="AZ810" s="12" t="s">
        <v>52</v>
      </c>
      <c r="BA810" s="12" t="str">
        <f>IF(AZ810="high","high","lower")</f>
        <v>high</v>
      </c>
      <c r="BB810" s="47">
        <v>0.92500000000000004</v>
      </c>
      <c r="BC810" s="12">
        <v>85.3</v>
      </c>
      <c r="BD810" s="12">
        <v>96.3</v>
      </c>
      <c r="BE810" s="12">
        <v>91.7</v>
      </c>
      <c r="BF810" s="12">
        <v>80</v>
      </c>
      <c r="BG810" s="18" t="s">
        <v>1034</v>
      </c>
      <c r="BH810" s="18" t="s">
        <v>1031</v>
      </c>
    </row>
    <row r="811" spans="1:60" ht="15.75" customHeight="1" x14ac:dyDescent="0.2">
      <c r="A811" s="11">
        <v>814</v>
      </c>
      <c r="B811" s="12">
        <v>3241</v>
      </c>
      <c r="C811" s="13" t="s">
        <v>940</v>
      </c>
      <c r="D811" s="13" t="s">
        <v>382</v>
      </c>
      <c r="E811" s="13">
        <v>2014</v>
      </c>
      <c r="F811" s="13">
        <v>2014</v>
      </c>
      <c r="G811" s="13" t="s">
        <v>77</v>
      </c>
      <c r="H811" s="13" t="s">
        <v>823</v>
      </c>
      <c r="I811" s="13" t="s">
        <v>324</v>
      </c>
      <c r="J811" s="13" t="s">
        <v>382</v>
      </c>
      <c r="K811" s="13"/>
      <c r="L811" s="19" t="s">
        <v>41</v>
      </c>
      <c r="M811" s="15" t="s">
        <v>41</v>
      </c>
      <c r="N811" s="13" t="s">
        <v>41</v>
      </c>
      <c r="O811" s="13"/>
      <c r="P811" s="12">
        <v>0</v>
      </c>
      <c r="Q811" s="12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2">
        <v>1</v>
      </c>
      <c r="AC811" s="13">
        <v>16</v>
      </c>
      <c r="AD811" s="12"/>
      <c r="AE811" s="12"/>
      <c r="AF811" s="12">
        <v>6</v>
      </c>
      <c r="AG811" s="12">
        <v>0</v>
      </c>
      <c r="AH811" s="12">
        <v>58</v>
      </c>
      <c r="AI811" s="12"/>
      <c r="AJ811" s="12"/>
      <c r="AK811" s="12"/>
      <c r="AL811" s="12" t="str">
        <f>IF(AF811="", "mean", "med")</f>
        <v>med</v>
      </c>
      <c r="AM811" s="12">
        <f>IF(AF811="", AD811, AF811)</f>
        <v>6</v>
      </c>
      <c r="AN811" s="12">
        <v>0</v>
      </c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 t="s">
        <v>52</v>
      </c>
      <c r="BA811" s="12" t="str">
        <f>IF(AZ811="high","high","lower")</f>
        <v>high</v>
      </c>
      <c r="BB811" s="47">
        <v>0.92500000000000004</v>
      </c>
      <c r="BC811" s="12">
        <v>85.3</v>
      </c>
      <c r="BD811" s="12">
        <v>96.3</v>
      </c>
      <c r="BE811" s="12">
        <v>91.7</v>
      </c>
      <c r="BF811" s="12">
        <v>80</v>
      </c>
      <c r="BG811" s="18" t="s">
        <v>1034</v>
      </c>
      <c r="BH811" s="18" t="s">
        <v>1031</v>
      </c>
    </row>
    <row r="812" spans="1:60" ht="15.75" customHeight="1" x14ac:dyDescent="0.2">
      <c r="A812" s="11">
        <v>815</v>
      </c>
      <c r="B812" s="22">
        <v>3241</v>
      </c>
      <c r="C812" s="13" t="s">
        <v>940</v>
      </c>
      <c r="D812" s="13" t="s">
        <v>40</v>
      </c>
      <c r="E812" s="13">
        <v>2014</v>
      </c>
      <c r="F812" s="13">
        <v>2014</v>
      </c>
      <c r="G812" s="13" t="s">
        <v>77</v>
      </c>
      <c r="H812" s="13" t="s">
        <v>823</v>
      </c>
      <c r="I812" s="13" t="s">
        <v>40</v>
      </c>
      <c r="J812" s="13" t="s">
        <v>40</v>
      </c>
      <c r="K812" s="13"/>
      <c r="L812" s="15" t="s">
        <v>41</v>
      </c>
      <c r="M812" s="15" t="s">
        <v>41</v>
      </c>
      <c r="N812" s="13" t="s">
        <v>41</v>
      </c>
      <c r="O812" s="14"/>
      <c r="P812" s="12">
        <v>0</v>
      </c>
      <c r="Q812" s="12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2">
        <v>1</v>
      </c>
      <c r="AC812" s="13">
        <v>187</v>
      </c>
      <c r="AD812" s="12"/>
      <c r="AE812" s="12"/>
      <c r="AF812" s="12">
        <v>21</v>
      </c>
      <c r="AG812" s="12">
        <v>14</v>
      </c>
      <c r="AH812" s="12">
        <v>29</v>
      </c>
      <c r="AI812" s="12"/>
      <c r="AJ812" s="12"/>
      <c r="AK812" s="12"/>
      <c r="AL812" s="12" t="str">
        <f>IF(AF812="", "mean", "med")</f>
        <v>med</v>
      </c>
      <c r="AM812" s="12">
        <f>IF(AF812="", AD812, AF812)</f>
        <v>21</v>
      </c>
      <c r="AN812" s="12">
        <v>0</v>
      </c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 t="s">
        <v>52</v>
      </c>
      <c r="BA812" s="12" t="str">
        <f>IF(AZ812="high","high","lower")</f>
        <v>high</v>
      </c>
      <c r="BB812" s="47">
        <v>0.92500000000000004</v>
      </c>
      <c r="BC812" s="12">
        <v>85.3</v>
      </c>
      <c r="BD812" s="12">
        <v>96.3</v>
      </c>
      <c r="BE812" s="12">
        <v>91.7</v>
      </c>
      <c r="BF812" s="12">
        <v>80</v>
      </c>
      <c r="BG812" s="18" t="s">
        <v>1034</v>
      </c>
      <c r="BH812" s="18" t="s">
        <v>1031</v>
      </c>
    </row>
    <row r="813" spans="1:60" ht="15.75" customHeight="1" x14ac:dyDescent="0.2">
      <c r="A813" s="11">
        <v>816</v>
      </c>
      <c r="B813" s="12">
        <v>3241</v>
      </c>
      <c r="C813" s="13" t="s">
        <v>940</v>
      </c>
      <c r="D813" s="14" t="s">
        <v>385</v>
      </c>
      <c r="E813" s="13">
        <v>2014</v>
      </c>
      <c r="F813" s="13">
        <v>2014</v>
      </c>
      <c r="G813" s="13" t="s">
        <v>77</v>
      </c>
      <c r="H813" s="13" t="s">
        <v>823</v>
      </c>
      <c r="I813" s="13" t="s">
        <v>386</v>
      </c>
      <c r="J813" s="13" t="s">
        <v>385</v>
      </c>
      <c r="K813" s="14"/>
      <c r="L813" s="15" t="s">
        <v>41</v>
      </c>
      <c r="M813" s="15" t="s">
        <v>41</v>
      </c>
      <c r="N813" s="13" t="s">
        <v>41</v>
      </c>
      <c r="O813" s="13"/>
      <c r="P813" s="12">
        <v>0</v>
      </c>
      <c r="Q813" s="12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2">
        <v>1</v>
      </c>
      <c r="AC813" s="13">
        <v>22</v>
      </c>
      <c r="AD813" s="12"/>
      <c r="AE813" s="12"/>
      <c r="AF813" s="12">
        <v>14.5</v>
      </c>
      <c r="AG813" s="12">
        <v>1.75</v>
      </c>
      <c r="AH813" s="12">
        <v>48.25</v>
      </c>
      <c r="AI813" s="12"/>
      <c r="AJ813" s="12"/>
      <c r="AK813" s="12"/>
      <c r="AL813" s="12" t="str">
        <f>IF(AF813="", "mean", "med")</f>
        <v>med</v>
      </c>
      <c r="AM813" s="12">
        <f>IF(AF813="", AD813, AF813)</f>
        <v>14.5</v>
      </c>
      <c r="AN813" s="12">
        <v>0</v>
      </c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 t="s">
        <v>52</v>
      </c>
      <c r="BA813" s="12" t="str">
        <f>IF(AZ813="high","high","lower")</f>
        <v>high</v>
      </c>
      <c r="BB813" s="47">
        <v>0.92500000000000004</v>
      </c>
      <c r="BC813" s="12">
        <v>85.3</v>
      </c>
      <c r="BD813" s="12">
        <v>96.3</v>
      </c>
      <c r="BE813" s="12">
        <v>91.7</v>
      </c>
      <c r="BF813" s="12">
        <v>80</v>
      </c>
      <c r="BG813" s="18" t="s">
        <v>1034</v>
      </c>
      <c r="BH813" s="18" t="s">
        <v>1031</v>
      </c>
    </row>
    <row r="814" spans="1:60" ht="15.75" customHeight="1" x14ac:dyDescent="0.2">
      <c r="A814" s="11">
        <v>817</v>
      </c>
      <c r="B814" s="22">
        <v>3241</v>
      </c>
      <c r="C814" s="13" t="s">
        <v>940</v>
      </c>
      <c r="D814" s="13" t="s">
        <v>89</v>
      </c>
      <c r="E814" s="13">
        <v>2014</v>
      </c>
      <c r="F814" s="13">
        <v>2014</v>
      </c>
      <c r="G814" s="13" t="s">
        <v>77</v>
      </c>
      <c r="H814" s="13" t="s">
        <v>823</v>
      </c>
      <c r="I814" s="13" t="s">
        <v>54</v>
      </c>
      <c r="J814" s="13" t="s">
        <v>89</v>
      </c>
      <c r="K814" s="14"/>
      <c r="L814" s="15" t="s">
        <v>41</v>
      </c>
      <c r="M814" s="15" t="s">
        <v>41</v>
      </c>
      <c r="N814" s="13" t="s">
        <v>41</v>
      </c>
      <c r="O814" s="13"/>
      <c r="P814" s="12">
        <v>0</v>
      </c>
      <c r="Q814" s="12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2">
        <v>1</v>
      </c>
      <c r="AC814" s="13">
        <v>130</v>
      </c>
      <c r="AD814" s="12"/>
      <c r="AE814" s="12"/>
      <c r="AF814" s="12">
        <v>36</v>
      </c>
      <c r="AG814" s="12">
        <v>8.75</v>
      </c>
      <c r="AH814" s="12">
        <v>70.5</v>
      </c>
      <c r="AI814" s="12"/>
      <c r="AJ814" s="12"/>
      <c r="AK814" s="12"/>
      <c r="AL814" s="12" t="str">
        <f>IF(AF814="", "mean", "med")</f>
        <v>med</v>
      </c>
      <c r="AM814" s="12">
        <f>IF(AF814="", AD814, AF814)</f>
        <v>36</v>
      </c>
      <c r="AN814" s="12">
        <v>0</v>
      </c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 t="s">
        <v>52</v>
      </c>
      <c r="BA814" s="12" t="str">
        <f>IF(AZ814="high","high","lower")</f>
        <v>high</v>
      </c>
      <c r="BB814" s="47">
        <v>0.92500000000000004</v>
      </c>
      <c r="BC814" s="12">
        <v>85.3</v>
      </c>
      <c r="BD814" s="12">
        <v>96.3</v>
      </c>
      <c r="BE814" s="12">
        <v>91.7</v>
      </c>
      <c r="BF814" s="12">
        <v>80</v>
      </c>
      <c r="BG814" s="18" t="s">
        <v>1034</v>
      </c>
      <c r="BH814" s="18" t="s">
        <v>1031</v>
      </c>
    </row>
    <row r="815" spans="1:60" ht="15.75" customHeight="1" x14ac:dyDescent="0.2">
      <c r="A815" s="11">
        <v>818</v>
      </c>
      <c r="B815" s="22">
        <v>3241</v>
      </c>
      <c r="C815" s="13" t="s">
        <v>940</v>
      </c>
      <c r="D815" s="13" t="s">
        <v>299</v>
      </c>
      <c r="E815" s="13">
        <v>2014</v>
      </c>
      <c r="F815" s="13">
        <v>2014</v>
      </c>
      <c r="G815" s="13" t="s">
        <v>77</v>
      </c>
      <c r="H815" s="13" t="s">
        <v>823</v>
      </c>
      <c r="I815" s="13" t="s">
        <v>94</v>
      </c>
      <c r="J815" s="14" t="s">
        <v>299</v>
      </c>
      <c r="K815" s="14"/>
      <c r="L815" s="15" t="s">
        <v>41</v>
      </c>
      <c r="M815" s="19" t="s">
        <v>41</v>
      </c>
      <c r="N815" s="13" t="s">
        <v>41</v>
      </c>
      <c r="O815" s="13"/>
      <c r="P815" s="12">
        <v>0</v>
      </c>
      <c r="Q815" s="12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2">
        <v>1</v>
      </c>
      <c r="AC815" s="13">
        <v>35</v>
      </c>
      <c r="AD815" s="12"/>
      <c r="AE815" s="12"/>
      <c r="AF815" s="12">
        <v>16</v>
      </c>
      <c r="AG815" s="12">
        <v>1</v>
      </c>
      <c r="AH815" s="12">
        <v>41</v>
      </c>
      <c r="AI815" s="12"/>
      <c r="AJ815" s="12"/>
      <c r="AK815" s="12"/>
      <c r="AL815" s="12" t="str">
        <f>IF(AF815="", "mean", "med")</f>
        <v>med</v>
      </c>
      <c r="AM815" s="12">
        <f>IF(AF815="", AD815, AF815)</f>
        <v>16</v>
      </c>
      <c r="AN815" s="12">
        <v>0</v>
      </c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 t="s">
        <v>52</v>
      </c>
      <c r="BA815" s="12" t="str">
        <f>IF(AZ815="high","high","lower")</f>
        <v>high</v>
      </c>
      <c r="BB815" s="47">
        <v>0.92500000000000004</v>
      </c>
      <c r="BC815" s="12">
        <v>85.3</v>
      </c>
      <c r="BD815" s="12">
        <v>96.3</v>
      </c>
      <c r="BE815" s="12">
        <v>91.7</v>
      </c>
      <c r="BF815" s="12">
        <v>80</v>
      </c>
      <c r="BG815" s="18" t="s">
        <v>1034</v>
      </c>
      <c r="BH815" s="18" t="s">
        <v>1031</v>
      </c>
    </row>
    <row r="816" spans="1:60" ht="15.75" customHeight="1" x14ac:dyDescent="0.2">
      <c r="A816" s="11">
        <v>819</v>
      </c>
      <c r="B816" s="22">
        <v>3241</v>
      </c>
      <c r="C816" s="13" t="s">
        <v>940</v>
      </c>
      <c r="D816" s="14" t="s">
        <v>228</v>
      </c>
      <c r="E816" s="13">
        <v>2014</v>
      </c>
      <c r="F816" s="13">
        <v>2014</v>
      </c>
      <c r="G816" s="13" t="s">
        <v>77</v>
      </c>
      <c r="H816" s="13" t="s">
        <v>823</v>
      </c>
      <c r="I816" s="13" t="s">
        <v>54</v>
      </c>
      <c r="J816" s="13" t="s">
        <v>229</v>
      </c>
      <c r="K816" s="14" t="s">
        <v>228</v>
      </c>
      <c r="L816" s="15" t="s">
        <v>41</v>
      </c>
      <c r="M816" s="15" t="s">
        <v>41</v>
      </c>
      <c r="N816" s="13" t="s">
        <v>41</v>
      </c>
      <c r="O816" s="13"/>
      <c r="P816" s="12">
        <v>0</v>
      </c>
      <c r="Q816" s="22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2">
        <v>1</v>
      </c>
      <c r="AC816" s="13">
        <v>41</v>
      </c>
      <c r="AD816" s="12"/>
      <c r="AE816" s="12"/>
      <c r="AF816" s="12">
        <v>6</v>
      </c>
      <c r="AG816" s="12">
        <v>1</v>
      </c>
      <c r="AH816" s="12">
        <v>20</v>
      </c>
      <c r="AI816" s="12"/>
      <c r="AJ816" s="12"/>
      <c r="AK816" s="12"/>
      <c r="AL816" s="12" t="str">
        <f>IF(AF816="", "mean", "med")</f>
        <v>med</v>
      </c>
      <c r="AM816" s="12">
        <f>IF(AF816="", AD816, AF816)</f>
        <v>6</v>
      </c>
      <c r="AN816" s="12">
        <v>0</v>
      </c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 t="s">
        <v>52</v>
      </c>
      <c r="BA816" s="12" t="str">
        <f>IF(AZ816="high","high","lower")</f>
        <v>high</v>
      </c>
      <c r="BB816" s="47">
        <v>0.92500000000000004</v>
      </c>
      <c r="BC816" s="12">
        <v>85.3</v>
      </c>
      <c r="BD816" s="12">
        <v>96.3</v>
      </c>
      <c r="BE816" s="12">
        <v>91.7</v>
      </c>
      <c r="BF816" s="12">
        <v>80</v>
      </c>
      <c r="BG816" s="18" t="s">
        <v>1034</v>
      </c>
      <c r="BH816" s="18" t="s">
        <v>1031</v>
      </c>
    </row>
    <row r="817" spans="1:60" ht="15.75" customHeight="1" x14ac:dyDescent="0.2">
      <c r="A817" s="11">
        <v>820</v>
      </c>
      <c r="B817" s="22">
        <v>3241</v>
      </c>
      <c r="C817" s="13" t="s">
        <v>940</v>
      </c>
      <c r="D817" s="13" t="s">
        <v>58</v>
      </c>
      <c r="E817" s="13">
        <v>2014</v>
      </c>
      <c r="F817" s="13">
        <v>2014</v>
      </c>
      <c r="G817" s="13" t="s">
        <v>77</v>
      </c>
      <c r="H817" s="13" t="s">
        <v>823</v>
      </c>
      <c r="I817" s="13" t="s">
        <v>57</v>
      </c>
      <c r="J817" s="13" t="s">
        <v>58</v>
      </c>
      <c r="K817" s="13"/>
      <c r="L817" s="15" t="s">
        <v>41</v>
      </c>
      <c r="M817" s="15" t="s">
        <v>41</v>
      </c>
      <c r="N817" s="13" t="s">
        <v>41</v>
      </c>
      <c r="O817" s="13"/>
      <c r="P817" s="12">
        <v>0</v>
      </c>
      <c r="Q817" s="12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2">
        <v>1</v>
      </c>
      <c r="AC817" s="13">
        <v>286</v>
      </c>
      <c r="AD817" s="12"/>
      <c r="AE817" s="12"/>
      <c r="AF817" s="12">
        <v>33</v>
      </c>
      <c r="AG817" s="12">
        <v>13</v>
      </c>
      <c r="AH817" s="12">
        <v>74.25</v>
      </c>
      <c r="AI817" s="12"/>
      <c r="AJ817" s="12"/>
      <c r="AK817" s="12"/>
      <c r="AL817" s="12" t="str">
        <f>IF(AF817="", "mean", "med")</f>
        <v>med</v>
      </c>
      <c r="AM817" s="12">
        <f>IF(AF817="", AD817, AF817)</f>
        <v>33</v>
      </c>
      <c r="AN817" s="12">
        <v>0</v>
      </c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 t="s">
        <v>52</v>
      </c>
      <c r="BA817" s="12" t="str">
        <f>IF(AZ817="high","high","lower")</f>
        <v>high</v>
      </c>
      <c r="BB817" s="47">
        <v>0.92500000000000004</v>
      </c>
      <c r="BC817" s="12">
        <v>85.3</v>
      </c>
      <c r="BD817" s="12">
        <v>96.3</v>
      </c>
      <c r="BE817" s="12">
        <v>91.7</v>
      </c>
      <c r="BF817" s="12">
        <v>80</v>
      </c>
      <c r="BG817" s="18" t="s">
        <v>1034</v>
      </c>
      <c r="BH817" s="18" t="s">
        <v>1031</v>
      </c>
    </row>
    <row r="818" spans="1:60" ht="15.75" customHeight="1" x14ac:dyDescent="0.2">
      <c r="A818" s="11">
        <v>821</v>
      </c>
      <c r="B818" s="22">
        <v>3241</v>
      </c>
      <c r="C818" s="13" t="s">
        <v>940</v>
      </c>
      <c r="D818" s="13" t="s">
        <v>95</v>
      </c>
      <c r="E818" s="13">
        <v>2014</v>
      </c>
      <c r="F818" s="13">
        <v>2014</v>
      </c>
      <c r="G818" s="13" t="s">
        <v>77</v>
      </c>
      <c r="H818" s="13" t="s">
        <v>823</v>
      </c>
      <c r="I818" s="13" t="s">
        <v>94</v>
      </c>
      <c r="J818" s="13" t="s">
        <v>95</v>
      </c>
      <c r="K818" s="13"/>
      <c r="L818" s="15" t="s">
        <v>41</v>
      </c>
      <c r="M818" s="15" t="s">
        <v>41</v>
      </c>
      <c r="N818" s="13" t="s">
        <v>41</v>
      </c>
      <c r="O818" s="13"/>
      <c r="P818" s="12">
        <v>0</v>
      </c>
      <c r="Q818" s="12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2">
        <v>1</v>
      </c>
      <c r="AC818" s="13">
        <v>71</v>
      </c>
      <c r="AD818" s="12"/>
      <c r="AE818" s="12"/>
      <c r="AF818" s="12">
        <v>34</v>
      </c>
      <c r="AG818" s="12">
        <v>17</v>
      </c>
      <c r="AH818" s="12">
        <v>71</v>
      </c>
      <c r="AI818" s="12"/>
      <c r="AJ818" s="12"/>
      <c r="AK818" s="12"/>
      <c r="AL818" s="12" t="str">
        <f>IF(AF818="", "mean", "med")</f>
        <v>med</v>
      </c>
      <c r="AM818" s="12">
        <f>IF(AF818="", AD818, AF818)</f>
        <v>34</v>
      </c>
      <c r="AN818" s="12">
        <v>0</v>
      </c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 t="s">
        <v>52</v>
      </c>
      <c r="BA818" s="12" t="str">
        <f>IF(AZ818="high","high","lower")</f>
        <v>high</v>
      </c>
      <c r="BB818" s="47">
        <v>0.92500000000000004</v>
      </c>
      <c r="BC818" s="12">
        <v>85.3</v>
      </c>
      <c r="BD818" s="12">
        <v>96.3</v>
      </c>
      <c r="BE818" s="12">
        <v>91.7</v>
      </c>
      <c r="BF818" s="12">
        <v>80</v>
      </c>
      <c r="BG818" s="18" t="s">
        <v>1034</v>
      </c>
      <c r="BH818" s="18" t="s">
        <v>1031</v>
      </c>
    </row>
    <row r="819" spans="1:60" ht="15.75" customHeight="1" x14ac:dyDescent="0.2">
      <c r="A819" s="11">
        <v>822</v>
      </c>
      <c r="B819" s="22">
        <v>3241</v>
      </c>
      <c r="C819" s="13" t="s">
        <v>940</v>
      </c>
      <c r="D819" s="13" t="s">
        <v>119</v>
      </c>
      <c r="E819" s="13">
        <v>2014</v>
      </c>
      <c r="F819" s="13">
        <v>2014</v>
      </c>
      <c r="G819" s="13" t="s">
        <v>77</v>
      </c>
      <c r="H819" s="13" t="s">
        <v>823</v>
      </c>
      <c r="I819" s="13" t="s">
        <v>70</v>
      </c>
      <c r="J819" s="13" t="s">
        <v>119</v>
      </c>
      <c r="K819" s="13"/>
      <c r="L819" s="15" t="s">
        <v>41</v>
      </c>
      <c r="M819" s="15" t="s">
        <v>41</v>
      </c>
      <c r="N819" s="13" t="s">
        <v>41</v>
      </c>
      <c r="O819" s="14"/>
      <c r="P819" s="12">
        <v>0</v>
      </c>
      <c r="Q819" s="12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2">
        <v>1</v>
      </c>
      <c r="AC819" s="13">
        <v>72</v>
      </c>
      <c r="AD819" s="12"/>
      <c r="AE819" s="12"/>
      <c r="AF819" s="12">
        <v>28.5</v>
      </c>
      <c r="AG819" s="12">
        <v>13.25</v>
      </c>
      <c r="AH819" s="12">
        <v>49.75</v>
      </c>
      <c r="AI819" s="12"/>
      <c r="AJ819" s="12"/>
      <c r="AK819" s="12"/>
      <c r="AL819" s="12" t="str">
        <f>IF(AF819="", "mean", "med")</f>
        <v>med</v>
      </c>
      <c r="AM819" s="12">
        <f>IF(AF819="", AD819, AF819)</f>
        <v>28.5</v>
      </c>
      <c r="AN819" s="12">
        <v>0</v>
      </c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 t="s">
        <v>52</v>
      </c>
      <c r="BA819" s="12" t="str">
        <f>IF(AZ819="high","high","lower")</f>
        <v>high</v>
      </c>
      <c r="BB819" s="47">
        <v>0.92500000000000004</v>
      </c>
      <c r="BC819" s="12">
        <v>85.3</v>
      </c>
      <c r="BD819" s="12">
        <v>96.3</v>
      </c>
      <c r="BE819" s="12">
        <v>91.7</v>
      </c>
      <c r="BF819" s="12">
        <v>80</v>
      </c>
      <c r="BG819" s="18" t="s">
        <v>1034</v>
      </c>
      <c r="BH819" s="18" t="s">
        <v>1031</v>
      </c>
    </row>
    <row r="820" spans="1:60" ht="15.75" customHeight="1" x14ac:dyDescent="0.2">
      <c r="A820" s="11">
        <v>823</v>
      </c>
      <c r="B820" s="22">
        <v>3241</v>
      </c>
      <c r="C820" s="13" t="s">
        <v>940</v>
      </c>
      <c r="D820" s="13" t="s">
        <v>255</v>
      </c>
      <c r="E820" s="13">
        <v>2014</v>
      </c>
      <c r="F820" s="13">
        <v>2014</v>
      </c>
      <c r="G820" s="13" t="s">
        <v>77</v>
      </c>
      <c r="H820" s="13" t="s">
        <v>823</v>
      </c>
      <c r="I820" s="13" t="s">
        <v>94</v>
      </c>
      <c r="J820" s="13" t="s">
        <v>255</v>
      </c>
      <c r="K820" s="13"/>
      <c r="L820" s="15" t="s">
        <v>41</v>
      </c>
      <c r="M820" s="15" t="s">
        <v>41</v>
      </c>
      <c r="N820" s="13" t="s">
        <v>41</v>
      </c>
      <c r="O820" s="13"/>
      <c r="P820" s="12">
        <v>0</v>
      </c>
      <c r="Q820" s="12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2">
        <v>1</v>
      </c>
      <c r="AC820" s="13">
        <v>14</v>
      </c>
      <c r="AD820" s="12"/>
      <c r="AE820" s="12"/>
      <c r="AF820" s="12">
        <v>25</v>
      </c>
      <c r="AG820" s="12">
        <v>8.75</v>
      </c>
      <c r="AH820" s="12">
        <v>84.5</v>
      </c>
      <c r="AI820" s="12"/>
      <c r="AJ820" s="12"/>
      <c r="AK820" s="12"/>
      <c r="AL820" s="12" t="str">
        <f>IF(AF820="", "mean", "med")</f>
        <v>med</v>
      </c>
      <c r="AM820" s="12">
        <f>IF(AF820="", AD820, AF820)</f>
        <v>25</v>
      </c>
      <c r="AN820" s="12">
        <v>0</v>
      </c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 t="s">
        <v>52</v>
      </c>
      <c r="BA820" s="12" t="str">
        <f>IF(AZ820="high","high","lower")</f>
        <v>high</v>
      </c>
      <c r="BB820" s="47">
        <v>0.92500000000000004</v>
      </c>
      <c r="BC820" s="12">
        <v>85.3</v>
      </c>
      <c r="BD820" s="12">
        <v>96.3</v>
      </c>
      <c r="BE820" s="12">
        <v>91.7</v>
      </c>
      <c r="BF820" s="12">
        <v>80</v>
      </c>
      <c r="BG820" s="18" t="s">
        <v>1034</v>
      </c>
      <c r="BH820" s="18" t="s">
        <v>1031</v>
      </c>
    </row>
    <row r="821" spans="1:60" ht="15.75" customHeight="1" x14ac:dyDescent="0.2">
      <c r="A821" s="11">
        <v>824</v>
      </c>
      <c r="B821" s="22">
        <v>3241</v>
      </c>
      <c r="C821" s="13" t="s">
        <v>940</v>
      </c>
      <c r="D821" s="13" t="s">
        <v>224</v>
      </c>
      <c r="E821" s="13">
        <v>2014</v>
      </c>
      <c r="F821" s="13">
        <v>2014</v>
      </c>
      <c r="G821" s="13" t="s">
        <v>77</v>
      </c>
      <c r="H821" s="13" t="s">
        <v>823</v>
      </c>
      <c r="I821" s="13" t="s">
        <v>79</v>
      </c>
      <c r="J821" s="13" t="s">
        <v>229</v>
      </c>
      <c r="K821" s="14" t="s">
        <v>224</v>
      </c>
      <c r="L821" s="15" t="s">
        <v>41</v>
      </c>
      <c r="M821" s="15" t="s">
        <v>41</v>
      </c>
      <c r="N821" s="13" t="s">
        <v>41</v>
      </c>
      <c r="O821" s="13"/>
      <c r="P821" s="12">
        <v>0</v>
      </c>
      <c r="Q821" s="12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2">
        <v>1</v>
      </c>
      <c r="AC821" s="13">
        <v>57</v>
      </c>
      <c r="AD821" s="12"/>
      <c r="AE821" s="12"/>
      <c r="AF821" s="12">
        <v>26</v>
      </c>
      <c r="AG821" s="12">
        <v>17</v>
      </c>
      <c r="AH821" s="12">
        <v>58.5</v>
      </c>
      <c r="AI821" s="12"/>
      <c r="AJ821" s="12"/>
      <c r="AK821" s="12"/>
      <c r="AL821" s="12" t="str">
        <f>IF(AF821="", "mean", "med")</f>
        <v>med</v>
      </c>
      <c r="AM821" s="12">
        <f>IF(AF821="", AD821, AF821)</f>
        <v>26</v>
      </c>
      <c r="AN821" s="12">
        <v>0</v>
      </c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 t="s">
        <v>52</v>
      </c>
      <c r="BA821" s="12" t="str">
        <f>IF(AZ821="high","high","lower")</f>
        <v>high</v>
      </c>
      <c r="BB821" s="47">
        <v>0.92500000000000004</v>
      </c>
      <c r="BC821" s="12">
        <v>85.3</v>
      </c>
      <c r="BD821" s="12">
        <v>96.3</v>
      </c>
      <c r="BE821" s="12">
        <v>91.7</v>
      </c>
      <c r="BF821" s="12">
        <v>80</v>
      </c>
      <c r="BG821" s="18" t="s">
        <v>1034</v>
      </c>
      <c r="BH821" s="18" t="s">
        <v>1031</v>
      </c>
    </row>
    <row r="822" spans="1:60" ht="15.75" customHeight="1" x14ac:dyDescent="0.2">
      <c r="A822" s="11">
        <v>825</v>
      </c>
      <c r="B822" s="22">
        <v>3241</v>
      </c>
      <c r="C822" s="13" t="s">
        <v>940</v>
      </c>
      <c r="D822" s="13" t="s">
        <v>236</v>
      </c>
      <c r="E822" s="13">
        <v>2014</v>
      </c>
      <c r="F822" s="13">
        <v>2014</v>
      </c>
      <c r="G822" s="14" t="s">
        <v>77</v>
      </c>
      <c r="H822" s="14" t="s">
        <v>823</v>
      </c>
      <c r="I822" s="13" t="s">
        <v>79</v>
      </c>
      <c r="J822" s="31" t="s">
        <v>236</v>
      </c>
      <c r="K822" s="13"/>
      <c r="L822" s="15" t="s">
        <v>41</v>
      </c>
      <c r="M822" s="15" t="s">
        <v>41</v>
      </c>
      <c r="N822" s="13" t="s">
        <v>41</v>
      </c>
      <c r="O822" s="13"/>
      <c r="P822" s="12">
        <v>0</v>
      </c>
      <c r="Q822" s="12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2">
        <v>1</v>
      </c>
      <c r="AC822" s="13">
        <v>41</v>
      </c>
      <c r="AD822" s="12"/>
      <c r="AE822" s="12"/>
      <c r="AF822" s="12">
        <v>35</v>
      </c>
      <c r="AG822" s="12">
        <v>13.5</v>
      </c>
      <c r="AH822" s="12">
        <v>80.5</v>
      </c>
      <c r="AI822" s="12"/>
      <c r="AJ822" s="12"/>
      <c r="AK822" s="12"/>
      <c r="AL822" s="12" t="str">
        <f>IF(AF822="", "mean", "med")</f>
        <v>med</v>
      </c>
      <c r="AM822" s="12">
        <f>IF(AF822="", AD822, AF822)</f>
        <v>35</v>
      </c>
      <c r="AN822" s="12">
        <v>0</v>
      </c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 t="s">
        <v>52</v>
      </c>
      <c r="BA822" s="12" t="str">
        <f>IF(AZ822="high","high","lower")</f>
        <v>high</v>
      </c>
      <c r="BB822" s="47">
        <v>0.92500000000000004</v>
      </c>
      <c r="BC822" s="12">
        <v>85.3</v>
      </c>
      <c r="BD822" s="12">
        <v>96.3</v>
      </c>
      <c r="BE822" s="12">
        <v>91.7</v>
      </c>
      <c r="BF822" s="12">
        <v>80</v>
      </c>
      <c r="BG822" s="18" t="s">
        <v>1034</v>
      </c>
      <c r="BH822" s="18" t="s">
        <v>1031</v>
      </c>
    </row>
    <row r="823" spans="1:60" ht="15.75" customHeight="1" x14ac:dyDescent="0.2">
      <c r="A823" s="11">
        <v>826</v>
      </c>
      <c r="B823" s="22">
        <v>3241</v>
      </c>
      <c r="C823" s="13" t="s">
        <v>940</v>
      </c>
      <c r="D823" s="13" t="s">
        <v>989</v>
      </c>
      <c r="E823" s="13">
        <v>2014</v>
      </c>
      <c r="F823" s="13">
        <v>2014</v>
      </c>
      <c r="G823" s="13" t="s">
        <v>77</v>
      </c>
      <c r="H823" s="13" t="s">
        <v>823</v>
      </c>
      <c r="I823" s="13" t="s">
        <v>989</v>
      </c>
      <c r="J823" s="13" t="s">
        <v>989</v>
      </c>
      <c r="K823" s="13"/>
      <c r="L823" s="15" t="s">
        <v>41</v>
      </c>
      <c r="M823" s="15" t="s">
        <v>41</v>
      </c>
      <c r="N823" s="13" t="s">
        <v>41</v>
      </c>
      <c r="O823" s="13"/>
      <c r="P823" s="12">
        <v>0</v>
      </c>
      <c r="Q823" s="12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2">
        <v>1</v>
      </c>
      <c r="AC823" s="13">
        <v>72</v>
      </c>
      <c r="AD823" s="12"/>
      <c r="AE823" s="12"/>
      <c r="AF823" s="12">
        <v>30.5</v>
      </c>
      <c r="AG823" s="12">
        <v>13.25</v>
      </c>
      <c r="AH823" s="12">
        <v>66.75</v>
      </c>
      <c r="AI823" s="12"/>
      <c r="AJ823" s="12"/>
      <c r="AK823" s="12"/>
      <c r="AL823" s="12" t="str">
        <f>IF(AF823="", "mean", "med")</f>
        <v>med</v>
      </c>
      <c r="AM823" s="12">
        <f>IF(AF823="", AD823, AF823)</f>
        <v>30.5</v>
      </c>
      <c r="AN823" s="12">
        <v>0</v>
      </c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 t="s">
        <v>52</v>
      </c>
      <c r="BA823" s="12" t="str">
        <f>IF(AZ823="high","high","lower")</f>
        <v>high</v>
      </c>
      <c r="BB823" s="47">
        <v>0.92500000000000004</v>
      </c>
      <c r="BC823" s="12">
        <v>85.3</v>
      </c>
      <c r="BD823" s="12">
        <v>96.3</v>
      </c>
      <c r="BE823" s="12">
        <v>91.7</v>
      </c>
      <c r="BF823" s="12">
        <v>80</v>
      </c>
      <c r="BG823" s="18" t="s">
        <v>1034</v>
      </c>
      <c r="BH823" s="18" t="s">
        <v>1031</v>
      </c>
    </row>
    <row r="824" spans="1:60" ht="15.75" customHeight="1" x14ac:dyDescent="0.2">
      <c r="A824" s="11">
        <v>827</v>
      </c>
      <c r="B824" s="22">
        <v>3241</v>
      </c>
      <c r="C824" s="13" t="s">
        <v>940</v>
      </c>
      <c r="D824" s="13" t="s">
        <v>104</v>
      </c>
      <c r="E824" s="13">
        <v>2014</v>
      </c>
      <c r="F824" s="13">
        <v>2014</v>
      </c>
      <c r="G824" s="13" t="s">
        <v>77</v>
      </c>
      <c r="H824" s="13" t="s">
        <v>823</v>
      </c>
      <c r="I824" s="13" t="s">
        <v>104</v>
      </c>
      <c r="J824" s="13" t="s">
        <v>104</v>
      </c>
      <c r="K824" s="13" t="s">
        <v>990</v>
      </c>
      <c r="L824" s="15" t="s">
        <v>41</v>
      </c>
      <c r="M824" s="19" t="s">
        <v>41</v>
      </c>
      <c r="N824" s="13" t="s">
        <v>41</v>
      </c>
      <c r="O824" s="14"/>
      <c r="P824" s="12">
        <v>0</v>
      </c>
      <c r="Q824" s="12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2">
        <v>1</v>
      </c>
      <c r="AC824" s="13">
        <v>60</v>
      </c>
      <c r="AD824" s="12"/>
      <c r="AE824" s="12"/>
      <c r="AF824" s="12">
        <v>28.5</v>
      </c>
      <c r="AG824" s="12">
        <v>13.25</v>
      </c>
      <c r="AH824" s="12">
        <v>49.75</v>
      </c>
      <c r="AI824" s="12"/>
      <c r="AJ824" s="12"/>
      <c r="AK824" s="12"/>
      <c r="AL824" s="12" t="str">
        <f>IF(AF824="", "mean", "med")</f>
        <v>med</v>
      </c>
      <c r="AM824" s="12">
        <f>IF(AF824="", AD824, AF824)</f>
        <v>28.5</v>
      </c>
      <c r="AN824" s="12">
        <v>0</v>
      </c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 t="s">
        <v>52</v>
      </c>
      <c r="BA824" s="12" t="str">
        <f>IF(AZ824="high","high","lower")</f>
        <v>high</v>
      </c>
      <c r="BB824" s="47">
        <v>0.92500000000000004</v>
      </c>
      <c r="BC824" s="12">
        <v>85.3</v>
      </c>
      <c r="BD824" s="12">
        <v>96.3</v>
      </c>
      <c r="BE824" s="12">
        <v>91.7</v>
      </c>
      <c r="BF824" s="12">
        <v>80</v>
      </c>
      <c r="BG824" s="18" t="s">
        <v>1034</v>
      </c>
      <c r="BH824" s="18" t="s">
        <v>1031</v>
      </c>
    </row>
    <row r="825" spans="1:60" ht="15.75" customHeight="1" x14ac:dyDescent="0.2">
      <c r="A825" s="11">
        <v>828</v>
      </c>
      <c r="B825" s="12">
        <v>3241</v>
      </c>
      <c r="C825" s="13" t="s">
        <v>940</v>
      </c>
      <c r="D825" s="14" t="s">
        <v>206</v>
      </c>
      <c r="E825" s="13">
        <v>2014</v>
      </c>
      <c r="F825" s="13">
        <v>2014</v>
      </c>
      <c r="G825" s="13" t="s">
        <v>77</v>
      </c>
      <c r="H825" s="13" t="s">
        <v>823</v>
      </c>
      <c r="I825" s="13" t="s">
        <v>104</v>
      </c>
      <c r="J825" s="13" t="s">
        <v>206</v>
      </c>
      <c r="K825" s="14"/>
      <c r="L825" s="15" t="s">
        <v>41</v>
      </c>
      <c r="M825" s="15" t="s">
        <v>41</v>
      </c>
      <c r="N825" s="13" t="s">
        <v>41</v>
      </c>
      <c r="O825" s="14"/>
      <c r="P825" s="12">
        <v>0</v>
      </c>
      <c r="Q825" s="12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2">
        <v>1</v>
      </c>
      <c r="AC825" s="13">
        <v>32</v>
      </c>
      <c r="AD825" s="12"/>
      <c r="AE825" s="12"/>
      <c r="AF825" s="12">
        <v>30</v>
      </c>
      <c r="AG825" s="12">
        <v>10.75</v>
      </c>
      <c r="AH825" s="12">
        <v>53.75</v>
      </c>
      <c r="AI825" s="12"/>
      <c r="AJ825" s="12"/>
      <c r="AK825" s="12"/>
      <c r="AL825" s="12" t="str">
        <f>IF(AF825="", "mean", "med")</f>
        <v>med</v>
      </c>
      <c r="AM825" s="12">
        <f>IF(AF825="", AD825, AF825)</f>
        <v>30</v>
      </c>
      <c r="AN825" s="12">
        <v>0</v>
      </c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 t="s">
        <v>52</v>
      </c>
      <c r="BA825" s="12" t="str">
        <f>IF(AZ825="high","high","lower")</f>
        <v>high</v>
      </c>
      <c r="BB825" s="47">
        <v>0.92500000000000004</v>
      </c>
      <c r="BC825" s="12">
        <v>85.3</v>
      </c>
      <c r="BD825" s="12">
        <v>96.3</v>
      </c>
      <c r="BE825" s="12">
        <v>91.7</v>
      </c>
      <c r="BF825" s="12">
        <v>80</v>
      </c>
      <c r="BG825" s="18" t="s">
        <v>1034</v>
      </c>
      <c r="BH825" s="18" t="s">
        <v>1031</v>
      </c>
    </row>
    <row r="826" spans="1:60" ht="15.75" customHeight="1" x14ac:dyDescent="0.2">
      <c r="A826" s="11">
        <v>829</v>
      </c>
      <c r="B826" s="12">
        <v>3241</v>
      </c>
      <c r="C826" s="13" t="s">
        <v>940</v>
      </c>
      <c r="D826" s="14" t="s">
        <v>288</v>
      </c>
      <c r="E826" s="13">
        <v>2014</v>
      </c>
      <c r="F826" s="13">
        <v>2014</v>
      </c>
      <c r="G826" s="13" t="s">
        <v>77</v>
      </c>
      <c r="H826" s="13" t="s">
        <v>823</v>
      </c>
      <c r="I826" s="13" t="s">
        <v>54</v>
      </c>
      <c r="J826" s="13" t="s">
        <v>229</v>
      </c>
      <c r="K826" s="14" t="s">
        <v>288</v>
      </c>
      <c r="L826" s="15" t="s">
        <v>41</v>
      </c>
      <c r="M826" s="15" t="s">
        <v>41</v>
      </c>
      <c r="N826" s="13" t="s">
        <v>41</v>
      </c>
      <c r="O826" s="13"/>
      <c r="P826" s="12">
        <v>0</v>
      </c>
      <c r="Q826" s="12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2">
        <v>1</v>
      </c>
      <c r="AC826" s="13">
        <v>45</v>
      </c>
      <c r="AD826" s="12"/>
      <c r="AE826" s="12"/>
      <c r="AF826" s="12">
        <v>7</v>
      </c>
      <c r="AG826" s="12">
        <v>1</v>
      </c>
      <c r="AH826" s="12">
        <v>88</v>
      </c>
      <c r="AI826" s="12"/>
      <c r="AJ826" s="12"/>
      <c r="AK826" s="12"/>
      <c r="AL826" s="12" t="str">
        <f>IF(AF826="", "mean", "med")</f>
        <v>med</v>
      </c>
      <c r="AM826" s="12">
        <f>IF(AF826="", AD826, AF826)</f>
        <v>7</v>
      </c>
      <c r="AN826" s="12">
        <v>0</v>
      </c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 t="s">
        <v>52</v>
      </c>
      <c r="BA826" s="12" t="str">
        <f>IF(AZ826="high","high","lower")</f>
        <v>high</v>
      </c>
      <c r="BB826" s="47">
        <v>0.92500000000000004</v>
      </c>
      <c r="BC826" s="12">
        <v>85.3</v>
      </c>
      <c r="BD826" s="12">
        <v>96.3</v>
      </c>
      <c r="BE826" s="12">
        <v>91.7</v>
      </c>
      <c r="BF826" s="12">
        <v>80</v>
      </c>
      <c r="BG826" s="18" t="s">
        <v>1034</v>
      </c>
      <c r="BH826" s="18" t="s">
        <v>1031</v>
      </c>
    </row>
    <row r="827" spans="1:60" ht="15.75" customHeight="1" x14ac:dyDescent="0.2">
      <c r="A827" s="11">
        <v>830</v>
      </c>
      <c r="B827" s="12">
        <v>3241</v>
      </c>
      <c r="C827" s="13" t="s">
        <v>940</v>
      </c>
      <c r="D827" s="13" t="s">
        <v>60</v>
      </c>
      <c r="E827" s="13">
        <v>2014</v>
      </c>
      <c r="F827" s="13">
        <v>2014</v>
      </c>
      <c r="G827" s="13" t="s">
        <v>77</v>
      </c>
      <c r="H827" s="13" t="s">
        <v>823</v>
      </c>
      <c r="I827" s="13" t="s">
        <v>59</v>
      </c>
      <c r="J827" s="13" t="s">
        <v>60</v>
      </c>
      <c r="K827" s="13"/>
      <c r="L827" s="19" t="s">
        <v>41</v>
      </c>
      <c r="M827" s="19" t="s">
        <v>41</v>
      </c>
      <c r="N827" s="13" t="s">
        <v>41</v>
      </c>
      <c r="O827" s="14"/>
      <c r="P827" s="12">
        <v>0</v>
      </c>
      <c r="Q827" s="12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2">
        <v>1</v>
      </c>
      <c r="AC827" s="13">
        <v>175</v>
      </c>
      <c r="AD827" s="12"/>
      <c r="AE827" s="12"/>
      <c r="AF827" s="12">
        <v>58</v>
      </c>
      <c r="AG827" s="12">
        <v>26</v>
      </c>
      <c r="AH827" s="12">
        <v>93</v>
      </c>
      <c r="AI827" s="12"/>
      <c r="AJ827" s="12"/>
      <c r="AK827" s="12"/>
      <c r="AL827" s="12" t="str">
        <f>IF(AF827="", "mean", "med")</f>
        <v>med</v>
      </c>
      <c r="AM827" s="12">
        <f>IF(AF827="", AD827, AF827)</f>
        <v>58</v>
      </c>
      <c r="AN827" s="12">
        <v>0</v>
      </c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 t="s">
        <v>52</v>
      </c>
      <c r="BA827" s="12" t="str">
        <f>IF(AZ827="high","high","lower")</f>
        <v>high</v>
      </c>
      <c r="BB827" s="47">
        <v>0.92500000000000004</v>
      </c>
      <c r="BC827" s="12">
        <v>85.3</v>
      </c>
      <c r="BD827" s="12">
        <v>96.3</v>
      </c>
      <c r="BE827" s="12">
        <v>91.7</v>
      </c>
      <c r="BF827" s="12">
        <v>80</v>
      </c>
      <c r="BG827" s="18" t="s">
        <v>1034</v>
      </c>
      <c r="BH827" s="18" t="s">
        <v>1031</v>
      </c>
    </row>
    <row r="828" spans="1:60" ht="15.75" customHeight="1" x14ac:dyDescent="0.2">
      <c r="A828" s="11">
        <v>831</v>
      </c>
      <c r="B828" s="12">
        <v>3241</v>
      </c>
      <c r="C828" s="13" t="s">
        <v>940</v>
      </c>
      <c r="D828" s="14" t="s">
        <v>227</v>
      </c>
      <c r="E828" s="13">
        <v>2014</v>
      </c>
      <c r="F828" s="13">
        <v>2014</v>
      </c>
      <c r="G828" s="13" t="s">
        <v>77</v>
      </c>
      <c r="H828" s="13" t="s">
        <v>823</v>
      </c>
      <c r="I828" s="13" t="s">
        <v>54</v>
      </c>
      <c r="J828" s="13" t="s">
        <v>227</v>
      </c>
      <c r="K828" s="14"/>
      <c r="L828" s="15" t="s">
        <v>41</v>
      </c>
      <c r="M828" s="15" t="s">
        <v>41</v>
      </c>
      <c r="N828" s="13" t="s">
        <v>41</v>
      </c>
      <c r="O828" s="13"/>
      <c r="P828" s="12">
        <v>0</v>
      </c>
      <c r="Q828" s="22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2">
        <v>1</v>
      </c>
      <c r="AC828" s="13">
        <v>69</v>
      </c>
      <c r="AD828" s="12"/>
      <c r="AE828" s="12"/>
      <c r="AF828" s="12">
        <v>36</v>
      </c>
      <c r="AG828" s="12">
        <v>17.5</v>
      </c>
      <c r="AH828" s="12">
        <v>70.5</v>
      </c>
      <c r="AI828" s="12"/>
      <c r="AJ828" s="12"/>
      <c r="AK828" s="12"/>
      <c r="AL828" s="12" t="str">
        <f>IF(AF828="", "mean", "med")</f>
        <v>med</v>
      </c>
      <c r="AM828" s="12">
        <f>IF(AF828="", AD828, AF828)</f>
        <v>36</v>
      </c>
      <c r="AN828" s="12">
        <v>0</v>
      </c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 t="s">
        <v>52</v>
      </c>
      <c r="BA828" s="12" t="str">
        <f>IF(AZ828="high","high","lower")</f>
        <v>high</v>
      </c>
      <c r="BB828" s="47">
        <v>0.92500000000000004</v>
      </c>
      <c r="BC828" s="12">
        <v>85.3</v>
      </c>
      <c r="BD828" s="12">
        <v>96.3</v>
      </c>
      <c r="BE828" s="12">
        <v>91.7</v>
      </c>
      <c r="BF828" s="12">
        <v>80</v>
      </c>
      <c r="BG828" s="18" t="s">
        <v>1034</v>
      </c>
      <c r="BH828" s="18" t="s">
        <v>1031</v>
      </c>
    </row>
    <row r="829" spans="1:60" ht="15.75" customHeight="1" x14ac:dyDescent="0.2">
      <c r="A829" s="11">
        <v>832</v>
      </c>
      <c r="B829" s="12">
        <v>3241</v>
      </c>
      <c r="C829" s="13" t="s">
        <v>940</v>
      </c>
      <c r="D829" s="13" t="s">
        <v>320</v>
      </c>
      <c r="E829" s="13">
        <v>2014</v>
      </c>
      <c r="F829" s="13">
        <v>2014</v>
      </c>
      <c r="G829" s="13" t="s">
        <v>77</v>
      </c>
      <c r="H829" s="13" t="s">
        <v>823</v>
      </c>
      <c r="I829" s="13" t="s">
        <v>59</v>
      </c>
      <c r="J829" s="13" t="s">
        <v>320</v>
      </c>
      <c r="K829" s="13"/>
      <c r="L829" s="19" t="s">
        <v>41</v>
      </c>
      <c r="M829" s="15" t="s">
        <v>41</v>
      </c>
      <c r="N829" s="13" t="s">
        <v>41</v>
      </c>
      <c r="O829" s="14"/>
      <c r="P829" s="12">
        <v>0</v>
      </c>
      <c r="Q829" s="22"/>
      <c r="R829" s="21"/>
      <c r="S829" s="21"/>
      <c r="T829" s="17"/>
      <c r="U829" s="17"/>
      <c r="V829" s="17"/>
      <c r="W829" s="17"/>
      <c r="X829" s="17"/>
      <c r="Y829" s="17"/>
      <c r="Z829" s="17"/>
      <c r="AA829" s="17"/>
      <c r="AB829" s="12">
        <v>1</v>
      </c>
      <c r="AC829" s="13">
        <v>50</v>
      </c>
      <c r="AD829" s="12"/>
      <c r="AE829" s="12"/>
      <c r="AF829" s="12">
        <v>43.5</v>
      </c>
      <c r="AG829" s="12">
        <v>12.5</v>
      </c>
      <c r="AH829" s="12">
        <v>110.5</v>
      </c>
      <c r="AI829" s="12"/>
      <c r="AJ829" s="12"/>
      <c r="AK829" s="12"/>
      <c r="AL829" s="12" t="str">
        <f>IF(AF829="", "mean", "med")</f>
        <v>med</v>
      </c>
      <c r="AM829" s="12">
        <f>IF(AF829="", AD829, AF829)</f>
        <v>43.5</v>
      </c>
      <c r="AN829" s="12">
        <v>0</v>
      </c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 t="s">
        <v>52</v>
      </c>
      <c r="BA829" s="12" t="str">
        <f>IF(AZ829="high","high","lower")</f>
        <v>high</v>
      </c>
      <c r="BB829" s="47">
        <v>0.92500000000000004</v>
      </c>
      <c r="BC829" s="12">
        <v>85.3</v>
      </c>
      <c r="BD829" s="12">
        <v>96.3</v>
      </c>
      <c r="BE829" s="12">
        <v>91.7</v>
      </c>
      <c r="BF829" s="12">
        <v>80</v>
      </c>
      <c r="BG829" s="18" t="s">
        <v>1034</v>
      </c>
      <c r="BH829" s="18" t="s">
        <v>1031</v>
      </c>
    </row>
    <row r="830" spans="1:60" ht="15.75" customHeight="1" x14ac:dyDescent="0.2">
      <c r="A830" s="11">
        <v>833</v>
      </c>
      <c r="B830" s="12">
        <v>3241</v>
      </c>
      <c r="C830" s="13" t="s">
        <v>940</v>
      </c>
      <c r="D830" s="13" t="s">
        <v>387</v>
      </c>
      <c r="E830" s="13">
        <v>2014</v>
      </c>
      <c r="F830" s="13">
        <v>2014</v>
      </c>
      <c r="G830" s="13" t="s">
        <v>77</v>
      </c>
      <c r="H830" s="13" t="s">
        <v>823</v>
      </c>
      <c r="I830" s="13" t="s">
        <v>54</v>
      </c>
      <c r="J830" s="13" t="s">
        <v>229</v>
      </c>
      <c r="K830" s="14" t="s">
        <v>387</v>
      </c>
      <c r="L830" s="15" t="s">
        <v>41</v>
      </c>
      <c r="M830" s="15" t="s">
        <v>41</v>
      </c>
      <c r="N830" s="13" t="s">
        <v>41</v>
      </c>
      <c r="O830" s="14"/>
      <c r="P830" s="12">
        <v>0</v>
      </c>
      <c r="Q830" s="12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2">
        <v>1</v>
      </c>
      <c r="AC830" s="13">
        <v>46</v>
      </c>
      <c r="AD830" s="12"/>
      <c r="AE830" s="12"/>
      <c r="AF830" s="12">
        <v>42</v>
      </c>
      <c r="AG830" s="12">
        <v>18.5</v>
      </c>
      <c r="AH830" s="12">
        <v>99</v>
      </c>
      <c r="AI830" s="12"/>
      <c r="AJ830" s="12"/>
      <c r="AK830" s="12"/>
      <c r="AL830" s="12" t="str">
        <f>IF(AF830="", "mean", "med")</f>
        <v>med</v>
      </c>
      <c r="AM830" s="12">
        <f>IF(AF830="", AD830, AF830)</f>
        <v>42</v>
      </c>
      <c r="AN830" s="12">
        <v>0</v>
      </c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 t="s">
        <v>52</v>
      </c>
      <c r="BA830" s="12" t="str">
        <f>IF(AZ830="high","high","lower")</f>
        <v>high</v>
      </c>
      <c r="BB830" s="47">
        <v>0.92500000000000004</v>
      </c>
      <c r="BC830" s="12">
        <v>85.3</v>
      </c>
      <c r="BD830" s="12">
        <v>96.3</v>
      </c>
      <c r="BE830" s="12">
        <v>91.7</v>
      </c>
      <c r="BF830" s="12">
        <v>80</v>
      </c>
      <c r="BG830" s="18" t="s">
        <v>1034</v>
      </c>
      <c r="BH830" s="18" t="s">
        <v>1031</v>
      </c>
    </row>
    <row r="831" spans="1:60" ht="15.75" customHeight="1" x14ac:dyDescent="0.2">
      <c r="A831" s="11">
        <v>834</v>
      </c>
      <c r="B831" s="12">
        <v>3279</v>
      </c>
      <c r="C831" s="13" t="s">
        <v>991</v>
      </c>
      <c r="D831" s="14" t="s">
        <v>288</v>
      </c>
      <c r="E831" s="13">
        <v>2001</v>
      </c>
      <c r="F831" s="13">
        <v>2002</v>
      </c>
      <c r="G831" s="13" t="s">
        <v>77</v>
      </c>
      <c r="H831" s="13"/>
      <c r="I831" s="13" t="s">
        <v>54</v>
      </c>
      <c r="J831" s="13" t="s">
        <v>229</v>
      </c>
      <c r="K831" s="14" t="s">
        <v>288</v>
      </c>
      <c r="L831" s="15">
        <v>51.5</v>
      </c>
      <c r="M831" s="28">
        <v>71.599999999999994</v>
      </c>
      <c r="N831" s="13" t="s">
        <v>99</v>
      </c>
      <c r="O831" s="13"/>
      <c r="P831" s="12">
        <v>0</v>
      </c>
      <c r="Q831" s="12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2">
        <v>1</v>
      </c>
      <c r="AC831" s="13">
        <v>429</v>
      </c>
      <c r="AD831" s="12">
        <v>108.3</v>
      </c>
      <c r="AE831" s="12">
        <v>103.1</v>
      </c>
      <c r="AF831" s="12">
        <v>67</v>
      </c>
      <c r="AG831" s="12">
        <v>29</v>
      </c>
      <c r="AH831" s="12">
        <v>163</v>
      </c>
      <c r="AI831" s="12"/>
      <c r="AJ831" s="12"/>
      <c r="AK831" s="12"/>
      <c r="AL831" s="12" t="str">
        <f>IF(AF831="", "mean", "med")</f>
        <v>med</v>
      </c>
      <c r="AM831" s="12">
        <f>IF(AF831="", AD831, AF831)</f>
        <v>67</v>
      </c>
      <c r="AN831" s="12">
        <v>0</v>
      </c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 t="s">
        <v>52</v>
      </c>
      <c r="BA831" s="12" t="str">
        <f>IF(AZ831="high","high","lower")</f>
        <v>high</v>
      </c>
      <c r="BB831" s="47">
        <v>0.88</v>
      </c>
      <c r="BC831" s="12">
        <v>85.3</v>
      </c>
      <c r="BD831" s="12">
        <v>96.3</v>
      </c>
      <c r="BE831" s="12">
        <v>91.7</v>
      </c>
      <c r="BF831" s="12">
        <v>80</v>
      </c>
      <c r="BG831" s="18" t="s">
        <v>1034</v>
      </c>
      <c r="BH831" s="18" t="s">
        <v>1031</v>
      </c>
    </row>
    <row r="832" spans="1:60" ht="15.75" customHeight="1" x14ac:dyDescent="0.2">
      <c r="A832" s="11">
        <v>835</v>
      </c>
      <c r="B832" s="22">
        <v>3279</v>
      </c>
      <c r="C832" s="13" t="s">
        <v>991</v>
      </c>
      <c r="D832" s="13" t="s">
        <v>224</v>
      </c>
      <c r="E832" s="13">
        <v>2001</v>
      </c>
      <c r="F832" s="13">
        <v>2002</v>
      </c>
      <c r="G832" s="13" t="s">
        <v>77</v>
      </c>
      <c r="H832" s="13"/>
      <c r="I832" s="13" t="s">
        <v>54</v>
      </c>
      <c r="J832" s="13" t="s">
        <v>229</v>
      </c>
      <c r="K832" s="14" t="s">
        <v>224</v>
      </c>
      <c r="L832" s="15">
        <v>37.5</v>
      </c>
      <c r="M832" s="26">
        <v>71.599999999999994</v>
      </c>
      <c r="N832" s="13" t="s">
        <v>99</v>
      </c>
      <c r="O832" s="13"/>
      <c r="P832" s="12">
        <v>0</v>
      </c>
      <c r="Q832" s="12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2">
        <v>1</v>
      </c>
      <c r="AC832" s="13">
        <v>672</v>
      </c>
      <c r="AD832" s="12">
        <v>116.9</v>
      </c>
      <c r="AE832" s="12">
        <v>107.4</v>
      </c>
      <c r="AF832" s="12">
        <v>72</v>
      </c>
      <c r="AG832" s="12">
        <v>31</v>
      </c>
      <c r="AH832" s="12">
        <v>189</v>
      </c>
      <c r="AI832" s="12"/>
      <c r="AJ832" s="12"/>
      <c r="AK832" s="12"/>
      <c r="AL832" s="12" t="str">
        <f>IF(AF832="", "mean", "med")</f>
        <v>med</v>
      </c>
      <c r="AM832" s="12">
        <f>IF(AF832="", AD832, AF832)</f>
        <v>72</v>
      </c>
      <c r="AN832" s="12">
        <v>0</v>
      </c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 t="s">
        <v>52</v>
      </c>
      <c r="BA832" s="12" t="str">
        <f>IF(AZ832="high","high","lower")</f>
        <v>high</v>
      </c>
      <c r="BB832" s="47">
        <v>0.88</v>
      </c>
      <c r="BC832" s="12">
        <v>85.3</v>
      </c>
      <c r="BD832" s="12">
        <v>96.3</v>
      </c>
      <c r="BE832" s="12">
        <v>91.7</v>
      </c>
      <c r="BF832" s="12">
        <v>80</v>
      </c>
      <c r="BG832" s="18" t="s">
        <v>1034</v>
      </c>
      <c r="BH832" s="18" t="s">
        <v>1031</v>
      </c>
    </row>
    <row r="833" spans="1:60" ht="15.75" customHeight="1" x14ac:dyDescent="0.2">
      <c r="A833" s="11">
        <v>836</v>
      </c>
      <c r="B833" s="12">
        <v>3279</v>
      </c>
      <c r="C833" s="13" t="s">
        <v>991</v>
      </c>
      <c r="D833" s="13" t="s">
        <v>226</v>
      </c>
      <c r="E833" s="13">
        <v>2001</v>
      </c>
      <c r="F833" s="13">
        <v>2002</v>
      </c>
      <c r="G833" s="13" t="s">
        <v>77</v>
      </c>
      <c r="H833" s="13"/>
      <c r="I833" s="13" t="s">
        <v>54</v>
      </c>
      <c r="J833" s="13" t="s">
        <v>226</v>
      </c>
      <c r="K833" s="14"/>
      <c r="L833" s="15">
        <v>38</v>
      </c>
      <c r="M833" s="28">
        <v>72.8</v>
      </c>
      <c r="N833" s="13" t="s">
        <v>99</v>
      </c>
      <c r="O833" s="13"/>
      <c r="P833" s="12">
        <v>0</v>
      </c>
      <c r="Q833" s="12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2">
        <v>1</v>
      </c>
      <c r="AC833" s="13">
        <v>535</v>
      </c>
      <c r="AD833" s="12">
        <v>135.5</v>
      </c>
      <c r="AE833" s="12">
        <v>108.4</v>
      </c>
      <c r="AF833" s="12">
        <v>101</v>
      </c>
      <c r="AG833" s="12">
        <v>43</v>
      </c>
      <c r="AH833" s="12">
        <v>220</v>
      </c>
      <c r="AI833" s="12"/>
      <c r="AJ833" s="12"/>
      <c r="AK833" s="12"/>
      <c r="AL833" s="12" t="str">
        <f>IF(AF833="", "mean", "med")</f>
        <v>med</v>
      </c>
      <c r="AM833" s="12">
        <f>IF(AF833="", AD833, AF833)</f>
        <v>101</v>
      </c>
      <c r="AN833" s="12">
        <v>0</v>
      </c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 t="s">
        <v>52</v>
      </c>
      <c r="BA833" s="12" t="str">
        <f>IF(AZ833="high","high","lower")</f>
        <v>high</v>
      </c>
      <c r="BB833" s="47">
        <v>0.88</v>
      </c>
      <c r="BC833" s="12">
        <v>85.3</v>
      </c>
      <c r="BD833" s="12">
        <v>96.3</v>
      </c>
      <c r="BE833" s="12">
        <v>91.7</v>
      </c>
      <c r="BF833" s="12">
        <v>80</v>
      </c>
      <c r="BG833" s="18" t="s">
        <v>1034</v>
      </c>
      <c r="BH833" s="18" t="s">
        <v>1031</v>
      </c>
    </row>
    <row r="834" spans="1:60" ht="15.75" customHeight="1" x14ac:dyDescent="0.2">
      <c r="A834" s="11">
        <v>837</v>
      </c>
      <c r="B834" s="12">
        <v>3279</v>
      </c>
      <c r="C834" s="13" t="s">
        <v>991</v>
      </c>
      <c r="D834" s="13" t="s">
        <v>298</v>
      </c>
      <c r="E834" s="13">
        <v>2001</v>
      </c>
      <c r="F834" s="13">
        <v>2002</v>
      </c>
      <c r="G834" s="13" t="s">
        <v>77</v>
      </c>
      <c r="H834" s="13"/>
      <c r="I834" s="13" t="s">
        <v>104</v>
      </c>
      <c r="J834" s="13" t="s">
        <v>298</v>
      </c>
      <c r="K834" s="14"/>
      <c r="L834" s="19">
        <v>100</v>
      </c>
      <c r="M834" s="28">
        <v>66.900000000000006</v>
      </c>
      <c r="N834" s="13" t="s">
        <v>99</v>
      </c>
      <c r="O834" s="13"/>
      <c r="P834" s="12">
        <v>0</v>
      </c>
      <c r="Q834" s="22"/>
      <c r="R834" s="17"/>
      <c r="S834" s="17"/>
      <c r="T834" s="17"/>
      <c r="U834" s="17"/>
      <c r="V834" s="17"/>
      <c r="W834" s="17"/>
      <c r="X834" s="21"/>
      <c r="Y834" s="21"/>
      <c r="Z834" s="17"/>
      <c r="AA834" s="17"/>
      <c r="AB834" s="12">
        <v>1</v>
      </c>
      <c r="AC834" s="13">
        <v>232</v>
      </c>
      <c r="AD834" s="12">
        <v>109.6</v>
      </c>
      <c r="AE834" s="12">
        <v>86.8</v>
      </c>
      <c r="AF834" s="12">
        <v>85</v>
      </c>
      <c r="AG834" s="12">
        <v>43</v>
      </c>
      <c r="AH834" s="12">
        <v>154</v>
      </c>
      <c r="AI834" s="12"/>
      <c r="AJ834" s="12"/>
      <c r="AK834" s="12"/>
      <c r="AL834" s="12" t="str">
        <f>IF(AF834="", "mean", "med")</f>
        <v>med</v>
      </c>
      <c r="AM834" s="12">
        <f>IF(AF834="", AD834, AF834)</f>
        <v>85</v>
      </c>
      <c r="AN834" s="12">
        <v>0</v>
      </c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 t="s">
        <v>52</v>
      </c>
      <c r="BA834" s="12" t="str">
        <f>IF(AZ834="high","high","lower")</f>
        <v>high</v>
      </c>
      <c r="BB834" s="47">
        <v>0.88</v>
      </c>
      <c r="BC834" s="12">
        <v>85.3</v>
      </c>
      <c r="BD834" s="12">
        <v>96.3</v>
      </c>
      <c r="BE834" s="12">
        <v>91.7</v>
      </c>
      <c r="BF834" s="12">
        <v>80</v>
      </c>
      <c r="BG834" s="18" t="s">
        <v>1034</v>
      </c>
      <c r="BH834" s="18" t="s">
        <v>1031</v>
      </c>
    </row>
    <row r="835" spans="1:60" ht="15.75" customHeight="1" x14ac:dyDescent="0.2">
      <c r="A835" s="11">
        <v>838</v>
      </c>
      <c r="B835" s="12">
        <v>3279</v>
      </c>
      <c r="C835" s="13" t="s">
        <v>991</v>
      </c>
      <c r="D835" s="14" t="s">
        <v>105</v>
      </c>
      <c r="E835" s="13">
        <v>2001</v>
      </c>
      <c r="F835" s="13">
        <v>2002</v>
      </c>
      <c r="G835" s="13" t="s">
        <v>77</v>
      </c>
      <c r="H835" s="13"/>
      <c r="I835" s="13" t="s">
        <v>104</v>
      </c>
      <c r="J835" s="13" t="s">
        <v>105</v>
      </c>
      <c r="K835" s="14"/>
      <c r="L835" s="15">
        <v>100</v>
      </c>
      <c r="M835" s="26">
        <v>60.6</v>
      </c>
      <c r="N835" s="13" t="s">
        <v>99</v>
      </c>
      <c r="O835" s="13"/>
      <c r="P835" s="12">
        <v>0</v>
      </c>
      <c r="Q835" s="22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2">
        <v>1</v>
      </c>
      <c r="AC835" s="13">
        <v>77</v>
      </c>
      <c r="AD835" s="12">
        <v>110.2</v>
      </c>
      <c r="AE835" s="12">
        <v>96.6</v>
      </c>
      <c r="AF835" s="12">
        <v>75</v>
      </c>
      <c r="AG835" s="12">
        <v>37</v>
      </c>
      <c r="AH835" s="12">
        <v>162</v>
      </c>
      <c r="AI835" s="12"/>
      <c r="AJ835" s="12"/>
      <c r="AK835" s="12"/>
      <c r="AL835" s="12" t="str">
        <f>IF(AF835="", "mean", "med")</f>
        <v>med</v>
      </c>
      <c r="AM835" s="12">
        <f>IF(AF835="", AD835, AF835)</f>
        <v>75</v>
      </c>
      <c r="AN835" s="12">
        <v>0</v>
      </c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 t="s">
        <v>52</v>
      </c>
      <c r="BA835" s="12" t="str">
        <f>IF(AZ835="high","high","lower")</f>
        <v>high</v>
      </c>
      <c r="BB835" s="47">
        <v>0.88</v>
      </c>
      <c r="BC835" s="12">
        <v>85.3</v>
      </c>
      <c r="BD835" s="12">
        <v>96.3</v>
      </c>
      <c r="BE835" s="12">
        <v>91.7</v>
      </c>
      <c r="BF835" s="12">
        <v>80</v>
      </c>
      <c r="BG835" s="18" t="s">
        <v>1034</v>
      </c>
      <c r="BH835" s="18" t="s">
        <v>1031</v>
      </c>
    </row>
    <row r="836" spans="1:60" ht="15.75" customHeight="1" x14ac:dyDescent="0.2">
      <c r="A836" s="11">
        <v>839</v>
      </c>
      <c r="B836" s="22">
        <v>3279</v>
      </c>
      <c r="C836" s="13" t="s">
        <v>991</v>
      </c>
      <c r="D836" s="13" t="s">
        <v>209</v>
      </c>
      <c r="E836" s="13">
        <v>2001</v>
      </c>
      <c r="F836" s="13">
        <v>2002</v>
      </c>
      <c r="G836" s="13" t="s">
        <v>77</v>
      </c>
      <c r="H836" s="13"/>
      <c r="I836" s="13" t="s">
        <v>59</v>
      </c>
      <c r="J836" s="13" t="s">
        <v>320</v>
      </c>
      <c r="K836" s="14"/>
      <c r="L836" s="15">
        <v>39.6</v>
      </c>
      <c r="M836" s="26">
        <v>67.2</v>
      </c>
      <c r="N836" s="13" t="s">
        <v>99</v>
      </c>
      <c r="O836" s="13"/>
      <c r="P836" s="12">
        <v>0</v>
      </c>
      <c r="Q836" s="12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2">
        <v>1</v>
      </c>
      <c r="AC836" s="13">
        <v>120</v>
      </c>
      <c r="AD836" s="12">
        <v>136.19999999999999</v>
      </c>
      <c r="AE836" s="12">
        <v>101</v>
      </c>
      <c r="AF836" s="12">
        <v>120</v>
      </c>
      <c r="AG836" s="12">
        <v>50</v>
      </c>
      <c r="AH836" s="12">
        <v>211</v>
      </c>
      <c r="AI836" s="12"/>
      <c r="AJ836" s="12"/>
      <c r="AK836" s="12"/>
      <c r="AL836" s="12" t="str">
        <f>IF(AF836="", "mean", "med")</f>
        <v>med</v>
      </c>
      <c r="AM836" s="12">
        <f>IF(AF836="", AD836, AF836)</f>
        <v>120</v>
      </c>
      <c r="AN836" s="12">
        <v>0</v>
      </c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 t="s">
        <v>52</v>
      </c>
      <c r="BA836" s="12" t="str">
        <f>IF(AZ836="high","high","lower")</f>
        <v>high</v>
      </c>
      <c r="BB836" s="47">
        <v>0.88</v>
      </c>
      <c r="BC836" s="12">
        <v>85.3</v>
      </c>
      <c r="BD836" s="12">
        <v>96.3</v>
      </c>
      <c r="BE836" s="12">
        <v>91.7</v>
      </c>
      <c r="BF836" s="12">
        <v>80</v>
      </c>
      <c r="BG836" s="18" t="s">
        <v>1034</v>
      </c>
      <c r="BH836" s="18" t="s">
        <v>1031</v>
      </c>
    </row>
    <row r="837" spans="1:60" ht="15.75" customHeight="1" x14ac:dyDescent="0.2">
      <c r="A837" s="11">
        <v>840</v>
      </c>
      <c r="B837" s="12">
        <v>3279</v>
      </c>
      <c r="C837" s="13" t="s">
        <v>991</v>
      </c>
      <c r="D837" s="13" t="s">
        <v>82</v>
      </c>
      <c r="E837" s="13">
        <v>2001</v>
      </c>
      <c r="F837" s="13">
        <v>2002</v>
      </c>
      <c r="G837" s="13" t="s">
        <v>77</v>
      </c>
      <c r="H837" s="13"/>
      <c r="I837" s="13" t="s">
        <v>59</v>
      </c>
      <c r="J837" s="13" t="s">
        <v>82</v>
      </c>
      <c r="K837" s="14"/>
      <c r="L837" s="15">
        <v>25</v>
      </c>
      <c r="M837" s="26">
        <v>72.599999999999994</v>
      </c>
      <c r="N837" s="13" t="s">
        <v>99</v>
      </c>
      <c r="O837" s="13"/>
      <c r="P837" s="12">
        <v>0</v>
      </c>
      <c r="Q837" s="22"/>
      <c r="R837" s="21"/>
      <c r="S837" s="17"/>
      <c r="T837" s="17"/>
      <c r="U837" s="17"/>
      <c r="V837" s="17"/>
      <c r="W837" s="17"/>
      <c r="X837" s="17"/>
      <c r="Y837" s="17"/>
      <c r="Z837" s="17"/>
      <c r="AA837" s="17"/>
      <c r="AB837" s="12">
        <v>1</v>
      </c>
      <c r="AC837" s="13">
        <v>664</v>
      </c>
      <c r="AD837" s="12">
        <v>134.4</v>
      </c>
      <c r="AE837" s="12">
        <v>101</v>
      </c>
      <c r="AF837" s="12">
        <v>107</v>
      </c>
      <c r="AG837" s="12">
        <v>52</v>
      </c>
      <c r="AH837" s="12">
        <v>214</v>
      </c>
      <c r="AI837" s="12"/>
      <c r="AJ837" s="12"/>
      <c r="AK837" s="12"/>
      <c r="AL837" s="12" t="str">
        <f>IF(AF837="", "mean", "med")</f>
        <v>med</v>
      </c>
      <c r="AM837" s="12">
        <f>IF(AF837="", AD837, AF837)</f>
        <v>107</v>
      </c>
      <c r="AN837" s="12">
        <v>0</v>
      </c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 t="s">
        <v>52</v>
      </c>
      <c r="BA837" s="12" t="str">
        <f>IF(AZ837="high","high","lower")</f>
        <v>high</v>
      </c>
      <c r="BB837" s="47">
        <v>0.88</v>
      </c>
      <c r="BC837" s="12">
        <v>85.3</v>
      </c>
      <c r="BD837" s="12">
        <v>96.3</v>
      </c>
      <c r="BE837" s="12">
        <v>91.7</v>
      </c>
      <c r="BF837" s="12">
        <v>80</v>
      </c>
      <c r="BG837" s="18" t="s">
        <v>1034</v>
      </c>
      <c r="BH837" s="18" t="s">
        <v>1031</v>
      </c>
    </row>
    <row r="838" spans="1:60" ht="15.75" customHeight="1" x14ac:dyDescent="0.2">
      <c r="A838" s="11">
        <v>841</v>
      </c>
      <c r="B838" s="12">
        <v>3279</v>
      </c>
      <c r="C838" s="13" t="s">
        <v>991</v>
      </c>
      <c r="D838" s="13" t="s">
        <v>154</v>
      </c>
      <c r="E838" s="13">
        <v>2001</v>
      </c>
      <c r="F838" s="13">
        <v>2002</v>
      </c>
      <c r="G838" s="13" t="s">
        <v>77</v>
      </c>
      <c r="H838" s="13"/>
      <c r="I838" s="13" t="s">
        <v>59</v>
      </c>
      <c r="J838" s="13" t="s">
        <v>154</v>
      </c>
      <c r="K838" s="14"/>
      <c r="L838" s="15">
        <v>0</v>
      </c>
      <c r="M838" s="26">
        <v>51</v>
      </c>
      <c r="N838" s="13" t="s">
        <v>99</v>
      </c>
      <c r="O838" s="13"/>
      <c r="P838" s="12">
        <v>0</v>
      </c>
      <c r="Q838" s="12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2">
        <v>1</v>
      </c>
      <c r="AC838" s="13">
        <v>34</v>
      </c>
      <c r="AD838" s="12">
        <v>75.599999999999994</v>
      </c>
      <c r="AE838" s="12">
        <v>68.7</v>
      </c>
      <c r="AF838" s="12">
        <v>53</v>
      </c>
      <c r="AG838" s="12">
        <v>25</v>
      </c>
      <c r="AH838" s="12">
        <v>104</v>
      </c>
      <c r="AI838" s="12"/>
      <c r="AJ838" s="12"/>
      <c r="AK838" s="12"/>
      <c r="AL838" s="12" t="str">
        <f>IF(AF838="", "mean", "med")</f>
        <v>med</v>
      </c>
      <c r="AM838" s="12">
        <f>IF(AF838="", AD838, AF838)</f>
        <v>53</v>
      </c>
      <c r="AN838" s="12">
        <v>0</v>
      </c>
      <c r="AO838" s="12"/>
      <c r="AP838" s="12"/>
      <c r="AQ838" s="12"/>
      <c r="AR838" s="12"/>
      <c r="AS838" s="12"/>
      <c r="AT838" s="12"/>
      <c r="AU838" s="12"/>
      <c r="AV838" s="12"/>
      <c r="AW838" s="22"/>
      <c r="AX838" s="12"/>
      <c r="AY838" s="12"/>
      <c r="AZ838" s="12" t="s">
        <v>52</v>
      </c>
      <c r="BA838" s="12" t="str">
        <f>IF(AZ838="high","high","lower")</f>
        <v>high</v>
      </c>
      <c r="BB838" s="47">
        <v>0.88</v>
      </c>
      <c r="BC838" s="12">
        <v>85.3</v>
      </c>
      <c r="BD838" s="12">
        <v>96.3</v>
      </c>
      <c r="BE838" s="12">
        <v>91.7</v>
      </c>
      <c r="BF838" s="12">
        <v>80</v>
      </c>
      <c r="BG838" s="18" t="s">
        <v>1034</v>
      </c>
      <c r="BH838" s="18" t="s">
        <v>1031</v>
      </c>
    </row>
    <row r="839" spans="1:60" ht="15.75" customHeight="1" x14ac:dyDescent="0.2">
      <c r="A839" s="11">
        <v>842</v>
      </c>
      <c r="B839" s="12">
        <v>3279</v>
      </c>
      <c r="C839" s="13" t="s">
        <v>991</v>
      </c>
      <c r="D839" s="13" t="s">
        <v>79</v>
      </c>
      <c r="E839" s="13">
        <v>2001</v>
      </c>
      <c r="F839" s="13">
        <v>2002</v>
      </c>
      <c r="G839" s="13" t="s">
        <v>77</v>
      </c>
      <c r="H839" s="13"/>
      <c r="I839" s="13" t="s">
        <v>79</v>
      </c>
      <c r="J839" s="13" t="s">
        <v>79</v>
      </c>
      <c r="K839" s="14"/>
      <c r="L839" s="15">
        <v>32.9</v>
      </c>
      <c r="M839" s="26">
        <v>68.3</v>
      </c>
      <c r="N839" s="13" t="s">
        <v>99</v>
      </c>
      <c r="O839" s="14"/>
      <c r="P839" s="12">
        <v>0</v>
      </c>
      <c r="Q839" s="12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2">
        <v>1</v>
      </c>
      <c r="AC839" s="13">
        <v>155</v>
      </c>
      <c r="AD839" s="12">
        <v>141.69999999999999</v>
      </c>
      <c r="AE839" s="12">
        <v>107.1</v>
      </c>
      <c r="AF839" s="12">
        <v>113</v>
      </c>
      <c r="AG839" s="12">
        <v>59</v>
      </c>
      <c r="AH839" s="12">
        <v>212</v>
      </c>
      <c r="AI839" s="12"/>
      <c r="AJ839" s="12"/>
      <c r="AK839" s="12"/>
      <c r="AL839" s="12" t="str">
        <f>IF(AF839="", "mean", "med")</f>
        <v>med</v>
      </c>
      <c r="AM839" s="12">
        <f>IF(AF839="", AD839, AF839)</f>
        <v>113</v>
      </c>
      <c r="AN839" s="12">
        <v>0</v>
      </c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 t="s">
        <v>52</v>
      </c>
      <c r="BA839" s="12" t="str">
        <f>IF(AZ839="high","high","lower")</f>
        <v>high</v>
      </c>
      <c r="BB839" s="47">
        <v>0.88</v>
      </c>
      <c r="BC839" s="12">
        <v>85.3</v>
      </c>
      <c r="BD839" s="12">
        <v>96.3</v>
      </c>
      <c r="BE839" s="12">
        <v>91.7</v>
      </c>
      <c r="BF839" s="12">
        <v>80</v>
      </c>
      <c r="BG839" s="18" t="s">
        <v>1034</v>
      </c>
      <c r="BH839" s="18" t="s">
        <v>1031</v>
      </c>
    </row>
    <row r="840" spans="1:60" ht="15.75" customHeight="1" x14ac:dyDescent="0.2">
      <c r="A840" s="11">
        <v>843</v>
      </c>
      <c r="B840" s="22">
        <v>3279</v>
      </c>
      <c r="C840" s="13" t="s">
        <v>991</v>
      </c>
      <c r="D840" s="13" t="s">
        <v>95</v>
      </c>
      <c r="E840" s="13">
        <v>2001</v>
      </c>
      <c r="F840" s="13">
        <v>2002</v>
      </c>
      <c r="G840" s="13" t="s">
        <v>77</v>
      </c>
      <c r="H840" s="13"/>
      <c r="I840" s="13" t="s">
        <v>94</v>
      </c>
      <c r="J840" s="13" t="s">
        <v>95</v>
      </c>
      <c r="K840" s="14"/>
      <c r="L840" s="15">
        <v>47.6</v>
      </c>
      <c r="M840" s="26">
        <v>67.5</v>
      </c>
      <c r="N840" s="13" t="s">
        <v>99</v>
      </c>
      <c r="O840" s="13"/>
      <c r="P840" s="12">
        <v>0</v>
      </c>
      <c r="Q840" s="12"/>
      <c r="R840" s="17"/>
      <c r="S840" s="17"/>
      <c r="T840" s="17"/>
      <c r="U840" s="17"/>
      <c r="V840" s="17"/>
      <c r="W840" s="21"/>
      <c r="X840" s="17"/>
      <c r="Y840" s="17"/>
      <c r="Z840" s="17"/>
      <c r="AA840" s="17"/>
      <c r="AB840" s="12">
        <v>1</v>
      </c>
      <c r="AC840" s="13">
        <v>288</v>
      </c>
      <c r="AD840" s="12">
        <v>143.19999999999999</v>
      </c>
      <c r="AE840" s="12">
        <v>110.8</v>
      </c>
      <c r="AF840" s="12">
        <v>109</v>
      </c>
      <c r="AG840" s="12">
        <v>50</v>
      </c>
      <c r="AH840" s="12">
        <v>229</v>
      </c>
      <c r="AI840" s="12"/>
      <c r="AJ840" s="12"/>
      <c r="AK840" s="12"/>
      <c r="AL840" s="12" t="str">
        <f>IF(AF840="", "mean", "med")</f>
        <v>med</v>
      </c>
      <c r="AM840" s="12">
        <f>IF(AF840="", AD840, AF840)</f>
        <v>109</v>
      </c>
      <c r="AN840" s="12">
        <v>0</v>
      </c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 t="s">
        <v>52</v>
      </c>
      <c r="BA840" s="12" t="str">
        <f>IF(AZ840="high","high","lower")</f>
        <v>high</v>
      </c>
      <c r="BB840" s="49">
        <v>0.88</v>
      </c>
      <c r="BC840" s="12">
        <v>85.3</v>
      </c>
      <c r="BD840" s="12">
        <v>96.3</v>
      </c>
      <c r="BE840" s="12">
        <v>91.7</v>
      </c>
      <c r="BF840" s="12">
        <v>80</v>
      </c>
      <c r="BG840" s="18" t="s">
        <v>1034</v>
      </c>
      <c r="BH840" s="18" t="s">
        <v>1031</v>
      </c>
    </row>
    <row r="841" spans="1:60" ht="15.75" customHeight="1" x14ac:dyDescent="0.2">
      <c r="A841" s="11">
        <v>844</v>
      </c>
      <c r="B841" s="12">
        <v>3279</v>
      </c>
      <c r="C841" s="13" t="s">
        <v>991</v>
      </c>
      <c r="D841" s="14" t="s">
        <v>299</v>
      </c>
      <c r="E841" s="13">
        <v>2001</v>
      </c>
      <c r="F841" s="13">
        <v>2002</v>
      </c>
      <c r="G841" s="13" t="s">
        <v>77</v>
      </c>
      <c r="H841" s="13"/>
      <c r="I841" s="13" t="s">
        <v>94</v>
      </c>
      <c r="J841" s="13" t="s">
        <v>299</v>
      </c>
      <c r="K841" s="14"/>
      <c r="L841" s="19">
        <v>44.1</v>
      </c>
      <c r="M841" s="26">
        <v>70.3</v>
      </c>
      <c r="N841" s="13" t="s">
        <v>99</v>
      </c>
      <c r="O841" s="14"/>
      <c r="P841" s="12">
        <v>0</v>
      </c>
      <c r="Q841" s="12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2">
        <v>1</v>
      </c>
      <c r="AC841" s="13">
        <v>178</v>
      </c>
      <c r="AD841" s="12">
        <v>125.3</v>
      </c>
      <c r="AE841" s="12">
        <v>112.7</v>
      </c>
      <c r="AF841" s="12">
        <v>88</v>
      </c>
      <c r="AG841" s="12">
        <v>27</v>
      </c>
      <c r="AH841" s="12">
        <v>199</v>
      </c>
      <c r="AI841" s="12"/>
      <c r="AJ841" s="12"/>
      <c r="AK841" s="12"/>
      <c r="AL841" s="12" t="str">
        <f>IF(AF841="", "mean", "med")</f>
        <v>med</v>
      </c>
      <c r="AM841" s="12">
        <f>IF(AF841="", AD841, AF841)</f>
        <v>88</v>
      </c>
      <c r="AN841" s="12">
        <v>0</v>
      </c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 t="s">
        <v>52</v>
      </c>
      <c r="BA841" s="12" t="str">
        <f>IF(AZ841="high","high","lower")</f>
        <v>high</v>
      </c>
      <c r="BB841" s="49">
        <v>0.88</v>
      </c>
      <c r="BC841" s="12">
        <v>85.3</v>
      </c>
      <c r="BD841" s="12">
        <v>96.3</v>
      </c>
      <c r="BE841" s="12">
        <v>91.7</v>
      </c>
      <c r="BF841" s="12">
        <v>80</v>
      </c>
      <c r="BG841" s="18" t="s">
        <v>1034</v>
      </c>
      <c r="BH841" s="18" t="s">
        <v>1031</v>
      </c>
    </row>
    <row r="842" spans="1:60" ht="15.75" customHeight="1" x14ac:dyDescent="0.2">
      <c r="A842" s="11">
        <v>845</v>
      </c>
      <c r="B842" s="22">
        <v>3279</v>
      </c>
      <c r="C842" s="13" t="s">
        <v>991</v>
      </c>
      <c r="D842" s="13" t="s">
        <v>255</v>
      </c>
      <c r="E842" s="13">
        <v>2001</v>
      </c>
      <c r="F842" s="13">
        <v>2002</v>
      </c>
      <c r="G842" s="13" t="s">
        <v>77</v>
      </c>
      <c r="H842" s="13"/>
      <c r="I842" s="13" t="s">
        <v>94</v>
      </c>
      <c r="J842" s="13" t="s">
        <v>255</v>
      </c>
      <c r="K842" s="14"/>
      <c r="L842" s="15">
        <v>47.4</v>
      </c>
      <c r="M842" s="26">
        <v>72</v>
      </c>
      <c r="N842" s="13" t="s">
        <v>99</v>
      </c>
      <c r="O842" s="13"/>
      <c r="P842" s="12">
        <v>0</v>
      </c>
      <c r="Q842" s="22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2">
        <v>1</v>
      </c>
      <c r="AC842" s="13">
        <v>221</v>
      </c>
      <c r="AD842" s="12">
        <v>161.5</v>
      </c>
      <c r="AE842" s="12">
        <v>112.3</v>
      </c>
      <c r="AF842" s="12">
        <v>144</v>
      </c>
      <c r="AG842" s="12">
        <v>56</v>
      </c>
      <c r="AH842" s="12">
        <v>264</v>
      </c>
      <c r="AI842" s="12"/>
      <c r="AJ842" s="12"/>
      <c r="AK842" s="12"/>
      <c r="AL842" s="12" t="str">
        <f>IF(AF842="", "mean", "med")</f>
        <v>med</v>
      </c>
      <c r="AM842" s="12">
        <f>IF(AF842="", AD842, AF842)</f>
        <v>144</v>
      </c>
      <c r="AN842" s="12">
        <v>0</v>
      </c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 t="s">
        <v>52</v>
      </c>
      <c r="BA842" s="12" t="str">
        <f>IF(AZ842="high","high","lower")</f>
        <v>high</v>
      </c>
      <c r="BB842" s="49">
        <v>0.88</v>
      </c>
      <c r="BC842" s="12">
        <v>85.3</v>
      </c>
      <c r="BD842" s="12">
        <v>96.3</v>
      </c>
      <c r="BE842" s="12">
        <v>91.7</v>
      </c>
      <c r="BF842" s="12">
        <v>80</v>
      </c>
      <c r="BG842" s="18" t="s">
        <v>1034</v>
      </c>
      <c r="BH842" s="18" t="s">
        <v>1031</v>
      </c>
    </row>
    <row r="843" spans="1:60" ht="15.75" customHeight="1" x14ac:dyDescent="0.2">
      <c r="A843" s="11">
        <v>846</v>
      </c>
      <c r="B843" s="12">
        <v>4275</v>
      </c>
      <c r="C843" s="13" t="s">
        <v>992</v>
      </c>
      <c r="D843" s="14" t="s">
        <v>82</v>
      </c>
      <c r="E843" s="13">
        <v>2014</v>
      </c>
      <c r="F843" s="13">
        <v>2014</v>
      </c>
      <c r="G843" s="13" t="s">
        <v>77</v>
      </c>
      <c r="H843" s="13" t="s">
        <v>78</v>
      </c>
      <c r="I843" s="14" t="s">
        <v>59</v>
      </c>
      <c r="J843" s="13" t="s">
        <v>82</v>
      </c>
      <c r="K843" s="14"/>
      <c r="L843" s="19" t="s">
        <v>41</v>
      </c>
      <c r="M843" s="19" t="s">
        <v>41</v>
      </c>
      <c r="N843" s="13" t="s">
        <v>99</v>
      </c>
      <c r="O843" s="14"/>
      <c r="P843" s="12">
        <v>0</v>
      </c>
      <c r="Q843" s="12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2">
        <v>1</v>
      </c>
      <c r="AC843" s="13">
        <v>405</v>
      </c>
      <c r="AD843" s="12"/>
      <c r="AE843" s="12"/>
      <c r="AF843" s="12">
        <v>56</v>
      </c>
      <c r="AG843" s="12">
        <v>35</v>
      </c>
      <c r="AH843" s="12">
        <v>97</v>
      </c>
      <c r="AI843" s="12"/>
      <c r="AJ843" s="12"/>
      <c r="AK843" s="12"/>
      <c r="AL843" s="12" t="str">
        <f>IF(AF843="", "mean", "med")</f>
        <v>med</v>
      </c>
      <c r="AM843" s="12">
        <f>IF(AF843="", AD843, AF843)</f>
        <v>56</v>
      </c>
      <c r="AN843" s="12">
        <v>0</v>
      </c>
      <c r="AO843" s="22"/>
      <c r="AP843" s="12"/>
      <c r="AQ843" s="12"/>
      <c r="AR843" s="22"/>
      <c r="AS843" s="12"/>
      <c r="AT843" s="12"/>
      <c r="AU843" s="12"/>
      <c r="AV843" s="12"/>
      <c r="AW843" s="12"/>
      <c r="AX843" s="12"/>
      <c r="AY843" s="12"/>
      <c r="AZ843" s="12" t="s">
        <v>52</v>
      </c>
      <c r="BA843" s="12" t="str">
        <f>IF(AZ843="high","high","lower")</f>
        <v>high</v>
      </c>
      <c r="BB843" s="49">
        <v>0.92500000000000004</v>
      </c>
      <c r="BC843" s="12">
        <v>85.3</v>
      </c>
      <c r="BD843" s="12">
        <v>96.3</v>
      </c>
      <c r="BE843" s="12">
        <v>91.7</v>
      </c>
      <c r="BF843" s="12">
        <v>80</v>
      </c>
      <c r="BG843" s="18" t="s">
        <v>1030</v>
      </c>
      <c r="BH843" s="18" t="s">
        <v>1031</v>
      </c>
    </row>
    <row r="844" spans="1:60" ht="15.75" customHeight="1" x14ac:dyDescent="0.2">
      <c r="A844" s="11">
        <v>847</v>
      </c>
      <c r="B844" s="12">
        <v>4275</v>
      </c>
      <c r="C844" s="13" t="s">
        <v>992</v>
      </c>
      <c r="D844" s="13" t="s">
        <v>382</v>
      </c>
      <c r="E844" s="13">
        <v>2014</v>
      </c>
      <c r="F844" s="13">
        <v>2014</v>
      </c>
      <c r="G844" s="13" t="s">
        <v>77</v>
      </c>
      <c r="H844" s="13" t="s">
        <v>78</v>
      </c>
      <c r="I844" s="13" t="s">
        <v>324</v>
      </c>
      <c r="J844" s="13" t="s">
        <v>382</v>
      </c>
      <c r="K844" s="13"/>
      <c r="L844" s="19" t="s">
        <v>41</v>
      </c>
      <c r="M844" s="15" t="s">
        <v>41</v>
      </c>
      <c r="N844" s="13" t="s">
        <v>99</v>
      </c>
      <c r="O844" s="14"/>
      <c r="P844" s="12">
        <v>0</v>
      </c>
      <c r="Q844" s="12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2">
        <v>1</v>
      </c>
      <c r="AC844" s="13">
        <v>221</v>
      </c>
      <c r="AD844" s="12"/>
      <c r="AE844" s="12"/>
      <c r="AF844" s="12">
        <v>29</v>
      </c>
      <c r="AG844" s="12">
        <v>10</v>
      </c>
      <c r="AH844" s="12">
        <v>67</v>
      </c>
      <c r="AI844" s="12"/>
      <c r="AJ844" s="12"/>
      <c r="AK844" s="12"/>
      <c r="AL844" s="12" t="str">
        <f>IF(AF844="", "mean", "med")</f>
        <v>med</v>
      </c>
      <c r="AM844" s="12">
        <f>IF(AF844="", AD844, AF844)</f>
        <v>29</v>
      </c>
      <c r="AN844" s="12">
        <v>0</v>
      </c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 t="s">
        <v>52</v>
      </c>
      <c r="BA844" s="12" t="str">
        <f>IF(AZ844="high","high","lower")</f>
        <v>high</v>
      </c>
      <c r="BB844" s="49">
        <v>0.92500000000000004</v>
      </c>
      <c r="BC844" s="12">
        <v>85.3</v>
      </c>
      <c r="BD844" s="12">
        <v>96.3</v>
      </c>
      <c r="BE844" s="12">
        <v>91.7</v>
      </c>
      <c r="BF844" s="12">
        <v>80</v>
      </c>
      <c r="BG844" s="18" t="s">
        <v>1030</v>
      </c>
      <c r="BH844" s="18" t="s">
        <v>1031</v>
      </c>
    </row>
    <row r="845" spans="1:60" ht="15.75" customHeight="1" x14ac:dyDescent="0.2">
      <c r="A845" s="11">
        <v>848</v>
      </c>
      <c r="B845" s="22">
        <v>4275</v>
      </c>
      <c r="C845" s="13" t="s">
        <v>992</v>
      </c>
      <c r="D845" s="13" t="s">
        <v>40</v>
      </c>
      <c r="E845" s="13">
        <v>2014</v>
      </c>
      <c r="F845" s="13">
        <v>2014</v>
      </c>
      <c r="G845" s="13" t="s">
        <v>77</v>
      </c>
      <c r="H845" s="13" t="s">
        <v>78</v>
      </c>
      <c r="I845" s="13" t="s">
        <v>40</v>
      </c>
      <c r="J845" s="13" t="s">
        <v>40</v>
      </c>
      <c r="K845" s="13"/>
      <c r="L845" s="15" t="s">
        <v>41</v>
      </c>
      <c r="M845" s="15" t="s">
        <v>41</v>
      </c>
      <c r="N845" s="13" t="s">
        <v>99</v>
      </c>
      <c r="O845" s="14"/>
      <c r="P845" s="12">
        <v>0</v>
      </c>
      <c r="Q845" s="12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2">
        <v>1</v>
      </c>
      <c r="AC845" s="13">
        <v>1534</v>
      </c>
      <c r="AD845" s="12"/>
      <c r="AE845" s="12"/>
      <c r="AF845" s="12">
        <v>14</v>
      </c>
      <c r="AG845" s="12">
        <v>10</v>
      </c>
      <c r="AH845" s="12">
        <v>19</v>
      </c>
      <c r="AI845" s="12"/>
      <c r="AJ845" s="12"/>
      <c r="AK845" s="12"/>
      <c r="AL845" s="12" t="str">
        <f>IF(AF845="", "mean", "med")</f>
        <v>med</v>
      </c>
      <c r="AM845" s="12">
        <f>IF(AF845="", AD845, AF845)</f>
        <v>14</v>
      </c>
      <c r="AN845" s="12">
        <v>0</v>
      </c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 t="s">
        <v>52</v>
      </c>
      <c r="BA845" s="12" t="str">
        <f>IF(AZ845="high","high","lower")</f>
        <v>high</v>
      </c>
      <c r="BB845" s="49">
        <v>0.92500000000000004</v>
      </c>
      <c r="BC845" s="12">
        <v>85.3</v>
      </c>
      <c r="BD845" s="12">
        <v>96.3</v>
      </c>
      <c r="BE845" s="12">
        <v>91.7</v>
      </c>
      <c r="BF845" s="12">
        <v>80</v>
      </c>
      <c r="BG845" s="18" t="s">
        <v>1030</v>
      </c>
      <c r="BH845" s="18" t="s">
        <v>1031</v>
      </c>
    </row>
    <row r="846" spans="1:60" ht="15.75" customHeight="1" x14ac:dyDescent="0.2">
      <c r="A846" s="11">
        <v>849</v>
      </c>
      <c r="B846" s="12">
        <v>4275</v>
      </c>
      <c r="C846" s="13" t="s">
        <v>992</v>
      </c>
      <c r="D846" s="13" t="s">
        <v>385</v>
      </c>
      <c r="E846" s="13">
        <v>2014</v>
      </c>
      <c r="F846" s="13">
        <v>2014</v>
      </c>
      <c r="G846" s="13" t="s">
        <v>77</v>
      </c>
      <c r="H846" s="13" t="s">
        <v>78</v>
      </c>
      <c r="I846" s="13" t="s">
        <v>386</v>
      </c>
      <c r="J846" s="13" t="s">
        <v>385</v>
      </c>
      <c r="K846" s="13"/>
      <c r="L846" s="15" t="s">
        <v>41</v>
      </c>
      <c r="M846" s="15" t="s">
        <v>41</v>
      </c>
      <c r="N846" s="13" t="s">
        <v>99</v>
      </c>
      <c r="O846" s="13"/>
      <c r="P846" s="12">
        <v>0</v>
      </c>
      <c r="Q846" s="12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2">
        <v>1</v>
      </c>
      <c r="AC846" s="13">
        <v>312</v>
      </c>
      <c r="AD846" s="12"/>
      <c r="AE846" s="12"/>
      <c r="AF846" s="12">
        <v>35</v>
      </c>
      <c r="AG846" s="12">
        <v>11.8</v>
      </c>
      <c r="AH846" s="12">
        <v>81.2</v>
      </c>
      <c r="AI846" s="12"/>
      <c r="AJ846" s="12"/>
      <c r="AK846" s="12"/>
      <c r="AL846" s="12" t="str">
        <f>IF(AF846="", "mean", "med")</f>
        <v>med</v>
      </c>
      <c r="AM846" s="12">
        <f>IF(AF846="", AD846, AF846)</f>
        <v>35</v>
      </c>
      <c r="AN846" s="12">
        <v>0</v>
      </c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 t="s">
        <v>52</v>
      </c>
      <c r="BA846" s="12" t="str">
        <f>IF(AZ846="high","high","lower")</f>
        <v>high</v>
      </c>
      <c r="BB846" s="49">
        <v>0.92500000000000004</v>
      </c>
      <c r="BC846" s="12">
        <v>85.3</v>
      </c>
      <c r="BD846" s="12">
        <v>96.3</v>
      </c>
      <c r="BE846" s="12">
        <v>91.7</v>
      </c>
      <c r="BF846" s="12">
        <v>80</v>
      </c>
      <c r="BG846" s="18" t="s">
        <v>1030</v>
      </c>
      <c r="BH846" s="18" t="s">
        <v>1031</v>
      </c>
    </row>
    <row r="847" spans="1:60" ht="15.75" customHeight="1" x14ac:dyDescent="0.2">
      <c r="A847" s="11">
        <v>850</v>
      </c>
      <c r="B847" s="12">
        <v>4275</v>
      </c>
      <c r="C847" s="13" t="s">
        <v>992</v>
      </c>
      <c r="D847" s="13" t="s">
        <v>89</v>
      </c>
      <c r="E847" s="13">
        <v>2014</v>
      </c>
      <c r="F847" s="13">
        <v>2014</v>
      </c>
      <c r="G847" s="13" t="s">
        <v>77</v>
      </c>
      <c r="H847" s="13" t="s">
        <v>78</v>
      </c>
      <c r="I847" s="13" t="s">
        <v>54</v>
      </c>
      <c r="J847" s="13" t="s">
        <v>89</v>
      </c>
      <c r="K847" s="14"/>
      <c r="L847" s="15" t="s">
        <v>41</v>
      </c>
      <c r="M847" s="15" t="s">
        <v>41</v>
      </c>
      <c r="N847" s="13" t="s">
        <v>99</v>
      </c>
      <c r="O847" s="14"/>
      <c r="P847" s="12">
        <v>0</v>
      </c>
      <c r="Q847" s="12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2">
        <v>1</v>
      </c>
      <c r="AC847" s="13">
        <v>1010</v>
      </c>
      <c r="AD847" s="12"/>
      <c r="AE847" s="12"/>
      <c r="AF847" s="12">
        <v>49</v>
      </c>
      <c r="AG847" s="12">
        <v>21</v>
      </c>
      <c r="AH847" s="12">
        <v>105</v>
      </c>
      <c r="AI847" s="12"/>
      <c r="AJ847" s="12"/>
      <c r="AK847" s="12"/>
      <c r="AL847" s="12" t="str">
        <f>IF(AF847="", "mean", "med")</f>
        <v>med</v>
      </c>
      <c r="AM847" s="12">
        <f>IF(AF847="", AD847, AF847)</f>
        <v>49</v>
      </c>
      <c r="AN847" s="12">
        <v>0</v>
      </c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 t="s">
        <v>52</v>
      </c>
      <c r="BA847" s="12" t="str">
        <f>IF(AZ847="high","high","lower")</f>
        <v>high</v>
      </c>
      <c r="BB847" s="49">
        <v>0.92500000000000004</v>
      </c>
      <c r="BC847" s="12">
        <v>85.299999999999898</v>
      </c>
      <c r="BD847" s="12">
        <v>96.299999999999898</v>
      </c>
      <c r="BE847" s="12">
        <v>91.700000000000102</v>
      </c>
      <c r="BF847" s="12">
        <v>80</v>
      </c>
      <c r="BG847" s="18" t="s">
        <v>1030</v>
      </c>
      <c r="BH847" s="18" t="s">
        <v>1031</v>
      </c>
    </row>
    <row r="848" spans="1:60" ht="15.75" customHeight="1" x14ac:dyDescent="0.2">
      <c r="A848" s="11">
        <v>851</v>
      </c>
      <c r="B848" s="12">
        <v>4275</v>
      </c>
      <c r="C848" s="13" t="s">
        <v>992</v>
      </c>
      <c r="D848" s="13" t="s">
        <v>298</v>
      </c>
      <c r="E848" s="13">
        <v>2014</v>
      </c>
      <c r="F848" s="13">
        <v>2014</v>
      </c>
      <c r="G848" s="13" t="s">
        <v>77</v>
      </c>
      <c r="H848" s="13" t="s">
        <v>78</v>
      </c>
      <c r="I848" s="13" t="s">
        <v>104</v>
      </c>
      <c r="J848" s="13" t="s">
        <v>298</v>
      </c>
      <c r="K848" s="13"/>
      <c r="L848" s="19" t="s">
        <v>41</v>
      </c>
      <c r="M848" s="19" t="s">
        <v>41</v>
      </c>
      <c r="N848" s="13" t="s">
        <v>99</v>
      </c>
      <c r="O848" s="14"/>
      <c r="P848" s="12">
        <v>0</v>
      </c>
      <c r="Q848" s="22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2">
        <v>1</v>
      </c>
      <c r="AC848" s="13">
        <v>335</v>
      </c>
      <c r="AD848" s="12"/>
      <c r="AE848" s="12"/>
      <c r="AF848" s="12">
        <v>34</v>
      </c>
      <c r="AG848" s="12">
        <v>14</v>
      </c>
      <c r="AH848" s="12">
        <v>86.5</v>
      </c>
      <c r="AI848" s="12"/>
      <c r="AJ848" s="12"/>
      <c r="AK848" s="12"/>
      <c r="AL848" s="12" t="str">
        <f>IF(AF848="", "mean", "med")</f>
        <v>med</v>
      </c>
      <c r="AM848" s="12">
        <f>IF(AF848="", AD848, AF848)</f>
        <v>34</v>
      </c>
      <c r="AN848" s="12">
        <v>0</v>
      </c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 t="s">
        <v>52</v>
      </c>
      <c r="BA848" s="12" t="str">
        <f>IF(AZ848="high","high","lower")</f>
        <v>high</v>
      </c>
      <c r="BB848" s="49">
        <v>0.92500000000000004</v>
      </c>
      <c r="BC848" s="12">
        <v>85.299999999999898</v>
      </c>
      <c r="BD848" s="12">
        <v>96.299999999999898</v>
      </c>
      <c r="BE848" s="12">
        <v>91.700000000000102</v>
      </c>
      <c r="BF848" s="12">
        <v>80</v>
      </c>
      <c r="BG848" s="18" t="s">
        <v>1030</v>
      </c>
      <c r="BH848" s="18" t="s">
        <v>1031</v>
      </c>
    </row>
    <row r="849" spans="1:60" ht="15.75" customHeight="1" x14ac:dyDescent="0.2">
      <c r="A849" s="11">
        <v>852</v>
      </c>
      <c r="B849" s="12">
        <v>4275</v>
      </c>
      <c r="C849" s="13" t="s">
        <v>992</v>
      </c>
      <c r="D849" s="13" t="s">
        <v>299</v>
      </c>
      <c r="E849" s="13">
        <v>2014</v>
      </c>
      <c r="F849" s="13">
        <v>2014</v>
      </c>
      <c r="G849" s="13" t="s">
        <v>77</v>
      </c>
      <c r="H849" s="13" t="s">
        <v>78</v>
      </c>
      <c r="I849" s="13" t="s">
        <v>94</v>
      </c>
      <c r="J849" s="13" t="s">
        <v>299</v>
      </c>
      <c r="K849" s="13"/>
      <c r="L849" s="15" t="s">
        <v>41</v>
      </c>
      <c r="M849" s="15" t="s">
        <v>41</v>
      </c>
      <c r="N849" s="13" t="s">
        <v>99</v>
      </c>
      <c r="O849" s="14"/>
      <c r="P849" s="12">
        <v>0</v>
      </c>
      <c r="Q849" s="12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2">
        <v>1</v>
      </c>
      <c r="AC849" s="13">
        <v>340</v>
      </c>
      <c r="AD849" s="12"/>
      <c r="AE849" s="12"/>
      <c r="AF849" s="12">
        <v>30</v>
      </c>
      <c r="AG849" s="12">
        <v>6</v>
      </c>
      <c r="AH849" s="12">
        <v>82.5</v>
      </c>
      <c r="AI849" s="12"/>
      <c r="AJ849" s="12"/>
      <c r="AK849" s="12"/>
      <c r="AL849" s="12" t="str">
        <f>IF(AF849="", "mean", "med")</f>
        <v>med</v>
      </c>
      <c r="AM849" s="12">
        <f>IF(AF849="", AD849, AF849)</f>
        <v>30</v>
      </c>
      <c r="AN849" s="12">
        <v>0</v>
      </c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 t="s">
        <v>52</v>
      </c>
      <c r="BA849" s="12" t="str">
        <f>IF(AZ849="high","high","lower")</f>
        <v>high</v>
      </c>
      <c r="BB849" s="49">
        <v>0.92500000000000004</v>
      </c>
      <c r="BC849" s="12">
        <v>85.299999999999798</v>
      </c>
      <c r="BD849" s="12">
        <v>96.299999999999798</v>
      </c>
      <c r="BE849" s="12">
        <v>91.700000000000102</v>
      </c>
      <c r="BF849" s="12">
        <v>80</v>
      </c>
      <c r="BG849" s="18" t="s">
        <v>1030</v>
      </c>
      <c r="BH849" s="18" t="s">
        <v>1031</v>
      </c>
    </row>
    <row r="850" spans="1:60" ht="15.75" customHeight="1" x14ac:dyDescent="0.2">
      <c r="A850" s="11">
        <v>853</v>
      </c>
      <c r="B850" s="12">
        <v>4275</v>
      </c>
      <c r="C850" s="13" t="s">
        <v>992</v>
      </c>
      <c r="D850" s="13" t="s">
        <v>228</v>
      </c>
      <c r="E850" s="13">
        <v>2014</v>
      </c>
      <c r="F850" s="13">
        <v>2014</v>
      </c>
      <c r="G850" s="13" t="s">
        <v>77</v>
      </c>
      <c r="H850" s="13" t="s">
        <v>78</v>
      </c>
      <c r="I850" s="13" t="s">
        <v>54</v>
      </c>
      <c r="J850" s="13" t="s">
        <v>229</v>
      </c>
      <c r="K850" s="13" t="s">
        <v>228</v>
      </c>
      <c r="L850" s="15" t="s">
        <v>41</v>
      </c>
      <c r="M850" s="15" t="s">
        <v>41</v>
      </c>
      <c r="N850" s="13" t="s">
        <v>99</v>
      </c>
      <c r="O850" s="14"/>
      <c r="P850" s="12">
        <v>0</v>
      </c>
      <c r="Q850" s="12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2">
        <v>1</v>
      </c>
      <c r="AC850" s="13">
        <v>207</v>
      </c>
      <c r="AD850" s="12"/>
      <c r="AE850" s="12"/>
      <c r="AF850" s="12">
        <v>31</v>
      </c>
      <c r="AG850" s="12">
        <v>11</v>
      </c>
      <c r="AH850" s="12">
        <v>91</v>
      </c>
      <c r="AI850" s="12"/>
      <c r="AJ850" s="12"/>
      <c r="AK850" s="12"/>
      <c r="AL850" s="12" t="str">
        <f>IF(AF850="", "mean", "med")</f>
        <v>med</v>
      </c>
      <c r="AM850" s="12">
        <f>IF(AF850="", AD850, AF850)</f>
        <v>31</v>
      </c>
      <c r="AN850" s="12">
        <v>0</v>
      </c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 t="s">
        <v>52</v>
      </c>
      <c r="BA850" s="12" t="str">
        <f>IF(AZ850="high","high","lower")</f>
        <v>high</v>
      </c>
      <c r="BB850" s="49">
        <v>0.92500000000000004</v>
      </c>
      <c r="BC850" s="12">
        <v>85.299999999999798</v>
      </c>
      <c r="BD850" s="12">
        <v>96.299999999999798</v>
      </c>
      <c r="BE850" s="12">
        <v>91.700000000000202</v>
      </c>
      <c r="BF850" s="12">
        <v>80</v>
      </c>
      <c r="BG850" s="18" t="s">
        <v>1030</v>
      </c>
      <c r="BH850" s="18" t="s">
        <v>1031</v>
      </c>
    </row>
    <row r="851" spans="1:60" ht="15.75" customHeight="1" x14ac:dyDescent="0.2">
      <c r="A851" s="11">
        <v>854</v>
      </c>
      <c r="B851" s="12">
        <v>4275</v>
      </c>
      <c r="C851" s="13" t="s">
        <v>992</v>
      </c>
      <c r="D851" s="13" t="s">
        <v>58</v>
      </c>
      <c r="E851" s="13">
        <v>2014</v>
      </c>
      <c r="F851" s="13">
        <v>2014</v>
      </c>
      <c r="G851" s="13" t="s">
        <v>77</v>
      </c>
      <c r="H851" s="13" t="s">
        <v>78</v>
      </c>
      <c r="I851" s="13" t="s">
        <v>57</v>
      </c>
      <c r="J851" s="13" t="s">
        <v>58</v>
      </c>
      <c r="K851" s="14"/>
      <c r="L851" s="15" t="s">
        <v>41</v>
      </c>
      <c r="M851" s="15" t="s">
        <v>41</v>
      </c>
      <c r="N851" s="13" t="s">
        <v>99</v>
      </c>
      <c r="O851" s="14"/>
      <c r="P851" s="12">
        <v>0</v>
      </c>
      <c r="Q851" s="12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2">
        <v>1</v>
      </c>
      <c r="AC851" s="13">
        <v>1748</v>
      </c>
      <c r="AD851" s="12"/>
      <c r="AE851" s="12"/>
      <c r="AF851" s="12">
        <v>43</v>
      </c>
      <c r="AG851" s="12">
        <v>20</v>
      </c>
      <c r="AH851" s="12">
        <v>86.2</v>
      </c>
      <c r="AI851" s="12"/>
      <c r="AJ851" s="12"/>
      <c r="AK851" s="12"/>
      <c r="AL851" s="12" t="str">
        <f>IF(AF851="", "mean", "med")</f>
        <v>med</v>
      </c>
      <c r="AM851" s="12">
        <f>IF(AF851="", AD851, AF851)</f>
        <v>43</v>
      </c>
      <c r="AN851" s="12">
        <v>0</v>
      </c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 t="s">
        <v>52</v>
      </c>
      <c r="BA851" s="12" t="str">
        <f>IF(AZ851="high","high","lower")</f>
        <v>high</v>
      </c>
      <c r="BB851" s="49">
        <v>0.92500000000000004</v>
      </c>
      <c r="BC851" s="12">
        <v>85.299999999999798</v>
      </c>
      <c r="BD851" s="12">
        <v>96.299999999999798</v>
      </c>
      <c r="BE851" s="12">
        <v>91.700000000000202</v>
      </c>
      <c r="BF851" s="12">
        <v>80</v>
      </c>
      <c r="BG851" s="18" t="s">
        <v>1030</v>
      </c>
      <c r="BH851" s="18" t="s">
        <v>1031</v>
      </c>
    </row>
    <row r="852" spans="1:60" ht="15.75" customHeight="1" x14ac:dyDescent="0.2">
      <c r="A852" s="11">
        <v>855</v>
      </c>
      <c r="B852" s="22">
        <v>4275</v>
      </c>
      <c r="C852" s="13" t="s">
        <v>992</v>
      </c>
      <c r="D852" s="13" t="s">
        <v>95</v>
      </c>
      <c r="E852" s="13">
        <v>2014</v>
      </c>
      <c r="F852" s="13">
        <v>2014</v>
      </c>
      <c r="G852" s="13" t="s">
        <v>77</v>
      </c>
      <c r="H852" s="13" t="s">
        <v>78</v>
      </c>
      <c r="I852" s="13" t="s">
        <v>94</v>
      </c>
      <c r="J852" s="13" t="s">
        <v>95</v>
      </c>
      <c r="K852" s="13"/>
      <c r="L852" s="15" t="s">
        <v>41</v>
      </c>
      <c r="M852" s="19" t="s">
        <v>41</v>
      </c>
      <c r="N852" s="13" t="s">
        <v>99</v>
      </c>
      <c r="O852" s="13"/>
      <c r="P852" s="12">
        <v>0</v>
      </c>
      <c r="Q852" s="12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2">
        <v>1</v>
      </c>
      <c r="AC852" s="13">
        <v>581</v>
      </c>
      <c r="AD852" s="12"/>
      <c r="AE852" s="12"/>
      <c r="AF852" s="12">
        <v>50</v>
      </c>
      <c r="AG852" s="12">
        <v>23</v>
      </c>
      <c r="AH852" s="12">
        <v>100</v>
      </c>
      <c r="AI852" s="12"/>
      <c r="AJ852" s="12"/>
      <c r="AK852" s="12"/>
      <c r="AL852" s="12" t="str">
        <f>IF(AF852="", "mean", "med")</f>
        <v>med</v>
      </c>
      <c r="AM852" s="12">
        <f>IF(AF852="", AD852, AF852)</f>
        <v>50</v>
      </c>
      <c r="AN852" s="12">
        <v>0</v>
      </c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 t="s">
        <v>52</v>
      </c>
      <c r="BA852" s="12" t="str">
        <f>IF(AZ852="high","high","lower")</f>
        <v>high</v>
      </c>
      <c r="BB852" s="49">
        <v>0.92500000000000004</v>
      </c>
      <c r="BC852" s="12">
        <v>85.299999999999798</v>
      </c>
      <c r="BD852" s="12">
        <v>96.299999999999798</v>
      </c>
      <c r="BE852" s="12">
        <v>91.700000000000202</v>
      </c>
      <c r="BF852" s="12">
        <v>80</v>
      </c>
      <c r="BG852" s="18" t="s">
        <v>1030</v>
      </c>
      <c r="BH852" s="18" t="s">
        <v>1031</v>
      </c>
    </row>
    <row r="853" spans="1:60" ht="15.75" customHeight="1" x14ac:dyDescent="0.2">
      <c r="A853" s="11">
        <v>856</v>
      </c>
      <c r="B853" s="12">
        <v>4275</v>
      </c>
      <c r="C853" s="13" t="s">
        <v>992</v>
      </c>
      <c r="D853" s="13" t="s">
        <v>119</v>
      </c>
      <c r="E853" s="13">
        <v>2014</v>
      </c>
      <c r="F853" s="13">
        <v>2014</v>
      </c>
      <c r="G853" s="13" t="s">
        <v>77</v>
      </c>
      <c r="H853" s="13" t="s">
        <v>78</v>
      </c>
      <c r="I853" s="13" t="s">
        <v>70</v>
      </c>
      <c r="J853" s="13" t="s">
        <v>119</v>
      </c>
      <c r="K853" s="13"/>
      <c r="L853" s="15" t="s">
        <v>41</v>
      </c>
      <c r="M853" s="15" t="s">
        <v>41</v>
      </c>
      <c r="N853" s="13" t="s">
        <v>99</v>
      </c>
      <c r="O853" s="13"/>
      <c r="P853" s="12">
        <v>0</v>
      </c>
      <c r="Q853" s="12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2">
        <v>1</v>
      </c>
      <c r="AC853" s="13">
        <v>723</v>
      </c>
      <c r="AD853" s="12"/>
      <c r="AE853" s="12"/>
      <c r="AF853" s="12">
        <v>32</v>
      </c>
      <c r="AG853" s="12">
        <v>14</v>
      </c>
      <c r="AH853" s="12">
        <v>56</v>
      </c>
      <c r="AI853" s="12"/>
      <c r="AJ853" s="12"/>
      <c r="AK853" s="12"/>
      <c r="AL853" s="12" t="str">
        <f>IF(AF853="", "mean", "med")</f>
        <v>med</v>
      </c>
      <c r="AM853" s="12">
        <f>IF(AF853="", AD853, AF853)</f>
        <v>32</v>
      </c>
      <c r="AN853" s="12">
        <v>0</v>
      </c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 t="s">
        <v>52</v>
      </c>
      <c r="BA853" s="12" t="str">
        <f>IF(AZ853="high","high","lower")</f>
        <v>high</v>
      </c>
      <c r="BB853" s="49">
        <v>0.92500000000000004</v>
      </c>
      <c r="BC853" s="12">
        <v>85.299999999999798</v>
      </c>
      <c r="BD853" s="12">
        <v>96.299999999999798</v>
      </c>
      <c r="BE853" s="12">
        <v>91.700000000000202</v>
      </c>
      <c r="BF853" s="12">
        <v>80</v>
      </c>
      <c r="BG853" s="18" t="s">
        <v>1030</v>
      </c>
      <c r="BH853" s="18" t="s">
        <v>1031</v>
      </c>
    </row>
    <row r="854" spans="1:60" ht="15.75" customHeight="1" x14ac:dyDescent="0.2">
      <c r="A854" s="11">
        <v>857</v>
      </c>
      <c r="B854" s="12">
        <v>4275</v>
      </c>
      <c r="C854" s="13" t="s">
        <v>992</v>
      </c>
      <c r="D854" s="14" t="s">
        <v>255</v>
      </c>
      <c r="E854" s="13">
        <v>2014</v>
      </c>
      <c r="F854" s="13">
        <v>2014</v>
      </c>
      <c r="G854" s="13" t="s">
        <v>77</v>
      </c>
      <c r="H854" s="13" t="s">
        <v>78</v>
      </c>
      <c r="I854" s="13" t="s">
        <v>94</v>
      </c>
      <c r="J854" s="13" t="s">
        <v>255</v>
      </c>
      <c r="K854" s="13"/>
      <c r="L854" s="15" t="s">
        <v>41</v>
      </c>
      <c r="M854" s="15" t="s">
        <v>41</v>
      </c>
      <c r="N854" s="13" t="s">
        <v>99</v>
      </c>
      <c r="O854" s="13"/>
      <c r="P854" s="12">
        <v>0</v>
      </c>
      <c r="Q854" s="12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2">
        <v>1</v>
      </c>
      <c r="AC854" s="13">
        <v>202</v>
      </c>
      <c r="AD854" s="12"/>
      <c r="AE854" s="12"/>
      <c r="AF854" s="12">
        <v>53.5</v>
      </c>
      <c r="AG854" s="12">
        <v>24</v>
      </c>
      <c r="AH854" s="12">
        <v>107.5</v>
      </c>
      <c r="AI854" s="12"/>
      <c r="AJ854" s="12"/>
      <c r="AK854" s="12"/>
      <c r="AL854" s="12" t="str">
        <f>IF(AF854="", "mean", "med")</f>
        <v>med</v>
      </c>
      <c r="AM854" s="12">
        <f>IF(AF854="", AD854, AF854)</f>
        <v>53.5</v>
      </c>
      <c r="AN854" s="12">
        <v>0</v>
      </c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 t="s">
        <v>52</v>
      </c>
      <c r="BA854" s="12" t="str">
        <f>IF(AZ854="high","high","lower")</f>
        <v>high</v>
      </c>
      <c r="BB854" s="49">
        <v>0.92500000000000004</v>
      </c>
      <c r="BC854" s="12">
        <v>85.299999999999798</v>
      </c>
      <c r="BD854" s="12">
        <v>96.299999999999798</v>
      </c>
      <c r="BE854" s="12">
        <v>91.700000000000202</v>
      </c>
      <c r="BF854" s="12">
        <v>80</v>
      </c>
      <c r="BG854" s="18" t="s">
        <v>1030</v>
      </c>
      <c r="BH854" s="18" t="s">
        <v>1031</v>
      </c>
    </row>
    <row r="855" spans="1:60" ht="15.75" customHeight="1" x14ac:dyDescent="0.2">
      <c r="A855" s="11">
        <v>858</v>
      </c>
      <c r="B855" s="12">
        <v>4275</v>
      </c>
      <c r="C855" s="13" t="s">
        <v>992</v>
      </c>
      <c r="D855" s="14" t="s">
        <v>224</v>
      </c>
      <c r="E855" s="13">
        <v>2014</v>
      </c>
      <c r="F855" s="13">
        <v>2014</v>
      </c>
      <c r="G855" s="13" t="s">
        <v>77</v>
      </c>
      <c r="H855" s="13" t="s">
        <v>78</v>
      </c>
      <c r="I855" s="13" t="s">
        <v>54</v>
      </c>
      <c r="J855" s="13" t="s">
        <v>229</v>
      </c>
      <c r="K855" s="13" t="s">
        <v>224</v>
      </c>
      <c r="L855" s="15" t="s">
        <v>41</v>
      </c>
      <c r="M855" s="19" t="s">
        <v>41</v>
      </c>
      <c r="N855" s="13" t="s">
        <v>99</v>
      </c>
      <c r="O855" s="13"/>
      <c r="P855" s="12">
        <v>0</v>
      </c>
      <c r="Q855" s="12"/>
      <c r="R855" s="17"/>
      <c r="S855" s="17"/>
      <c r="T855" s="17"/>
      <c r="U855" s="17"/>
      <c r="V855" s="17"/>
      <c r="W855" s="17"/>
      <c r="X855" s="21"/>
      <c r="Y855" s="21"/>
      <c r="Z855" s="17"/>
      <c r="AA855" s="17"/>
      <c r="AB855" s="12">
        <v>1</v>
      </c>
      <c r="AC855" s="13">
        <v>383</v>
      </c>
      <c r="AD855" s="12"/>
      <c r="AE855" s="12"/>
      <c r="AF855" s="12">
        <v>28</v>
      </c>
      <c r="AG855" s="12">
        <v>12</v>
      </c>
      <c r="AH855" s="12">
        <v>65.5</v>
      </c>
      <c r="AI855" s="12"/>
      <c r="AJ855" s="12"/>
      <c r="AK855" s="12"/>
      <c r="AL855" s="12" t="str">
        <f>IF(AF855="", "mean", "med")</f>
        <v>med</v>
      </c>
      <c r="AM855" s="12">
        <f>IF(AF855="", AD855, AF855)</f>
        <v>28</v>
      </c>
      <c r="AN855" s="12">
        <v>0</v>
      </c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 t="s">
        <v>52</v>
      </c>
      <c r="BA855" s="12" t="str">
        <f>IF(AZ855="high","high","lower")</f>
        <v>high</v>
      </c>
      <c r="BB855" s="49">
        <v>0.92500000000000004</v>
      </c>
      <c r="BC855" s="12">
        <v>85.299999999999798</v>
      </c>
      <c r="BD855" s="12">
        <v>96.299999999999798</v>
      </c>
      <c r="BE855" s="12">
        <v>91.700000000000202</v>
      </c>
      <c r="BF855" s="12">
        <v>80</v>
      </c>
      <c r="BG855" s="18" t="s">
        <v>1030</v>
      </c>
      <c r="BH855" s="18" t="s">
        <v>1031</v>
      </c>
    </row>
    <row r="856" spans="1:60" ht="15.75" customHeight="1" x14ac:dyDescent="0.2">
      <c r="A856" s="11">
        <v>859</v>
      </c>
      <c r="B856" s="12">
        <v>4275</v>
      </c>
      <c r="C856" s="13" t="s">
        <v>992</v>
      </c>
      <c r="D856" s="14" t="s">
        <v>236</v>
      </c>
      <c r="E856" s="13">
        <v>2014</v>
      </c>
      <c r="F856" s="13">
        <v>2014</v>
      </c>
      <c r="G856" s="13" t="s">
        <v>77</v>
      </c>
      <c r="H856" s="13" t="s">
        <v>78</v>
      </c>
      <c r="I856" s="13" t="s">
        <v>79</v>
      </c>
      <c r="J856" s="31" t="s">
        <v>236</v>
      </c>
      <c r="K856" s="13"/>
      <c r="L856" s="15" t="s">
        <v>41</v>
      </c>
      <c r="M856" s="15" t="s">
        <v>41</v>
      </c>
      <c r="N856" s="13" t="s">
        <v>99</v>
      </c>
      <c r="O856" s="14"/>
      <c r="P856" s="12">
        <v>0</v>
      </c>
      <c r="Q856" s="12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2">
        <v>1</v>
      </c>
      <c r="AC856" s="13">
        <v>189</v>
      </c>
      <c r="AD856" s="12"/>
      <c r="AE856" s="12"/>
      <c r="AF856" s="12">
        <v>39</v>
      </c>
      <c r="AG856" s="12">
        <v>17</v>
      </c>
      <c r="AH856" s="12">
        <v>74</v>
      </c>
      <c r="AI856" s="12"/>
      <c r="AJ856" s="12"/>
      <c r="AK856" s="12"/>
      <c r="AL856" s="12" t="str">
        <f>IF(AF856="", "mean", "med")</f>
        <v>med</v>
      </c>
      <c r="AM856" s="12">
        <f>IF(AF856="", AD856, AF856)</f>
        <v>39</v>
      </c>
      <c r="AN856" s="12">
        <v>0</v>
      </c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 t="s">
        <v>52</v>
      </c>
      <c r="BA856" s="12" t="str">
        <f>IF(AZ856="high","high","lower")</f>
        <v>high</v>
      </c>
      <c r="BB856" s="49">
        <v>0.92500000000000004</v>
      </c>
      <c r="BC856" s="12">
        <v>85.299999999999798</v>
      </c>
      <c r="BD856" s="12">
        <v>96.299999999999798</v>
      </c>
      <c r="BE856" s="12">
        <v>91.700000000000202</v>
      </c>
      <c r="BF856" s="12">
        <v>80</v>
      </c>
      <c r="BG856" s="18" t="s">
        <v>1030</v>
      </c>
      <c r="BH856" s="18" t="s">
        <v>1031</v>
      </c>
    </row>
    <row r="857" spans="1:60" ht="15.75" customHeight="1" x14ac:dyDescent="0.2">
      <c r="A857" s="11">
        <v>860</v>
      </c>
      <c r="B857" s="12">
        <v>4275</v>
      </c>
      <c r="C857" s="13" t="s">
        <v>992</v>
      </c>
      <c r="D857" s="13" t="s">
        <v>989</v>
      </c>
      <c r="E857" s="13">
        <v>2014</v>
      </c>
      <c r="F857" s="13">
        <v>2014</v>
      </c>
      <c r="G857" s="13" t="s">
        <v>77</v>
      </c>
      <c r="H857" s="13" t="s">
        <v>78</v>
      </c>
      <c r="I857" s="13" t="s">
        <v>989</v>
      </c>
      <c r="J857" s="13" t="s">
        <v>989</v>
      </c>
      <c r="K857" s="13"/>
      <c r="L857" s="15" t="s">
        <v>41</v>
      </c>
      <c r="M857" s="15" t="s">
        <v>41</v>
      </c>
      <c r="N857" s="13" t="s">
        <v>99</v>
      </c>
      <c r="O857" s="14"/>
      <c r="P857" s="12">
        <v>0</v>
      </c>
      <c r="Q857" s="12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2">
        <v>1</v>
      </c>
      <c r="AC857" s="13">
        <v>1212</v>
      </c>
      <c r="AD857" s="12"/>
      <c r="AE857" s="12"/>
      <c r="AF857" s="12">
        <v>56</v>
      </c>
      <c r="AG857" s="12">
        <v>24</v>
      </c>
      <c r="AH857" s="12">
        <v>114.2</v>
      </c>
      <c r="AI857" s="12"/>
      <c r="AJ857" s="12"/>
      <c r="AK857" s="12"/>
      <c r="AL857" s="12" t="str">
        <f>IF(AF857="", "mean", "med")</f>
        <v>med</v>
      </c>
      <c r="AM857" s="12">
        <f>IF(AF857="", AD857, AF857)</f>
        <v>56</v>
      </c>
      <c r="AN857" s="12">
        <v>0</v>
      </c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 t="s">
        <v>52</v>
      </c>
      <c r="BA857" s="12" t="str">
        <f>IF(AZ857="high","high","lower")</f>
        <v>high</v>
      </c>
      <c r="BB857" s="49">
        <v>0.92500000000000004</v>
      </c>
      <c r="BC857" s="12">
        <v>85.299999999999798</v>
      </c>
      <c r="BD857" s="12">
        <v>96.299999999999798</v>
      </c>
      <c r="BE857" s="12">
        <v>91.700000000000202</v>
      </c>
      <c r="BF857" s="12">
        <v>80</v>
      </c>
      <c r="BG857" s="18" t="s">
        <v>1030</v>
      </c>
      <c r="BH857" s="18" t="s">
        <v>1031</v>
      </c>
    </row>
    <row r="858" spans="1:60" ht="15.75" customHeight="1" x14ac:dyDescent="0.2">
      <c r="A858" s="11">
        <v>861</v>
      </c>
      <c r="B858" s="12">
        <v>4275</v>
      </c>
      <c r="C858" s="13" t="s">
        <v>992</v>
      </c>
      <c r="D858" s="14" t="s">
        <v>206</v>
      </c>
      <c r="E858" s="13">
        <v>2014</v>
      </c>
      <c r="F858" s="13">
        <v>2014</v>
      </c>
      <c r="G858" s="13" t="s">
        <v>77</v>
      </c>
      <c r="H858" s="13" t="s">
        <v>78</v>
      </c>
      <c r="I858" s="13" t="s">
        <v>104</v>
      </c>
      <c r="J858" s="13" t="s">
        <v>206</v>
      </c>
      <c r="K858" s="13"/>
      <c r="L858" s="15" t="s">
        <v>41</v>
      </c>
      <c r="M858" s="15" t="s">
        <v>41</v>
      </c>
      <c r="N858" s="13" t="s">
        <v>99</v>
      </c>
      <c r="O858" s="14"/>
      <c r="P858" s="12">
        <v>0</v>
      </c>
      <c r="Q858" s="12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2">
        <v>1</v>
      </c>
      <c r="AC858" s="13">
        <v>285</v>
      </c>
      <c r="AD858" s="12"/>
      <c r="AE858" s="12"/>
      <c r="AF858" s="12">
        <v>55</v>
      </c>
      <c r="AG858" s="12">
        <v>29</v>
      </c>
      <c r="AH858" s="12">
        <v>85</v>
      </c>
      <c r="AI858" s="12"/>
      <c r="AJ858" s="12"/>
      <c r="AK858" s="12"/>
      <c r="AL858" s="12" t="str">
        <f>IF(AF858="", "mean", "med")</f>
        <v>med</v>
      </c>
      <c r="AM858" s="12">
        <f>IF(AF858="", AD858, AF858)</f>
        <v>55</v>
      </c>
      <c r="AN858" s="12">
        <v>0</v>
      </c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 t="s">
        <v>52</v>
      </c>
      <c r="BA858" s="12" t="str">
        <f>IF(AZ858="high","high","lower")</f>
        <v>high</v>
      </c>
      <c r="BB858" s="49">
        <v>0.92500000000000004</v>
      </c>
      <c r="BC858" s="12">
        <v>85.299999999999798</v>
      </c>
      <c r="BD858" s="12">
        <v>96.299999999999798</v>
      </c>
      <c r="BE858" s="12">
        <v>91.700000000000202</v>
      </c>
      <c r="BF858" s="12">
        <v>80</v>
      </c>
      <c r="BG858" s="18" t="s">
        <v>1030</v>
      </c>
      <c r="BH858" s="18" t="s">
        <v>1031</v>
      </c>
    </row>
    <row r="859" spans="1:60" ht="15.75" customHeight="1" x14ac:dyDescent="0.2">
      <c r="A859" s="11">
        <v>862</v>
      </c>
      <c r="B859" s="12">
        <v>4275</v>
      </c>
      <c r="C859" s="13" t="s">
        <v>992</v>
      </c>
      <c r="D859" s="13" t="s">
        <v>288</v>
      </c>
      <c r="E859" s="13">
        <v>2014</v>
      </c>
      <c r="F859" s="13">
        <v>2014</v>
      </c>
      <c r="G859" s="13" t="s">
        <v>77</v>
      </c>
      <c r="H859" s="13" t="s">
        <v>78</v>
      </c>
      <c r="I859" s="13" t="s">
        <v>54</v>
      </c>
      <c r="J859" s="13" t="s">
        <v>229</v>
      </c>
      <c r="K859" s="14" t="s">
        <v>288</v>
      </c>
      <c r="L859" s="15" t="s">
        <v>41</v>
      </c>
      <c r="M859" s="15" t="s">
        <v>41</v>
      </c>
      <c r="N859" s="13" t="s">
        <v>99</v>
      </c>
      <c r="O859" s="14"/>
      <c r="P859" s="12">
        <v>0</v>
      </c>
      <c r="Q859" s="12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2">
        <v>1</v>
      </c>
      <c r="AC859" s="13">
        <v>386</v>
      </c>
      <c r="AD859" s="12"/>
      <c r="AE859" s="12"/>
      <c r="AF859" s="12">
        <v>42.5</v>
      </c>
      <c r="AG859" s="12">
        <v>15</v>
      </c>
      <c r="AH859" s="12">
        <v>93</v>
      </c>
      <c r="AI859" s="12"/>
      <c r="AJ859" s="12"/>
      <c r="AK859" s="12"/>
      <c r="AL859" s="12" t="str">
        <f>IF(AF859="", "mean", "med")</f>
        <v>med</v>
      </c>
      <c r="AM859" s="12">
        <f>IF(AF859="", AD859, AF859)</f>
        <v>42.5</v>
      </c>
      <c r="AN859" s="12">
        <v>0</v>
      </c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 t="s">
        <v>52</v>
      </c>
      <c r="BA859" s="12" t="str">
        <f>IF(AZ859="high","high","lower")</f>
        <v>high</v>
      </c>
      <c r="BB859" s="49">
        <v>0.92500000000000004</v>
      </c>
      <c r="BC859" s="12">
        <v>85.299999999999798</v>
      </c>
      <c r="BD859" s="12">
        <v>96.299999999999798</v>
      </c>
      <c r="BE859" s="12">
        <v>91.700000000000202</v>
      </c>
      <c r="BF859" s="12">
        <v>80</v>
      </c>
      <c r="BG859" s="18" t="s">
        <v>1030</v>
      </c>
      <c r="BH859" s="18" t="s">
        <v>1031</v>
      </c>
    </row>
    <row r="860" spans="1:60" ht="15.75" customHeight="1" x14ac:dyDescent="0.2">
      <c r="A860" s="11">
        <v>863</v>
      </c>
      <c r="B860" s="12">
        <v>4275</v>
      </c>
      <c r="C860" s="13" t="s">
        <v>992</v>
      </c>
      <c r="D860" s="13" t="s">
        <v>60</v>
      </c>
      <c r="E860" s="13">
        <v>2014</v>
      </c>
      <c r="F860" s="13">
        <v>2014</v>
      </c>
      <c r="G860" s="13" t="s">
        <v>77</v>
      </c>
      <c r="H860" s="13" t="s">
        <v>78</v>
      </c>
      <c r="I860" s="13" t="s">
        <v>59</v>
      </c>
      <c r="J860" s="13" t="s">
        <v>60</v>
      </c>
      <c r="K860" s="13"/>
      <c r="L860" s="19" t="s">
        <v>41</v>
      </c>
      <c r="M860" s="19" t="s">
        <v>41</v>
      </c>
      <c r="N860" s="13" t="s">
        <v>99</v>
      </c>
      <c r="O860" s="14"/>
      <c r="P860" s="12">
        <v>0</v>
      </c>
      <c r="Q860" s="12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2">
        <v>1</v>
      </c>
      <c r="AC860" s="13">
        <v>1678</v>
      </c>
      <c r="AD860" s="12"/>
      <c r="AE860" s="12"/>
      <c r="AF860" s="12">
        <v>55.5</v>
      </c>
      <c r="AG860" s="12">
        <v>29</v>
      </c>
      <c r="AH860" s="12">
        <v>126</v>
      </c>
      <c r="AI860" s="12"/>
      <c r="AJ860" s="12"/>
      <c r="AK860" s="12"/>
      <c r="AL860" s="12" t="str">
        <f>IF(AF860="", "mean", "med")</f>
        <v>med</v>
      </c>
      <c r="AM860" s="12">
        <f>IF(AF860="", AD860, AF860)</f>
        <v>55.5</v>
      </c>
      <c r="AN860" s="12">
        <v>0</v>
      </c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 t="s">
        <v>52</v>
      </c>
      <c r="BA860" s="12" t="str">
        <f>IF(AZ860="high","high","lower")</f>
        <v>high</v>
      </c>
      <c r="BB860" s="49">
        <v>0.92500000000000004</v>
      </c>
      <c r="BC860" s="12">
        <v>85.299999999999798</v>
      </c>
      <c r="BD860" s="12">
        <v>96.299999999999798</v>
      </c>
      <c r="BE860" s="12">
        <v>91.700000000000202</v>
      </c>
      <c r="BF860" s="12">
        <v>80</v>
      </c>
      <c r="BG860" s="18" t="s">
        <v>1030</v>
      </c>
      <c r="BH860" s="18" t="s">
        <v>1031</v>
      </c>
    </row>
    <row r="861" spans="1:60" ht="15.75" customHeight="1" x14ac:dyDescent="0.2">
      <c r="A861" s="11">
        <v>864</v>
      </c>
      <c r="B861" s="12">
        <v>4275</v>
      </c>
      <c r="C861" s="13" t="s">
        <v>992</v>
      </c>
      <c r="D861" s="13" t="s">
        <v>227</v>
      </c>
      <c r="E861" s="13">
        <v>2014</v>
      </c>
      <c r="F861" s="13">
        <v>2014</v>
      </c>
      <c r="G861" s="13" t="s">
        <v>77</v>
      </c>
      <c r="H861" s="13" t="s">
        <v>78</v>
      </c>
      <c r="I861" s="13" t="s">
        <v>54</v>
      </c>
      <c r="J861" s="13" t="s">
        <v>227</v>
      </c>
      <c r="K861" s="13"/>
      <c r="L861" s="15" t="s">
        <v>41</v>
      </c>
      <c r="M861" s="15" t="s">
        <v>41</v>
      </c>
      <c r="N861" s="13" t="s">
        <v>99</v>
      </c>
      <c r="O861" s="14"/>
      <c r="P861" s="12">
        <v>0</v>
      </c>
      <c r="Q861" s="12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2">
        <v>1</v>
      </c>
      <c r="AC861" s="13">
        <v>496</v>
      </c>
      <c r="AD861" s="12"/>
      <c r="AE861" s="12"/>
      <c r="AF861" s="12">
        <v>42</v>
      </c>
      <c r="AG861" s="12">
        <v>21</v>
      </c>
      <c r="AH861" s="12">
        <v>88.2</v>
      </c>
      <c r="AI861" s="12"/>
      <c r="AJ861" s="12"/>
      <c r="AK861" s="12"/>
      <c r="AL861" s="12" t="str">
        <f>IF(AF861="", "mean", "med")</f>
        <v>med</v>
      </c>
      <c r="AM861" s="12">
        <f>IF(AF861="", AD861, AF861)</f>
        <v>42</v>
      </c>
      <c r="AN861" s="12">
        <v>0</v>
      </c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 t="s">
        <v>52</v>
      </c>
      <c r="BA861" s="12" t="str">
        <f>IF(AZ861="high","high","lower")</f>
        <v>high</v>
      </c>
      <c r="BB861" s="49">
        <v>0.92500000000000004</v>
      </c>
      <c r="BC861" s="12">
        <v>85.299999999999699</v>
      </c>
      <c r="BD861" s="12">
        <v>96.299999999999699</v>
      </c>
      <c r="BE861" s="12">
        <v>91.700000000000202</v>
      </c>
      <c r="BF861" s="12">
        <v>80</v>
      </c>
      <c r="BG861" s="18" t="s">
        <v>1030</v>
      </c>
      <c r="BH861" s="18" t="s">
        <v>1031</v>
      </c>
    </row>
    <row r="862" spans="1:60" ht="15.75" customHeight="1" x14ac:dyDescent="0.2">
      <c r="A862" s="11">
        <v>865</v>
      </c>
      <c r="B862" s="12">
        <v>4275</v>
      </c>
      <c r="C862" s="13" t="s">
        <v>992</v>
      </c>
      <c r="D862" s="13" t="s">
        <v>320</v>
      </c>
      <c r="E862" s="13">
        <v>2014</v>
      </c>
      <c r="F862" s="13">
        <v>2014</v>
      </c>
      <c r="G862" s="13" t="s">
        <v>77</v>
      </c>
      <c r="H862" s="13" t="s">
        <v>78</v>
      </c>
      <c r="I862" s="13" t="s">
        <v>59</v>
      </c>
      <c r="J862" s="13" t="s">
        <v>320</v>
      </c>
      <c r="K862" s="13"/>
      <c r="L862" s="19" t="s">
        <v>41</v>
      </c>
      <c r="M862" s="15" t="s">
        <v>41</v>
      </c>
      <c r="N862" s="13" t="s">
        <v>99</v>
      </c>
      <c r="O862" s="14"/>
      <c r="P862" s="12">
        <v>0</v>
      </c>
      <c r="Q862" s="12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2">
        <v>1</v>
      </c>
      <c r="AC862" s="13">
        <v>422</v>
      </c>
      <c r="AD862" s="12"/>
      <c r="AE862" s="12"/>
      <c r="AF862" s="12">
        <v>66</v>
      </c>
      <c r="AG862" s="12">
        <v>33.200000000000003</v>
      </c>
      <c r="AH862" s="12">
        <v>114</v>
      </c>
      <c r="AI862" s="12"/>
      <c r="AJ862" s="12"/>
      <c r="AK862" s="12"/>
      <c r="AL862" s="12" t="str">
        <f>IF(AF862="", "mean", "med")</f>
        <v>med</v>
      </c>
      <c r="AM862" s="12">
        <f>IF(AF862="", AD862, AF862)</f>
        <v>66</v>
      </c>
      <c r="AN862" s="12">
        <v>0</v>
      </c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 t="s">
        <v>52</v>
      </c>
      <c r="BA862" s="12" t="str">
        <f>IF(AZ862="high","high","lower")</f>
        <v>high</v>
      </c>
      <c r="BB862" s="49">
        <v>0.92500000000000004</v>
      </c>
      <c r="BC862" s="12">
        <v>85.299999999999699</v>
      </c>
      <c r="BD862" s="12">
        <v>96.299999999999699</v>
      </c>
      <c r="BE862" s="12">
        <v>91.700000000000202</v>
      </c>
      <c r="BF862" s="12">
        <v>80</v>
      </c>
      <c r="BG862" s="18" t="s">
        <v>1030</v>
      </c>
      <c r="BH862" s="18" t="s">
        <v>1031</v>
      </c>
    </row>
    <row r="863" spans="1:60" ht="15.75" customHeight="1" x14ac:dyDescent="0.2">
      <c r="A863" s="11">
        <v>866</v>
      </c>
      <c r="B863" s="12">
        <v>4275</v>
      </c>
      <c r="C863" s="13" t="s">
        <v>992</v>
      </c>
      <c r="D863" s="13" t="s">
        <v>387</v>
      </c>
      <c r="E863" s="13">
        <v>2014</v>
      </c>
      <c r="F863" s="13">
        <v>2014</v>
      </c>
      <c r="G863" s="13" t="s">
        <v>77</v>
      </c>
      <c r="H863" s="13" t="s">
        <v>78</v>
      </c>
      <c r="I863" s="13" t="s">
        <v>54</v>
      </c>
      <c r="J863" s="13" t="s">
        <v>229</v>
      </c>
      <c r="K863" s="14" t="s">
        <v>387</v>
      </c>
      <c r="L863" s="15" t="s">
        <v>41</v>
      </c>
      <c r="M863" s="15" t="s">
        <v>41</v>
      </c>
      <c r="N863" s="13" t="s">
        <v>99</v>
      </c>
      <c r="O863" s="13"/>
      <c r="P863" s="12">
        <v>0</v>
      </c>
      <c r="Q863" s="12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2">
        <v>1</v>
      </c>
      <c r="AC863" s="13">
        <v>260</v>
      </c>
      <c r="AD863" s="12"/>
      <c r="AE863" s="12"/>
      <c r="AF863" s="12">
        <v>42</v>
      </c>
      <c r="AG863" s="12">
        <v>17</v>
      </c>
      <c r="AH863" s="12">
        <v>89.2</v>
      </c>
      <c r="AI863" s="12"/>
      <c r="AJ863" s="12"/>
      <c r="AK863" s="12"/>
      <c r="AL863" s="12" t="str">
        <f>IF(AF863="", "mean", "med")</f>
        <v>med</v>
      </c>
      <c r="AM863" s="12">
        <f>IF(AF863="", AD863, AF863)</f>
        <v>42</v>
      </c>
      <c r="AN863" s="12">
        <v>0</v>
      </c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 t="s">
        <v>52</v>
      </c>
      <c r="BA863" s="12" t="str">
        <f>IF(AZ863="high","high","lower")</f>
        <v>high</v>
      </c>
      <c r="BB863" s="49">
        <v>0.92500000000000004</v>
      </c>
      <c r="BC863" s="12">
        <v>85.299999999999699</v>
      </c>
      <c r="BD863" s="12">
        <v>96.299999999999699</v>
      </c>
      <c r="BE863" s="12">
        <v>91.700000000000202</v>
      </c>
      <c r="BF863" s="12">
        <v>80</v>
      </c>
      <c r="BG863" s="18" t="s">
        <v>1030</v>
      </c>
      <c r="BH863" s="18" t="s">
        <v>1031</v>
      </c>
    </row>
    <row r="864" spans="1:60" ht="15.75" customHeight="1" x14ac:dyDescent="0.2">
      <c r="A864" s="11">
        <v>867</v>
      </c>
      <c r="B864" s="22">
        <v>3790</v>
      </c>
      <c r="C864" s="13" t="s">
        <v>593</v>
      </c>
      <c r="D864" s="14" t="s">
        <v>40</v>
      </c>
      <c r="E864" s="13">
        <v>2013</v>
      </c>
      <c r="F864" s="13">
        <v>2015</v>
      </c>
      <c r="G864" s="13" t="s">
        <v>312</v>
      </c>
      <c r="H864" s="13" t="s">
        <v>993</v>
      </c>
      <c r="I864" s="13" t="s">
        <v>40</v>
      </c>
      <c r="J864" s="13" t="s">
        <v>40</v>
      </c>
      <c r="K864" s="13"/>
      <c r="L864" s="19">
        <v>100</v>
      </c>
      <c r="M864" s="26">
        <v>61</v>
      </c>
      <c r="N864" s="13" t="s">
        <v>99</v>
      </c>
      <c r="O864" s="13"/>
      <c r="P864" s="12">
        <v>0</v>
      </c>
      <c r="Q864" s="22"/>
      <c r="R864" s="21"/>
      <c r="S864" s="17"/>
      <c r="T864" s="17"/>
      <c r="U864" s="17"/>
      <c r="V864" s="17"/>
      <c r="W864" s="17"/>
      <c r="X864" s="17"/>
      <c r="Y864" s="17"/>
      <c r="Z864" s="17"/>
      <c r="AA864" s="17"/>
      <c r="AB864" s="12">
        <v>1</v>
      </c>
      <c r="AC864" s="13">
        <v>1058</v>
      </c>
      <c r="AD864" s="12"/>
      <c r="AE864" s="12"/>
      <c r="AF864" s="12">
        <v>16</v>
      </c>
      <c r="AG864" s="12">
        <v>9</v>
      </c>
      <c r="AH864" s="12">
        <v>30</v>
      </c>
      <c r="AI864" s="12"/>
      <c r="AJ864" s="12"/>
      <c r="AK864" s="12"/>
      <c r="AL864" s="12" t="str">
        <f>IF(AF864="", "mean", "med")</f>
        <v>med</v>
      </c>
      <c r="AM864" s="12">
        <f>IF(AF864="", AD864, AF864)</f>
        <v>16</v>
      </c>
      <c r="AN864" s="12">
        <v>0</v>
      </c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49" t="s">
        <v>52</v>
      </c>
      <c r="BA864" s="49" t="str">
        <f>IF(AZ864="high","high","lower")</f>
        <v>high</v>
      </c>
      <c r="BB864" s="49">
        <v>0.92700000000000005</v>
      </c>
      <c r="BC864" s="49"/>
      <c r="BD864" s="49"/>
      <c r="BE864" s="49"/>
      <c r="BF864" s="49"/>
      <c r="BG864" s="18" t="s">
        <v>1034</v>
      </c>
      <c r="BH864" s="18" t="s">
        <v>1031</v>
      </c>
    </row>
    <row r="865" spans="1:60" ht="15.75" customHeight="1" x14ac:dyDescent="0.2">
      <c r="A865" s="11">
        <v>868</v>
      </c>
      <c r="B865" s="12">
        <v>3790</v>
      </c>
      <c r="C865" s="14" t="s">
        <v>593</v>
      </c>
      <c r="D865" s="13" t="s">
        <v>55</v>
      </c>
      <c r="E865" s="13">
        <v>2013</v>
      </c>
      <c r="F865" s="13">
        <v>2015</v>
      </c>
      <c r="G865" s="14" t="s">
        <v>312</v>
      </c>
      <c r="H865" s="14" t="s">
        <v>993</v>
      </c>
      <c r="I865" s="13" t="s">
        <v>54</v>
      </c>
      <c r="J865" s="13" t="s">
        <v>55</v>
      </c>
      <c r="K865" s="13"/>
      <c r="L865" s="19">
        <v>43</v>
      </c>
      <c r="M865" s="26">
        <v>70</v>
      </c>
      <c r="N865" s="13" t="s">
        <v>99</v>
      </c>
      <c r="O865" s="13"/>
      <c r="P865" s="12">
        <v>0</v>
      </c>
      <c r="Q865" s="12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2">
        <v>1</v>
      </c>
      <c r="AC865" s="13">
        <v>1069</v>
      </c>
      <c r="AD865" s="12"/>
      <c r="AE865" s="12"/>
      <c r="AF865" s="12">
        <v>44</v>
      </c>
      <c r="AG865" s="12">
        <v>21</v>
      </c>
      <c r="AH865" s="12">
        <v>97</v>
      </c>
      <c r="AI865" s="12"/>
      <c r="AJ865" s="12"/>
      <c r="AK865" s="12"/>
      <c r="AL865" s="12" t="str">
        <f>IF(AF865="", "mean", "med")</f>
        <v>med</v>
      </c>
      <c r="AM865" s="12">
        <f>IF(AF865="", AD865, AF865)</f>
        <v>44</v>
      </c>
      <c r="AN865" s="12">
        <v>0</v>
      </c>
      <c r="AO865" s="2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49" t="s">
        <v>52</v>
      </c>
      <c r="BA865" s="49" t="str">
        <f>IF(AZ865="high","high","lower")</f>
        <v>high</v>
      </c>
      <c r="BB865" s="49">
        <v>0.92700000000000005</v>
      </c>
      <c r="BC865" s="49"/>
      <c r="BD865" s="49"/>
      <c r="BE865" s="49"/>
      <c r="BF865" s="49"/>
      <c r="BG865" s="18" t="s">
        <v>1034</v>
      </c>
      <c r="BH865" s="18" t="s">
        <v>1031</v>
      </c>
    </row>
    <row r="866" spans="1:60" ht="15.75" customHeight="1" x14ac:dyDescent="0.2">
      <c r="A866" s="11">
        <v>869</v>
      </c>
      <c r="B866" s="12">
        <v>3790</v>
      </c>
      <c r="C866" s="13" t="s">
        <v>593</v>
      </c>
      <c r="D866" s="13" t="s">
        <v>206</v>
      </c>
      <c r="E866" s="13">
        <v>2013</v>
      </c>
      <c r="F866" s="13">
        <v>2015</v>
      </c>
      <c r="G866" s="13" t="s">
        <v>312</v>
      </c>
      <c r="H866" s="13" t="s">
        <v>993</v>
      </c>
      <c r="I866" s="13" t="s">
        <v>104</v>
      </c>
      <c r="J866" s="13" t="s">
        <v>206</v>
      </c>
      <c r="K866" s="13"/>
      <c r="L866" s="15">
        <v>100</v>
      </c>
      <c r="M866" s="26">
        <v>64</v>
      </c>
      <c r="N866" s="13" t="s">
        <v>99</v>
      </c>
      <c r="O866" s="13"/>
      <c r="P866" s="12">
        <v>0</v>
      </c>
      <c r="Q866" s="12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2">
        <v>1</v>
      </c>
      <c r="AC866" s="13">
        <v>601</v>
      </c>
      <c r="AD866" s="12"/>
      <c r="AE866" s="12"/>
      <c r="AF866" s="12">
        <v>48</v>
      </c>
      <c r="AG866" s="12">
        <v>26</v>
      </c>
      <c r="AH866" s="12">
        <v>97</v>
      </c>
      <c r="AI866" s="12"/>
      <c r="AJ866" s="12"/>
      <c r="AK866" s="12"/>
      <c r="AL866" s="12" t="str">
        <f>IF(AF866="", "mean", "med")</f>
        <v>med</v>
      </c>
      <c r="AM866" s="12">
        <f>IF(AF866="", AD866, AF866)</f>
        <v>48</v>
      </c>
      <c r="AN866" s="12">
        <v>0</v>
      </c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49" t="s">
        <v>52</v>
      </c>
      <c r="BA866" s="49" t="str">
        <f>IF(AZ866="high","high","lower")</f>
        <v>high</v>
      </c>
      <c r="BB866" s="49">
        <v>0.92700000000000005</v>
      </c>
      <c r="BC866" s="49"/>
      <c r="BD866" s="49"/>
      <c r="BE866" s="49"/>
      <c r="BF866" s="49"/>
      <c r="BG866" s="18" t="s">
        <v>1034</v>
      </c>
      <c r="BH866" s="18" t="s">
        <v>1031</v>
      </c>
    </row>
    <row r="867" spans="1:60" ht="15.75" customHeight="1" x14ac:dyDescent="0.2">
      <c r="A867" s="11">
        <v>870</v>
      </c>
      <c r="B867" s="12">
        <v>3791</v>
      </c>
      <c r="C867" s="13" t="s">
        <v>593</v>
      </c>
      <c r="D867" s="14" t="s">
        <v>994</v>
      </c>
      <c r="E867" s="13">
        <v>2001</v>
      </c>
      <c r="F867" s="13">
        <v>2002</v>
      </c>
      <c r="G867" s="13" t="s">
        <v>205</v>
      </c>
      <c r="H867" s="13"/>
      <c r="I867" s="13" t="s">
        <v>54</v>
      </c>
      <c r="J867" s="13" t="s">
        <v>55</v>
      </c>
      <c r="K867" s="13"/>
      <c r="L867" s="15">
        <v>47</v>
      </c>
      <c r="M867" s="26">
        <v>70</v>
      </c>
      <c r="N867" s="13" t="s">
        <v>42</v>
      </c>
      <c r="O867" s="13"/>
      <c r="P867" s="12">
        <v>0</v>
      </c>
      <c r="Q867" s="12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2">
        <v>1</v>
      </c>
      <c r="AC867" s="13">
        <v>658</v>
      </c>
      <c r="AD867" s="12"/>
      <c r="AE867" s="12"/>
      <c r="AF867" s="12">
        <v>38</v>
      </c>
      <c r="AG867" s="12">
        <v>14</v>
      </c>
      <c r="AH867" s="12">
        <v>108</v>
      </c>
      <c r="AI867" s="12"/>
      <c r="AJ867" s="12"/>
      <c r="AK867" s="12"/>
      <c r="AL867" s="12" t="str">
        <f>IF(AF867="", "mean", "med")</f>
        <v>med</v>
      </c>
      <c r="AM867" s="12">
        <f>IF(AF867="", AD867, AF867)</f>
        <v>38</v>
      </c>
      <c r="AN867" s="12">
        <v>0</v>
      </c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49" t="s">
        <v>52</v>
      </c>
      <c r="BA867" s="49" t="str">
        <f>IF(AZ867="high","high","lower")</f>
        <v>high</v>
      </c>
      <c r="BB867" s="49">
        <v>0.88900000000000001</v>
      </c>
      <c r="BC867" s="49"/>
      <c r="BD867" s="49"/>
      <c r="BE867" s="49"/>
      <c r="BF867" s="49"/>
      <c r="BG867" s="18" t="s">
        <v>1030</v>
      </c>
      <c r="BH867" s="18" t="s">
        <v>1031</v>
      </c>
    </row>
    <row r="868" spans="1:60" ht="15.75" customHeight="1" x14ac:dyDescent="0.2">
      <c r="A868" s="11">
        <v>871</v>
      </c>
      <c r="B868" s="22">
        <v>3791</v>
      </c>
      <c r="C868" s="13" t="s">
        <v>593</v>
      </c>
      <c r="D868" s="13" t="s">
        <v>995</v>
      </c>
      <c r="E868" s="13">
        <v>1998</v>
      </c>
      <c r="F868" s="13">
        <v>2002</v>
      </c>
      <c r="G868" s="13" t="s">
        <v>77</v>
      </c>
      <c r="H868" s="13"/>
      <c r="I868" s="13" t="s">
        <v>54</v>
      </c>
      <c r="J868" s="13" t="s">
        <v>55</v>
      </c>
      <c r="K868" s="13"/>
      <c r="L868" s="19">
        <v>48</v>
      </c>
      <c r="M868" s="28">
        <v>73</v>
      </c>
      <c r="N868" s="13" t="s">
        <v>42</v>
      </c>
      <c r="O868" s="14"/>
      <c r="P868" s="12">
        <v>0</v>
      </c>
      <c r="Q868" s="22"/>
      <c r="R868" s="21"/>
      <c r="S868" s="17"/>
      <c r="T868" s="17"/>
      <c r="U868" s="17"/>
      <c r="V868" s="17"/>
      <c r="W868" s="17"/>
      <c r="X868" s="17"/>
      <c r="Y868" s="17"/>
      <c r="Z868" s="17"/>
      <c r="AA868" s="17"/>
      <c r="AB868" s="12">
        <v>1</v>
      </c>
      <c r="AC868" s="13">
        <v>319</v>
      </c>
      <c r="AD868" s="12"/>
      <c r="AE868" s="12"/>
      <c r="AF868" s="12">
        <v>97</v>
      </c>
      <c r="AG868" s="12">
        <v>44</v>
      </c>
      <c r="AH868" s="12">
        <v>218</v>
      </c>
      <c r="AI868" s="12"/>
      <c r="AJ868" s="12"/>
      <c r="AK868" s="12"/>
      <c r="AL868" s="12" t="str">
        <f>IF(AF868="", "mean", "med")</f>
        <v>med</v>
      </c>
      <c r="AM868" s="12">
        <f>IF(AF868="", AD868, AF868)</f>
        <v>97</v>
      </c>
      <c r="AN868" s="12">
        <v>0</v>
      </c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 t="s">
        <v>52</v>
      </c>
      <c r="BA868" s="12" t="str">
        <f>IF(AZ868="high","high","lower")</f>
        <v>high</v>
      </c>
      <c r="BB868" s="49">
        <v>0.873</v>
      </c>
      <c r="BC868" s="12">
        <v>85.3</v>
      </c>
      <c r="BD868" s="12">
        <v>96.3</v>
      </c>
      <c r="BE868" s="12">
        <v>91.7</v>
      </c>
      <c r="BF868" s="12">
        <v>80</v>
      </c>
      <c r="BG868" s="18" t="s">
        <v>1030</v>
      </c>
      <c r="BH868" s="18" t="s">
        <v>1031</v>
      </c>
    </row>
    <row r="869" spans="1:60" ht="15.75" customHeight="1" x14ac:dyDescent="0.2">
      <c r="A869" s="11">
        <v>872</v>
      </c>
      <c r="B869" s="12">
        <v>3824</v>
      </c>
      <c r="C869" s="13" t="s">
        <v>596</v>
      </c>
      <c r="D869" s="13" t="s">
        <v>996</v>
      </c>
      <c r="E869" s="13">
        <v>2016</v>
      </c>
      <c r="F869" s="13">
        <v>2017</v>
      </c>
      <c r="G869" s="13" t="s">
        <v>39</v>
      </c>
      <c r="H869" s="13"/>
      <c r="I869" s="13" t="s">
        <v>40</v>
      </c>
      <c r="J869" s="13" t="s">
        <v>40</v>
      </c>
      <c r="K869" s="14"/>
      <c r="L869" s="15">
        <v>100</v>
      </c>
      <c r="M869" s="26" t="s">
        <v>41</v>
      </c>
      <c r="N869" s="13" t="s">
        <v>42</v>
      </c>
      <c r="O869" s="13"/>
      <c r="P869" s="12">
        <v>0</v>
      </c>
      <c r="Q869" s="12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2">
        <v>1</v>
      </c>
      <c r="AC869" s="13">
        <v>110</v>
      </c>
      <c r="AD869" s="12"/>
      <c r="AE869" s="12"/>
      <c r="AF869" s="12">
        <v>103</v>
      </c>
      <c r="AG869" s="12">
        <v>46</v>
      </c>
      <c r="AH869" s="12">
        <v>224</v>
      </c>
      <c r="AI869" s="12"/>
      <c r="AJ869" s="12"/>
      <c r="AK869" s="12"/>
      <c r="AL869" s="12" t="str">
        <f>IF(AF869="", "mean", "med")</f>
        <v>med</v>
      </c>
      <c r="AM869" s="12">
        <f>IF(AF869="", AD869, AF869)</f>
        <v>103</v>
      </c>
      <c r="AN869" s="12">
        <v>0</v>
      </c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 t="s">
        <v>886</v>
      </c>
      <c r="BA869" s="12" t="str">
        <f>IF(AZ869="high","high","lower")</f>
        <v>lower</v>
      </c>
      <c r="BB869" s="49">
        <v>0.77</v>
      </c>
      <c r="BC869" s="12">
        <v>63.1</v>
      </c>
      <c r="BD869" s="12">
        <v>73.2</v>
      </c>
      <c r="BE869" s="12">
        <v>62.5</v>
      </c>
      <c r="BF869" s="12">
        <v>61.9</v>
      </c>
      <c r="BG869" s="18" t="s">
        <v>1034</v>
      </c>
      <c r="BH869" s="18" t="s">
        <v>1031</v>
      </c>
    </row>
    <row r="870" spans="1:60" ht="15.75" customHeight="1" x14ac:dyDescent="0.2">
      <c r="A870" s="11">
        <v>873</v>
      </c>
      <c r="B870" s="12">
        <v>3824</v>
      </c>
      <c r="C870" s="13" t="s">
        <v>596</v>
      </c>
      <c r="D870" s="13" t="s">
        <v>997</v>
      </c>
      <c r="E870" s="13">
        <v>2016</v>
      </c>
      <c r="F870" s="13">
        <v>2017</v>
      </c>
      <c r="G870" s="13" t="s">
        <v>39</v>
      </c>
      <c r="H870" s="13"/>
      <c r="I870" s="13" t="s">
        <v>40</v>
      </c>
      <c r="J870" s="13" t="s">
        <v>40</v>
      </c>
      <c r="K870" s="13"/>
      <c r="L870" s="19">
        <v>100</v>
      </c>
      <c r="M870" s="28" t="s">
        <v>41</v>
      </c>
      <c r="N870" s="13" t="s">
        <v>42</v>
      </c>
      <c r="O870" s="13"/>
      <c r="P870" s="12">
        <v>0</v>
      </c>
      <c r="Q870" s="12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2">
        <v>1</v>
      </c>
      <c r="AC870" s="13">
        <v>482</v>
      </c>
      <c r="AD870" s="12"/>
      <c r="AE870" s="12"/>
      <c r="AF870" s="12">
        <v>57</v>
      </c>
      <c r="AG870" s="12">
        <v>27</v>
      </c>
      <c r="AH870" s="12">
        <v>146</v>
      </c>
      <c r="AI870" s="12"/>
      <c r="AJ870" s="12"/>
      <c r="AK870" s="12"/>
      <c r="AL870" s="12" t="str">
        <f>IF(AF870="", "mean", "med")</f>
        <v>med</v>
      </c>
      <c r="AM870" s="12">
        <f>IF(AF870="", AD870, AF870)</f>
        <v>57</v>
      </c>
      <c r="AN870" s="12">
        <v>0</v>
      </c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 t="s">
        <v>886</v>
      </c>
      <c r="BA870" s="12" t="str">
        <f>IF(AZ870="high","high","lower")</f>
        <v>lower</v>
      </c>
      <c r="BB870" s="49">
        <v>0.77</v>
      </c>
      <c r="BC870" s="12">
        <v>63.1</v>
      </c>
      <c r="BD870" s="12">
        <v>73.2</v>
      </c>
      <c r="BE870" s="12">
        <v>62.5</v>
      </c>
      <c r="BF870" s="12">
        <v>61.9</v>
      </c>
      <c r="BG870" s="18" t="s">
        <v>1034</v>
      </c>
      <c r="BH870" s="18" t="s">
        <v>1031</v>
      </c>
    </row>
    <row r="871" spans="1:60" ht="15.75" customHeight="1" x14ac:dyDescent="0.2">
      <c r="A871" s="11">
        <v>874</v>
      </c>
      <c r="B871" s="22">
        <v>4313</v>
      </c>
      <c r="C871" s="13" t="s">
        <v>998</v>
      </c>
      <c r="D871" s="14" t="s">
        <v>177</v>
      </c>
      <c r="E871" s="13">
        <v>2010</v>
      </c>
      <c r="F871" s="13">
        <v>2012</v>
      </c>
      <c r="G871" s="13" t="s">
        <v>125</v>
      </c>
      <c r="H871" s="13"/>
      <c r="I871" s="13" t="s">
        <v>54</v>
      </c>
      <c r="J871" s="13" t="s">
        <v>89</v>
      </c>
      <c r="K871" s="14"/>
      <c r="L871" s="15">
        <v>38.700000000000003</v>
      </c>
      <c r="M871" s="26">
        <v>69</v>
      </c>
      <c r="N871" s="13" t="s">
        <v>42</v>
      </c>
      <c r="O871" s="40"/>
      <c r="P871" s="12">
        <v>0</v>
      </c>
      <c r="Q871" s="12"/>
      <c r="R871" s="17"/>
      <c r="S871" s="17"/>
      <c r="T871" s="17"/>
      <c r="U871" s="21"/>
      <c r="V871" s="17"/>
      <c r="W871" s="17"/>
      <c r="X871" s="17"/>
      <c r="Y871" s="17"/>
      <c r="Z871" s="17"/>
      <c r="AA871" s="17"/>
      <c r="AB871" s="12">
        <v>0</v>
      </c>
      <c r="AC871" s="13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>
        <v>1</v>
      </c>
      <c r="AO871" s="12">
        <v>1266</v>
      </c>
      <c r="AP871" s="12"/>
      <c r="AQ871" s="12"/>
      <c r="AR871" s="12">
        <v>22</v>
      </c>
      <c r="AS871" s="12">
        <v>1</v>
      </c>
      <c r="AT871" s="12">
        <v>77</v>
      </c>
      <c r="AU871" s="12"/>
      <c r="AV871" s="12"/>
      <c r="AW871" s="12"/>
      <c r="AX871" s="12" t="str">
        <f>IF(AR871="", "mean", "med")</f>
        <v>med</v>
      </c>
      <c r="AY871" s="12">
        <f>IF(AR871="", AP871, AR871)</f>
        <v>22</v>
      </c>
      <c r="AZ871" s="12" t="s">
        <v>52</v>
      </c>
      <c r="BA871" s="12" t="str">
        <f>IF(AZ871="high","high","lower")</f>
        <v>high</v>
      </c>
      <c r="BB871" s="49">
        <v>0.877</v>
      </c>
      <c r="BC871" s="12">
        <v>84</v>
      </c>
      <c r="BD871" s="12">
        <v>89.7</v>
      </c>
      <c r="BE871" s="12">
        <v>70.8</v>
      </c>
      <c r="BF871" s="12">
        <v>89.2</v>
      </c>
      <c r="BG871" s="18" t="s">
        <v>1030</v>
      </c>
      <c r="BH871" s="18" t="s">
        <v>1031</v>
      </c>
    </row>
    <row r="872" spans="1:60" ht="15.75" customHeight="1" x14ac:dyDescent="0.2">
      <c r="A872" s="11">
        <v>875</v>
      </c>
      <c r="B872" s="12">
        <v>4313</v>
      </c>
      <c r="C872" s="13" t="s">
        <v>998</v>
      </c>
      <c r="D872" s="14" t="s">
        <v>197</v>
      </c>
      <c r="E872" s="13">
        <v>2010</v>
      </c>
      <c r="F872" s="13">
        <v>2012</v>
      </c>
      <c r="G872" s="13" t="s">
        <v>125</v>
      </c>
      <c r="H872" s="13"/>
      <c r="I872" s="13" t="s">
        <v>54</v>
      </c>
      <c r="J872" s="13" t="s">
        <v>227</v>
      </c>
      <c r="K872" s="14"/>
      <c r="L872" s="15">
        <v>32.9</v>
      </c>
      <c r="M872" s="26">
        <v>66</v>
      </c>
      <c r="N872" s="13" t="s">
        <v>42</v>
      </c>
      <c r="O872" s="40"/>
      <c r="P872" s="12">
        <v>0</v>
      </c>
      <c r="Q872" s="22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2">
        <v>0</v>
      </c>
      <c r="AC872" s="13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>
        <v>1</v>
      </c>
      <c r="AO872" s="12">
        <v>519</v>
      </c>
      <c r="AP872" s="12"/>
      <c r="AQ872" s="12"/>
      <c r="AR872" s="12">
        <v>31</v>
      </c>
      <c r="AS872" s="12">
        <v>2</v>
      </c>
      <c r="AT872" s="12">
        <v>106</v>
      </c>
      <c r="AU872" s="12"/>
      <c r="AV872" s="12"/>
      <c r="AW872" s="12"/>
      <c r="AX872" s="12" t="str">
        <f>IF(AR872="", "mean", "med")</f>
        <v>med</v>
      </c>
      <c r="AY872" s="12">
        <f>IF(AR872="", AP872, AR872)</f>
        <v>31</v>
      </c>
      <c r="AZ872" s="12" t="s">
        <v>52</v>
      </c>
      <c r="BA872" s="12" t="str">
        <f>IF(AZ872="high","high","lower")</f>
        <v>high</v>
      </c>
      <c r="BB872" s="49">
        <v>0.877</v>
      </c>
      <c r="BC872" s="12">
        <v>84</v>
      </c>
      <c r="BD872" s="12">
        <v>89.7</v>
      </c>
      <c r="BE872" s="12">
        <v>70.8</v>
      </c>
      <c r="BF872" s="12">
        <v>89.2</v>
      </c>
      <c r="BG872" s="18" t="s">
        <v>1030</v>
      </c>
      <c r="BH872" s="18" t="s">
        <v>1031</v>
      </c>
    </row>
    <row r="873" spans="1:60" ht="15.75" customHeight="1" x14ac:dyDescent="0.2">
      <c r="A873" s="11">
        <v>876</v>
      </c>
      <c r="B873" s="22">
        <v>12371</v>
      </c>
      <c r="C873" s="13" t="s">
        <v>999</v>
      </c>
      <c r="D873" s="13" t="s">
        <v>38</v>
      </c>
      <c r="E873" s="13">
        <v>2015</v>
      </c>
      <c r="F873" s="13">
        <v>2016</v>
      </c>
      <c r="G873" s="13" t="s">
        <v>1000</v>
      </c>
      <c r="H873" s="13"/>
      <c r="I873" s="13" t="s">
        <v>40</v>
      </c>
      <c r="J873" s="13" t="s">
        <v>40</v>
      </c>
      <c r="K873" s="14"/>
      <c r="L873" s="15">
        <v>100</v>
      </c>
      <c r="M873" s="26">
        <v>43.6</v>
      </c>
      <c r="N873" s="13" t="s">
        <v>42</v>
      </c>
      <c r="O873" s="14" t="s">
        <v>1001</v>
      </c>
      <c r="P873" s="12">
        <v>1</v>
      </c>
      <c r="Q873" s="12">
        <v>253</v>
      </c>
      <c r="R873" s="17"/>
      <c r="S873" s="17"/>
      <c r="T873" s="17">
        <v>39</v>
      </c>
      <c r="U873" s="17">
        <v>21</v>
      </c>
      <c r="V873" s="17">
        <v>65</v>
      </c>
      <c r="W873" s="17"/>
      <c r="X873" s="17"/>
      <c r="Y873" s="17"/>
      <c r="Z873" s="17" t="str">
        <f>IF(T873="", "mean", "med")</f>
        <v>med</v>
      </c>
      <c r="AA873" s="17">
        <f>IF(T873="", R873, T873)</f>
        <v>39</v>
      </c>
      <c r="AB873" s="12">
        <v>1</v>
      </c>
      <c r="AC873" s="13">
        <v>238</v>
      </c>
      <c r="AD873" s="12"/>
      <c r="AE873" s="12"/>
      <c r="AF873" s="12">
        <v>34</v>
      </c>
      <c r="AG873" s="12">
        <v>17</v>
      </c>
      <c r="AH873" s="12">
        <v>99.7</v>
      </c>
      <c r="AI873" s="12"/>
      <c r="AJ873" s="12"/>
      <c r="AK873" s="12"/>
      <c r="AL873" s="12" t="str">
        <f>IF(AF873="", "mean", "med")</f>
        <v>med</v>
      </c>
      <c r="AM873" s="12">
        <f>IF(AF873="", AD873, AF873)</f>
        <v>34</v>
      </c>
      <c r="AN873" s="12">
        <v>1</v>
      </c>
      <c r="AO873" s="12">
        <v>243</v>
      </c>
      <c r="AP873" s="12"/>
      <c r="AQ873" s="12"/>
      <c r="AR873" s="12">
        <v>15</v>
      </c>
      <c r="AS873" s="12">
        <v>2</v>
      </c>
      <c r="AT873" s="12">
        <v>72</v>
      </c>
      <c r="AU873" s="12"/>
      <c r="AV873" s="12"/>
      <c r="AW873" s="12"/>
      <c r="AX873" s="12" t="str">
        <f>IF(AR873="", "mean", "med")</f>
        <v>med</v>
      </c>
      <c r="AY873" s="12">
        <f>IF(AR873="", AP873, AR873)</f>
        <v>15</v>
      </c>
      <c r="AZ873" s="49" t="s">
        <v>886</v>
      </c>
      <c r="BA873" s="49" t="str">
        <f>IF(AZ873="high","high","lower")</f>
        <v>lower</v>
      </c>
      <c r="BB873" s="49">
        <v>0.74199999999999999</v>
      </c>
      <c r="BC873" s="49"/>
      <c r="BD873" s="49"/>
      <c r="BE873" s="49"/>
      <c r="BF873" s="49"/>
      <c r="BG873" s="18" t="s">
        <v>1030</v>
      </c>
      <c r="BH873" s="18" t="s">
        <v>1031</v>
      </c>
    </row>
    <row r="874" spans="1:60" ht="15.75" customHeight="1" x14ac:dyDescent="0.2">
      <c r="B874" s="12"/>
      <c r="C874" s="13"/>
      <c r="D874" s="13"/>
      <c r="E874" s="13"/>
      <c r="F874" s="13"/>
      <c r="G874" s="13"/>
      <c r="H874" s="13"/>
      <c r="I874" s="13"/>
      <c r="J874" s="13"/>
      <c r="K874" s="13"/>
      <c r="L874" s="15"/>
      <c r="M874" s="26"/>
      <c r="N874" s="13"/>
      <c r="O874" s="13"/>
      <c r="P874" s="12"/>
      <c r="Q874" s="12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2"/>
      <c r="AC874" s="13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49"/>
      <c r="BA874" s="49"/>
      <c r="BB874" s="49"/>
      <c r="BC874" s="49"/>
      <c r="BD874" s="49"/>
      <c r="BE874" s="49"/>
      <c r="BF874" s="49"/>
    </row>
    <row r="875" spans="1:60" ht="15.75" customHeight="1" x14ac:dyDescent="0.2">
      <c r="B875" s="12"/>
      <c r="C875" s="13"/>
      <c r="D875" s="13"/>
      <c r="E875" s="13"/>
      <c r="F875" s="13"/>
      <c r="G875" s="13"/>
      <c r="H875" s="13"/>
      <c r="I875" s="13"/>
      <c r="J875" s="13"/>
      <c r="K875" s="13"/>
      <c r="L875" s="15"/>
      <c r="M875" s="26"/>
      <c r="N875" s="13"/>
      <c r="O875" s="13"/>
      <c r="P875" s="12"/>
      <c r="Q875" s="12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2"/>
      <c r="AC875" s="13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49"/>
      <c r="BA875" s="49"/>
      <c r="BB875" s="49"/>
      <c r="BC875" s="49"/>
      <c r="BD875" s="49"/>
      <c r="BE875" s="49"/>
      <c r="BF875" s="49"/>
    </row>
  </sheetData>
  <sortState ref="A2:BJ881">
    <sortCondition ref="A2:A881"/>
  </sortState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Dafina Petrova</dc:creator>
  <cp:lastModifiedBy>Dafina Petrova</cp:lastModifiedBy>
  <dcterms:created xsi:type="dcterms:W3CDTF">2021-10-04T08:50:15Z</dcterms:created>
  <dcterms:modified xsi:type="dcterms:W3CDTF">2022-06-29T09:15:42Z</dcterms:modified>
</cp:coreProperties>
</file>