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9c1\AC\Temp\"/>
    </mc:Choice>
  </mc:AlternateContent>
  <xr:revisionPtr revIDLastSave="0" documentId="8_{AC78B528-2A60-44FA-A5F5-E44536916D7B}" xr6:coauthVersionLast="47" xr6:coauthVersionMax="47" xr10:uidLastSave="{00000000-0000-0000-0000-000000000000}"/>
  <bookViews>
    <workbookView xWindow="-60" yWindow="-60" windowWidth="15480" windowHeight="11640" firstSheet="4" activeTab="4" xr2:uid="{00000000-000D-0000-FFFF-FFFF00000000}"/>
  </bookViews>
  <sheets>
    <sheet name="W 52ktm Vc 1-1 (2)" sheetId="16" r:id="rId1"/>
    <sheet name="W 52ktm US 1-3" sheetId="15" r:id="rId2"/>
    <sheet name="W 52ktm Vc 1-1" sheetId="6" r:id="rId3"/>
    <sheet name="Arica + Mat - slv + Gye (2)" sheetId="13" r:id="rId4"/>
    <sheet name="Arica - slv + Gye" sheetId="11" r:id="rId5"/>
    <sheet name="ACEITES CALLAO+ ILO (2)" sheetId="12" r:id="rId6"/>
    <sheet name="ACEITES CALLAO+ ILO" sheetId="10" r:id="rId7"/>
    <sheet name="NOPAC - PAITA MATARANI" sheetId="9" r:id="rId8"/>
    <sheet name="GRAINS africa - plate" sheetId="8" r:id="rId9"/>
    <sheet name="Hoja1" sheetId="14" r:id="rId10"/>
    <sheet name="CHIMBOTE-DALIAN" sheetId="7" r:id="rId11"/>
    <sheet name="10,000 MT  CALLAO VALPARAISO" sheetId="5" r:id="rId12"/>
    <sheet name="10,000 MT  HUACHO VALPARAISO" sheetId="4" r:id="rId13"/>
    <sheet name="30,000 coal slv" sheetId="1" r:id="rId14"/>
    <sheet name="Sheet2" sheetId="2" r:id="rId15"/>
    <sheet name="Sheet3" sheetId="3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1" l="1"/>
  <c r="D42" i="6"/>
  <c r="D41" i="6"/>
  <c r="F4" i="6"/>
  <c r="F5" i="6"/>
  <c r="S20" i="11"/>
  <c r="S18" i="11"/>
  <c r="S16" i="11"/>
  <c r="R16" i="11"/>
  <c r="Q16" i="11"/>
  <c r="Q14" i="11"/>
  <c r="R14" i="11"/>
  <c r="S14" i="11"/>
  <c r="S12" i="11"/>
  <c r="E3" i="1"/>
  <c r="E22" i="1"/>
  <c r="E4" i="1"/>
  <c r="E5" i="1"/>
  <c r="E6" i="1"/>
  <c r="E21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B26" i="1"/>
  <c r="D35" i="1"/>
  <c r="D36" i="1"/>
  <c r="C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C55" i="1"/>
  <c r="C56" i="1"/>
  <c r="C57" i="1"/>
  <c r="D57" i="1"/>
  <c r="C58" i="1"/>
  <c r="D58" i="1"/>
  <c r="C59" i="1"/>
  <c r="C60" i="1"/>
  <c r="C61" i="1"/>
  <c r="C62" i="1"/>
  <c r="C63" i="1"/>
  <c r="C64" i="1"/>
  <c r="C65" i="1"/>
  <c r="B66" i="1"/>
  <c r="D68" i="1"/>
  <c r="E68" i="1"/>
  <c r="A81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B26" i="4"/>
  <c r="D35" i="4"/>
  <c r="D36" i="4"/>
  <c r="C54" i="4"/>
  <c r="C55" i="4"/>
  <c r="C68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C56" i="4"/>
  <c r="C57" i="4"/>
  <c r="D57" i="4"/>
  <c r="C58" i="4"/>
  <c r="C59" i="4"/>
  <c r="C60" i="4"/>
  <c r="C61" i="4"/>
  <c r="C62" i="4"/>
  <c r="C63" i="4"/>
  <c r="C64" i="4"/>
  <c r="C65" i="4"/>
  <c r="B66" i="4"/>
  <c r="D68" i="4"/>
  <c r="E68" i="4"/>
  <c r="A81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B26" i="5"/>
  <c r="D35" i="5"/>
  <c r="C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C55" i="5"/>
  <c r="C56" i="5"/>
  <c r="C57" i="5"/>
  <c r="D57" i="5"/>
  <c r="C58" i="5"/>
  <c r="C59" i="5"/>
  <c r="C60" i="5"/>
  <c r="C61" i="5"/>
  <c r="C62" i="5"/>
  <c r="C63" i="5"/>
  <c r="C64" i="5"/>
  <c r="C65" i="5"/>
  <c r="B66" i="5"/>
  <c r="D68" i="5"/>
  <c r="E68" i="5"/>
  <c r="A81" i="5"/>
  <c r="E3" i="7"/>
  <c r="E4" i="7"/>
  <c r="D5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B26" i="7"/>
  <c r="D35" i="7"/>
  <c r="C54" i="7"/>
  <c r="C55" i="7"/>
  <c r="C68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C56" i="7"/>
  <c r="C57" i="7"/>
  <c r="C58" i="7"/>
  <c r="J58" i="7"/>
  <c r="C59" i="7"/>
  <c r="C60" i="7"/>
  <c r="C61" i="7"/>
  <c r="C62" i="7"/>
  <c r="C63" i="7"/>
  <c r="C64" i="7"/>
  <c r="C65" i="7"/>
  <c r="B66" i="7"/>
  <c r="J67" i="7"/>
  <c r="D68" i="7"/>
  <c r="E68" i="7"/>
  <c r="A81" i="7"/>
  <c r="D5" i="8"/>
  <c r="D6" i="8"/>
  <c r="C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C22" i="8"/>
  <c r="C23" i="8"/>
  <c r="C24" i="8"/>
  <c r="C25" i="8"/>
  <c r="D25" i="8"/>
  <c r="D35" i="8"/>
  <c r="C26" i="8"/>
  <c r="C27" i="8"/>
  <c r="D27" i="8"/>
  <c r="C28" i="8"/>
  <c r="D28" i="8"/>
  <c r="C29" i="8"/>
  <c r="C30" i="8"/>
  <c r="C31" i="8"/>
  <c r="C32" i="8"/>
  <c r="B33" i="8"/>
  <c r="E35" i="8"/>
  <c r="H35" i="8"/>
  <c r="Q38" i="8"/>
  <c r="Q40" i="8"/>
  <c r="Q41" i="8"/>
  <c r="A42" i="8"/>
  <c r="O42" i="8"/>
  <c r="Q42" i="8"/>
  <c r="P42" i="8"/>
  <c r="P43" i="8"/>
  <c r="E45" i="8"/>
  <c r="E46" i="8"/>
  <c r="E51" i="8"/>
  <c r="J46" i="8"/>
  <c r="E47" i="8"/>
  <c r="E48" i="8"/>
  <c r="E49" i="8"/>
  <c r="E50" i="8"/>
  <c r="B54" i="8"/>
  <c r="K54" i="8"/>
  <c r="J55" i="8"/>
  <c r="K55" i="8"/>
  <c r="J56" i="8"/>
  <c r="K56" i="8"/>
  <c r="J57" i="8"/>
  <c r="L6" i="9"/>
  <c r="C7" i="9"/>
  <c r="L7" i="9"/>
  <c r="L13" i="9"/>
  <c r="C8" i="9"/>
  <c r="C9" i="9"/>
  <c r="L23" i="9"/>
  <c r="L8" i="9"/>
  <c r="L9" i="9"/>
  <c r="M12" i="9"/>
  <c r="D27" i="9"/>
  <c r="N13" i="9"/>
  <c r="K18" i="9"/>
  <c r="C15" i="9"/>
  <c r="G15" i="9"/>
  <c r="H15" i="9"/>
  <c r="M8" i="9"/>
  <c r="G16" i="9"/>
  <c r="H16" i="9"/>
  <c r="M9" i="9"/>
  <c r="F19" i="9"/>
  <c r="F14" i="9"/>
  <c r="G14" i="9"/>
  <c r="H14" i="9"/>
  <c r="K19" i="9"/>
  <c r="L33" i="9"/>
  <c r="C44" i="9"/>
  <c r="D5" i="10"/>
  <c r="H11" i="10"/>
  <c r="I20" i="10"/>
  <c r="C21" i="10"/>
  <c r="I21" i="10"/>
  <c r="C22" i="10"/>
  <c r="G22" i="10"/>
  <c r="H22" i="10"/>
  <c r="I22" i="10"/>
  <c r="C23" i="10"/>
  <c r="C24" i="10"/>
  <c r="D24" i="10"/>
  <c r="C25" i="10"/>
  <c r="C26" i="10"/>
  <c r="C36" i="10"/>
  <c r="C27" i="10"/>
  <c r="C28" i="10"/>
  <c r="C29" i="10"/>
  <c r="C30" i="10"/>
  <c r="C31" i="10"/>
  <c r="C32" i="10"/>
  <c r="C33" i="10"/>
  <c r="B34" i="10"/>
  <c r="E36" i="10"/>
  <c r="A43" i="10"/>
  <c r="E46" i="10"/>
  <c r="E47" i="10"/>
  <c r="E56" i="10"/>
  <c r="B48" i="10"/>
  <c r="D48" i="10"/>
  <c r="E48" i="10"/>
  <c r="E49" i="10"/>
  <c r="E50" i="10"/>
  <c r="E51" i="10"/>
  <c r="E52" i="10"/>
  <c r="E53" i="10"/>
  <c r="E54" i="10"/>
  <c r="E55" i="10"/>
  <c r="E57" i="10"/>
  <c r="E59" i="10"/>
  <c r="B59" i="10"/>
  <c r="D5" i="12"/>
  <c r="D6" i="12"/>
  <c r="H11" i="12"/>
  <c r="I20" i="12"/>
  <c r="C21" i="12"/>
  <c r="I21" i="12"/>
  <c r="I22" i="12"/>
  <c r="G22" i="12"/>
  <c r="C22" i="12"/>
  <c r="H22" i="12"/>
  <c r="C23" i="12"/>
  <c r="C24" i="12"/>
  <c r="D24" i="12"/>
  <c r="C25" i="12"/>
  <c r="D25" i="12"/>
  <c r="D26" i="12"/>
  <c r="D27" i="12"/>
  <c r="C26" i="12"/>
  <c r="C27" i="12"/>
  <c r="C28" i="12"/>
  <c r="C29" i="12"/>
  <c r="C30" i="12"/>
  <c r="C31" i="12"/>
  <c r="C32" i="12"/>
  <c r="C33" i="12"/>
  <c r="B34" i="12"/>
  <c r="E36" i="12"/>
  <c r="A43" i="12"/>
  <c r="E46" i="12"/>
  <c r="E47" i="12"/>
  <c r="B48" i="12"/>
  <c r="B59" i="12"/>
  <c r="D48" i="12"/>
  <c r="E48" i="12"/>
  <c r="E49" i="12"/>
  <c r="E50" i="12"/>
  <c r="E51" i="12"/>
  <c r="E52" i="12"/>
  <c r="E53" i="12"/>
  <c r="E54" i="12"/>
  <c r="E55" i="12"/>
  <c r="E56" i="12"/>
  <c r="D5" i="11"/>
  <c r="D6" i="11"/>
  <c r="H17" i="11"/>
  <c r="I17" i="11"/>
  <c r="J17" i="11"/>
  <c r="K17" i="11"/>
  <c r="L17" i="11"/>
  <c r="M17" i="11"/>
  <c r="H18" i="11"/>
  <c r="I18" i="11"/>
  <c r="J18" i="11"/>
  <c r="K18" i="11"/>
  <c r="L18" i="11"/>
  <c r="M18" i="11"/>
  <c r="H19" i="11"/>
  <c r="I19" i="11"/>
  <c r="J19" i="11"/>
  <c r="K19" i="11"/>
  <c r="L19" i="11"/>
  <c r="M19" i="11"/>
  <c r="H20" i="11"/>
  <c r="I20" i="11"/>
  <c r="J20" i="11"/>
  <c r="K20" i="11"/>
  <c r="L20" i="11"/>
  <c r="M20" i="11"/>
  <c r="C21" i="11"/>
  <c r="H21" i="11"/>
  <c r="I21" i="11"/>
  <c r="J21" i="11"/>
  <c r="K21" i="11"/>
  <c r="L21" i="11"/>
  <c r="M21" i="11"/>
  <c r="C22" i="11"/>
  <c r="H22" i="11"/>
  <c r="I22" i="11"/>
  <c r="J22" i="11"/>
  <c r="K22" i="11"/>
  <c r="L22" i="11"/>
  <c r="M22" i="11"/>
  <c r="C23" i="11"/>
  <c r="D23" i="11"/>
  <c r="D36" i="11"/>
  <c r="C24" i="11"/>
  <c r="D24" i="11"/>
  <c r="C25" i="11"/>
  <c r="C36" i="11"/>
  <c r="D25" i="11"/>
  <c r="C26" i="11"/>
  <c r="C27" i="11"/>
  <c r="C28" i="11"/>
  <c r="C29" i="11"/>
  <c r="N29" i="11"/>
  <c r="N30" i="11"/>
  <c r="O29" i="11"/>
  <c r="O30" i="11"/>
  <c r="C30" i="11"/>
  <c r="C31" i="11"/>
  <c r="C32" i="11"/>
  <c r="C33" i="11"/>
  <c r="B34" i="11"/>
  <c r="E36" i="11"/>
  <c r="A43" i="11"/>
  <c r="E46" i="11"/>
  <c r="E47" i="11"/>
  <c r="E56" i="11"/>
  <c r="E48" i="11"/>
  <c r="E49" i="11"/>
  <c r="E50" i="11"/>
  <c r="E51" i="11"/>
  <c r="E52" i="11"/>
  <c r="E53" i="11"/>
  <c r="E54" i="11"/>
  <c r="E55" i="11"/>
  <c r="B59" i="11"/>
  <c r="G3" i="13"/>
  <c r="G4" i="13"/>
  <c r="D5" i="13"/>
  <c r="D6" i="13"/>
  <c r="H17" i="13"/>
  <c r="I17" i="13"/>
  <c r="J17" i="13"/>
  <c r="K17" i="13"/>
  <c r="L17" i="13"/>
  <c r="M17" i="13"/>
  <c r="H18" i="13"/>
  <c r="I18" i="13"/>
  <c r="J18" i="13"/>
  <c r="K18" i="13"/>
  <c r="L18" i="13"/>
  <c r="M18" i="13"/>
  <c r="H19" i="13"/>
  <c r="I19" i="13"/>
  <c r="J19" i="13"/>
  <c r="K19" i="13"/>
  <c r="L19" i="13"/>
  <c r="M19" i="13"/>
  <c r="H20" i="13"/>
  <c r="I20" i="13"/>
  <c r="J20" i="13"/>
  <c r="K20" i="13"/>
  <c r="L20" i="13"/>
  <c r="M20" i="13"/>
  <c r="C21" i="13"/>
  <c r="H21" i="13"/>
  <c r="I21" i="13"/>
  <c r="J21" i="13"/>
  <c r="K21" i="13"/>
  <c r="L21" i="13"/>
  <c r="M21" i="13"/>
  <c r="C22" i="13"/>
  <c r="H22" i="13"/>
  <c r="I22" i="13"/>
  <c r="J22" i="13"/>
  <c r="K22" i="13"/>
  <c r="L22" i="13"/>
  <c r="M22" i="13"/>
  <c r="C23" i="13"/>
  <c r="C36" i="13"/>
  <c r="D23" i="13"/>
  <c r="C24" i="13"/>
  <c r="C25" i="13"/>
  <c r="D25" i="13"/>
  <c r="C26" i="13"/>
  <c r="D26" i="13"/>
  <c r="C27" i="13"/>
  <c r="D27" i="13"/>
  <c r="C28" i="13"/>
  <c r="C29" i="13"/>
  <c r="C30" i="13"/>
  <c r="C31" i="13"/>
  <c r="C32" i="13"/>
  <c r="C33" i="13"/>
  <c r="B34" i="13"/>
  <c r="E36" i="13"/>
  <c r="A43" i="13"/>
  <c r="E46" i="13"/>
  <c r="E48" i="13"/>
  <c r="E49" i="13"/>
  <c r="E50" i="13"/>
  <c r="E51" i="13"/>
  <c r="E52" i="13"/>
  <c r="E53" i="13"/>
  <c r="E54" i="13"/>
  <c r="E55" i="13"/>
  <c r="B59" i="13"/>
  <c r="E3" i="6"/>
  <c r="E4" i="6"/>
  <c r="E13" i="6"/>
  <c r="E5" i="6"/>
  <c r="J5" i="6"/>
  <c r="E6" i="6"/>
  <c r="E7" i="6"/>
  <c r="E8" i="6"/>
  <c r="E9" i="6"/>
  <c r="E10" i="6"/>
  <c r="J10" i="6"/>
  <c r="E11" i="6"/>
  <c r="E12" i="6"/>
  <c r="H11" i="6"/>
  <c r="J11" i="6"/>
  <c r="I13" i="6"/>
  <c r="J13" i="6"/>
  <c r="H13" i="6"/>
  <c r="B16" i="6"/>
  <c r="D21" i="6"/>
  <c r="D22" i="6"/>
  <c r="M23" i="6"/>
  <c r="C38" i="6"/>
  <c r="F39" i="6"/>
  <c r="G39" i="6"/>
  <c r="F40" i="6"/>
  <c r="G40" i="6"/>
  <c r="F41" i="6"/>
  <c r="G41" i="6"/>
  <c r="F42" i="6"/>
  <c r="G42" i="6"/>
  <c r="I38" i="6"/>
  <c r="C39" i="6"/>
  <c r="C40" i="6"/>
  <c r="C41" i="6"/>
  <c r="D52" i="6"/>
  <c r="C42" i="6"/>
  <c r="C43" i="6"/>
  <c r="C44" i="6"/>
  <c r="C45" i="6"/>
  <c r="C46" i="6"/>
  <c r="C47" i="6"/>
  <c r="C48" i="6"/>
  <c r="C49" i="6"/>
  <c r="B50" i="6"/>
  <c r="E52" i="6"/>
  <c r="G25" i="6"/>
  <c r="A65" i="6"/>
  <c r="U132" i="6"/>
  <c r="M137" i="6"/>
  <c r="N137" i="6"/>
  <c r="O137" i="6"/>
  <c r="P137" i="6"/>
  <c r="E3" i="15"/>
  <c r="E4" i="15"/>
  <c r="E5" i="15"/>
  <c r="E7" i="15"/>
  <c r="E8" i="15"/>
  <c r="E9" i="15"/>
  <c r="E10" i="15"/>
  <c r="E11" i="15"/>
  <c r="E12" i="15"/>
  <c r="B16" i="15"/>
  <c r="D21" i="15"/>
  <c r="D22" i="15"/>
  <c r="M23" i="15"/>
  <c r="C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I38" i="15"/>
  <c r="C39" i="15"/>
  <c r="C40" i="15"/>
  <c r="C41" i="15"/>
  <c r="D41" i="15"/>
  <c r="C42" i="15"/>
  <c r="C43" i="15"/>
  <c r="D43" i="15"/>
  <c r="C44" i="15"/>
  <c r="C45" i="15"/>
  <c r="C46" i="15"/>
  <c r="C47" i="15"/>
  <c r="C48" i="15"/>
  <c r="C49" i="15"/>
  <c r="B50" i="15"/>
  <c r="E52" i="15"/>
  <c r="A65" i="15"/>
  <c r="E153" i="15"/>
  <c r="F153" i="15"/>
  <c r="D157" i="15"/>
  <c r="C157" i="15"/>
  <c r="E157" i="15"/>
  <c r="F157" i="15"/>
  <c r="F166" i="15"/>
  <c r="F167" i="15"/>
  <c r="E3" i="16"/>
  <c r="E4" i="16"/>
  <c r="E5" i="16"/>
  <c r="E6" i="16"/>
  <c r="E7" i="16"/>
  <c r="E14" i="16"/>
  <c r="E9" i="16"/>
  <c r="E10" i="16"/>
  <c r="E11" i="16"/>
  <c r="E12" i="16"/>
  <c r="B16" i="16"/>
  <c r="D21" i="16"/>
  <c r="D22" i="16"/>
  <c r="C38" i="16"/>
  <c r="C52" i="16"/>
  <c r="B29" i="16"/>
  <c r="E29" i="16"/>
  <c r="I38" i="16"/>
  <c r="C39" i="16"/>
  <c r="C40" i="16"/>
  <c r="C41" i="16"/>
  <c r="D41" i="16"/>
  <c r="C42" i="16"/>
  <c r="D42" i="16"/>
  <c r="D52" i="16"/>
  <c r="C43" i="16"/>
  <c r="C44" i="16"/>
  <c r="C45" i="16"/>
  <c r="C46" i="16"/>
  <c r="C47" i="16"/>
  <c r="C48" i="16"/>
  <c r="C49" i="16"/>
  <c r="B50" i="16"/>
  <c r="E52" i="16"/>
  <c r="A65" i="16"/>
  <c r="E153" i="16"/>
  <c r="D157" i="16"/>
  <c r="C157" i="16"/>
  <c r="F166" i="16"/>
  <c r="F167" i="16"/>
  <c r="B12" i="13"/>
  <c r="E12" i="13"/>
  <c r="B12" i="11"/>
  <c r="E12" i="11"/>
  <c r="B4" i="11"/>
  <c r="B13" i="11"/>
  <c r="E13" i="11"/>
  <c r="F36" i="11"/>
  <c r="C36" i="12"/>
  <c r="E26" i="1"/>
  <c r="F153" i="16"/>
  <c r="E157" i="16"/>
  <c r="F157" i="16"/>
  <c r="E8" i="16"/>
  <c r="E13" i="16"/>
  <c r="E16" i="16"/>
  <c r="E5" i="11"/>
  <c r="K57" i="8"/>
  <c r="J58" i="8"/>
  <c r="M57" i="8"/>
  <c r="C52" i="15"/>
  <c r="B20" i="16"/>
  <c r="Q137" i="6"/>
  <c r="E57" i="11"/>
  <c r="E59" i="11"/>
  <c r="E57" i="12"/>
  <c r="E59" i="12"/>
  <c r="D36" i="12"/>
  <c r="F36" i="12"/>
  <c r="E27" i="9"/>
  <c r="D32" i="9"/>
  <c r="E32" i="9"/>
  <c r="E21" i="5"/>
  <c r="E21" i="4"/>
  <c r="E21" i="7"/>
  <c r="B30" i="16"/>
  <c r="E30" i="16"/>
  <c r="B43" i="7"/>
  <c r="E43" i="7"/>
  <c r="B34" i="7"/>
  <c r="B44" i="7"/>
  <c r="E44" i="7"/>
  <c r="B43" i="4"/>
  <c r="E43" i="4"/>
  <c r="B34" i="4"/>
  <c r="B44" i="4"/>
  <c r="E44" i="4"/>
  <c r="D52" i="15"/>
  <c r="D36" i="13"/>
  <c r="F36" i="13"/>
  <c r="D36" i="10"/>
  <c r="F36" i="10"/>
  <c r="M7" i="9"/>
  <c r="M11" i="9"/>
  <c r="D26" i="9"/>
  <c r="H19" i="9"/>
  <c r="C16" i="9"/>
  <c r="D25" i="9"/>
  <c r="E47" i="13"/>
  <c r="E56" i="13"/>
  <c r="E57" i="13"/>
  <c r="E59" i="13"/>
  <c r="E35" i="7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E6" i="15"/>
  <c r="E13" i="15"/>
  <c r="E14" i="15"/>
  <c r="D25" i="10"/>
  <c r="D26" i="10"/>
  <c r="D27" i="10"/>
  <c r="G19" i="9"/>
  <c r="C68" i="5"/>
  <c r="C68" i="1"/>
  <c r="C35" i="8"/>
  <c r="E52" i="8"/>
  <c r="E54" i="8"/>
  <c r="E22" i="5"/>
  <c r="D6" i="10"/>
  <c r="D36" i="5"/>
  <c r="E22" i="7"/>
  <c r="E26" i="7"/>
  <c r="D36" i="7"/>
  <c r="E22" i="4"/>
  <c r="E26" i="4"/>
  <c r="B43" i="5"/>
  <c r="E43" i="5"/>
  <c r="B34" i="5"/>
  <c r="B44" i="5"/>
  <c r="E44" i="5"/>
  <c r="E34" i="7"/>
  <c r="E36" i="7"/>
  <c r="E79" i="7"/>
  <c r="E81" i="7"/>
  <c r="E48" i="7"/>
  <c r="D30" i="9"/>
  <c r="E30" i="9"/>
  <c r="E25" i="9"/>
  <c r="E28" i="9"/>
  <c r="D35" i="9"/>
  <c r="E35" i="9"/>
  <c r="E16" i="15"/>
  <c r="C18" i="9"/>
  <c r="K16" i="9"/>
  <c r="C17" i="9"/>
  <c r="B43" i="1"/>
  <c r="E43" i="1"/>
  <c r="B34" i="1"/>
  <c r="B44" i="1"/>
  <c r="E44" i="1"/>
  <c r="B13" i="10"/>
  <c r="E13" i="10"/>
  <c r="E20" i="16"/>
  <c r="E22" i="16"/>
  <c r="E63" i="16"/>
  <c r="E65" i="16"/>
  <c r="E34" i="16"/>
  <c r="E21" i="16"/>
  <c r="B4" i="13"/>
  <c r="B20" i="15"/>
  <c r="B30" i="15"/>
  <c r="E30" i="15"/>
  <c r="B29" i="15"/>
  <c r="E29" i="15"/>
  <c r="E34" i="4"/>
  <c r="E48" i="4"/>
  <c r="B4" i="10"/>
  <c r="K58" i="8"/>
  <c r="J59" i="8"/>
  <c r="K59" i="8"/>
  <c r="J60" i="8"/>
  <c r="M58" i="8"/>
  <c r="B12" i="12"/>
  <c r="E12" i="12"/>
  <c r="B4" i="12"/>
  <c r="B13" i="12"/>
  <c r="E13" i="12"/>
  <c r="E26" i="5"/>
  <c r="E4" i="11"/>
  <c r="E6" i="11"/>
  <c r="E17" i="11"/>
  <c r="B12" i="8"/>
  <c r="E12" i="8"/>
  <c r="B4" i="8"/>
  <c r="B13" i="8"/>
  <c r="E13" i="8"/>
  <c r="E35" i="4"/>
  <c r="E26" i="9"/>
  <c r="D31" i="9"/>
  <c r="E31" i="9"/>
  <c r="B12" i="10"/>
  <c r="E12" i="10"/>
  <c r="B13" i="13"/>
  <c r="E13" i="13"/>
  <c r="E64" i="16"/>
  <c r="E80" i="7"/>
  <c r="G3" i="7"/>
  <c r="E4" i="10"/>
  <c r="E17" i="10"/>
  <c r="E5" i="10"/>
  <c r="E48" i="1"/>
  <c r="E35" i="1"/>
  <c r="E34" i="1"/>
  <c r="E41" i="11"/>
  <c r="E20" i="15"/>
  <c r="E34" i="15"/>
  <c r="E21" i="15"/>
  <c r="E33" i="9"/>
  <c r="D36" i="9"/>
  <c r="E36" i="9"/>
  <c r="E38" i="9"/>
  <c r="K17" i="9"/>
  <c r="E36" i="4"/>
  <c r="E79" i="4"/>
  <c r="E17" i="13"/>
  <c r="E5" i="13"/>
  <c r="E4" i="13"/>
  <c r="E6" i="13"/>
  <c r="E41" i="13"/>
  <c r="E4" i="8"/>
  <c r="E17" i="8"/>
  <c r="E5" i="8"/>
  <c r="E4" i="12"/>
  <c r="E5" i="12"/>
  <c r="E17" i="12"/>
  <c r="E34" i="5"/>
  <c r="E48" i="5"/>
  <c r="E35" i="5"/>
  <c r="K20" i="9"/>
  <c r="E81" i="4"/>
  <c r="E80" i="4"/>
  <c r="E6" i="8"/>
  <c r="E40" i="8"/>
  <c r="E6" i="12"/>
  <c r="E41" i="12"/>
  <c r="E43" i="13"/>
  <c r="E42" i="13"/>
  <c r="E42" i="11"/>
  <c r="E36" i="5"/>
  <c r="E79" i="5"/>
  <c r="E22" i="15"/>
  <c r="E63" i="15"/>
  <c r="E6" i="10"/>
  <c r="E41" i="10"/>
  <c r="E36" i="1"/>
  <c r="E79" i="1"/>
  <c r="E43" i="12"/>
  <c r="E42" i="12"/>
  <c r="E42" i="8"/>
  <c r="E41" i="8"/>
  <c r="E81" i="1"/>
  <c r="E80" i="1"/>
  <c r="E43" i="10"/>
  <c r="E42" i="10"/>
  <c r="M17" i="9"/>
  <c r="L19" i="9"/>
  <c r="L24" i="9"/>
  <c r="L25" i="9"/>
  <c r="H26" i="9"/>
  <c r="L29" i="9"/>
  <c r="L30" i="9"/>
  <c r="L18" i="9"/>
  <c r="L16" i="9"/>
  <c r="L17" i="9"/>
  <c r="E65" i="15"/>
  <c r="E64" i="15"/>
  <c r="G3" i="15"/>
  <c r="E81" i="5"/>
  <c r="E80" i="5"/>
  <c r="L20" i="9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C52" i="6"/>
  <c r="B30" i="6"/>
  <c r="E30" i="6"/>
  <c r="E14" i="6"/>
  <c r="E16" i="6"/>
  <c r="B29" i="6"/>
  <c r="E29" i="6"/>
  <c r="B20" i="6"/>
  <c r="E34" i="6"/>
  <c r="E20" i="6"/>
  <c r="E21" i="6"/>
  <c r="G24" i="6"/>
  <c r="E22" i="6"/>
  <c r="G23" i="6"/>
  <c r="E63" i="6"/>
  <c r="E64" i="6"/>
  <c r="G3" i="6"/>
  <c r="E65" i="6"/>
  <c r="G26" i="6"/>
  <c r="H23" i="6"/>
  <c r="H25" i="6"/>
  <c r="H2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3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38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38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2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2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2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2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21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54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54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54" authorId="0" shapeId="0" xr:uid="{00000000-0006-0000-0C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izavala</author>
  </authors>
  <commentList>
    <comment ref="E54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D/A</t>
        </r>
      </text>
    </comment>
  </commentList>
</comments>
</file>

<file path=xl/sharedStrings.xml><?xml version="1.0" encoding="utf-8"?>
<sst xmlns="http://schemas.openxmlformats.org/spreadsheetml/2006/main" count="1001" uniqueCount="205">
  <si>
    <t>Voyage Estimate -</t>
  </si>
  <si>
    <t>Revenue:</t>
  </si>
  <si>
    <t>Commission</t>
  </si>
  <si>
    <t>@</t>
  </si>
  <si>
    <t>Commission total</t>
  </si>
  <si>
    <t>Total freight</t>
  </si>
  <si>
    <t>Total Income</t>
  </si>
  <si>
    <t>Costs</t>
  </si>
  <si>
    <t>Hire days</t>
  </si>
  <si>
    <t>Total hire days</t>
  </si>
  <si>
    <t>Address Commission</t>
  </si>
  <si>
    <t>NET</t>
  </si>
  <si>
    <t xml:space="preserve">Consumption </t>
  </si>
  <si>
    <t>at Sea</t>
  </si>
  <si>
    <t>Working</t>
  </si>
  <si>
    <t>Idle</t>
  </si>
  <si>
    <t>IFO</t>
  </si>
  <si>
    <t>MDO</t>
  </si>
  <si>
    <t>Speed:</t>
  </si>
  <si>
    <t>Bunkers:</t>
  </si>
  <si>
    <t xml:space="preserve"> IFO:</t>
  </si>
  <si>
    <t>MDO:</t>
  </si>
  <si>
    <t>Ilohc</t>
  </si>
  <si>
    <t>Cables/Victualling/Enterntainment</t>
  </si>
  <si>
    <t>Port Expenses:</t>
  </si>
  <si>
    <t>Nautical Miles</t>
  </si>
  <si>
    <t>Sailing days</t>
  </si>
  <si>
    <t>Port stay</t>
  </si>
  <si>
    <t>Estimated time to Delivery</t>
  </si>
  <si>
    <t>Callao</t>
  </si>
  <si>
    <t>Vancouver</t>
  </si>
  <si>
    <t>35K TM   -    PR</t>
  </si>
  <si>
    <t>Paita</t>
  </si>
  <si>
    <t>52 KTM    -    PR</t>
  </si>
  <si>
    <t>Guayaquik</t>
  </si>
  <si>
    <t>60 KTM    -    PR</t>
  </si>
  <si>
    <t>salv</t>
  </si>
  <si>
    <t>35K TM   -    VC</t>
  </si>
  <si>
    <t>52 KTM    -    VC</t>
  </si>
  <si>
    <t>60 KTM    -    VC</t>
  </si>
  <si>
    <t>Total distance</t>
  </si>
  <si>
    <t>Safety days</t>
  </si>
  <si>
    <t>Duration</t>
  </si>
  <si>
    <t>On / Off Hire Surveys</t>
  </si>
  <si>
    <t>DGTA</t>
  </si>
  <si>
    <t>Permiso de navegaci'on</t>
  </si>
  <si>
    <t>Fee for mavigation permit</t>
  </si>
  <si>
    <t>discharging  port 1</t>
  </si>
  <si>
    <t>discharging port 2</t>
  </si>
  <si>
    <t>discharging port 3</t>
  </si>
  <si>
    <t>surveyors</t>
  </si>
  <si>
    <t>PANDI</t>
  </si>
  <si>
    <t>Miscellanius</t>
  </si>
  <si>
    <t>Total Expenses</t>
  </si>
  <si>
    <t>VOYAGE RESULT</t>
  </si>
  <si>
    <t>TCE</t>
  </si>
  <si>
    <t>etd</t>
  </si>
  <si>
    <t>alcance</t>
  </si>
  <si>
    <t>slv</t>
  </si>
  <si>
    <t>Pai</t>
  </si>
  <si>
    <t>Gye</t>
  </si>
  <si>
    <t>COFCO</t>
  </si>
  <si>
    <t>TPA</t>
  </si>
  <si>
    <t>VITERRA</t>
  </si>
  <si>
    <t>CWRS</t>
  </si>
  <si>
    <t>CARGILL</t>
  </si>
  <si>
    <t>HRW</t>
  </si>
  <si>
    <t>RICH</t>
  </si>
  <si>
    <t>CPSR</t>
  </si>
  <si>
    <t>CONTI</t>
  </si>
  <si>
    <t>BUNGE</t>
  </si>
  <si>
    <t>Salaverry</t>
  </si>
  <si>
    <t>Matarani</t>
  </si>
  <si>
    <t>Hosuton</t>
  </si>
  <si>
    <t>Panama canal</t>
  </si>
  <si>
    <t>Guayaquil</t>
  </si>
  <si>
    <t>salaverry</t>
  </si>
  <si>
    <t>Hold No.</t>
  </si>
  <si>
    <t>Cargo Grade</t>
  </si>
  <si>
    <t>Discharging Qtty (MT)</t>
  </si>
  <si>
    <t>CWAD</t>
  </si>
  <si>
    <t>Total Qtty</t>
    <phoneticPr fontId="0" type="noConversion"/>
  </si>
  <si>
    <t>Millas</t>
  </si>
  <si>
    <t>Pisco</t>
  </si>
  <si>
    <t>Buenaventura</t>
  </si>
  <si>
    <t>Arica</t>
  </si>
  <si>
    <t>Días</t>
  </si>
  <si>
    <t>Line up</t>
  </si>
  <si>
    <t>DGTA, permiso de navegacion</t>
  </si>
  <si>
    <t>La Fabril</t>
  </si>
  <si>
    <t>ADM / Cargill</t>
  </si>
  <si>
    <t>LDC</t>
  </si>
  <si>
    <t xml:space="preserve"> </t>
  </si>
  <si>
    <t>Acohol</t>
  </si>
  <si>
    <t>Palma</t>
  </si>
  <si>
    <t>11,000 DWT</t>
  </si>
  <si>
    <t>Mejillones</t>
  </si>
  <si>
    <t>ILO</t>
  </si>
  <si>
    <t>shex</t>
  </si>
  <si>
    <t>Manta</t>
  </si>
  <si>
    <t>pendiente</t>
  </si>
  <si>
    <t>FLETE</t>
  </si>
  <si>
    <t>RITMO DE CARGA/DESCARGA</t>
  </si>
  <si>
    <t>TIEMPO DE NAVEGACION Y COSTOS PORTUARIOS</t>
  </si>
  <si>
    <t>Tonelaje</t>
  </si>
  <si>
    <t xml:space="preserve">Ritmo </t>
  </si>
  <si>
    <t>condiciones</t>
  </si>
  <si>
    <t>TIEMPO ADICIONAL</t>
  </si>
  <si>
    <t>Puerto</t>
  </si>
  <si>
    <t>dias de Naveg</t>
  </si>
  <si>
    <t>estadia en puerto</t>
  </si>
  <si>
    <t>Costos portuarios</t>
  </si>
  <si>
    <t>Flete</t>
  </si>
  <si>
    <t>LOAD RATE</t>
  </si>
  <si>
    <t>SSHEX EIU</t>
  </si>
  <si>
    <t>Ohanama</t>
  </si>
  <si>
    <t>Total flete</t>
  </si>
  <si>
    <t>Disch rate 1</t>
  </si>
  <si>
    <t>SHINC</t>
  </si>
  <si>
    <t>Pago de comision al broker</t>
  </si>
  <si>
    <t>Disch rate 2</t>
  </si>
  <si>
    <t>Total ingreso del armador</t>
  </si>
  <si>
    <t>Disch rate 3</t>
  </si>
  <si>
    <t>COSTO DEL HIRE</t>
  </si>
  <si>
    <t>Tiempo en puerto</t>
  </si>
  <si>
    <t>Total dias en puerto</t>
  </si>
  <si>
    <t>Dias de reserva</t>
  </si>
  <si>
    <t>Hire diario</t>
  </si>
  <si>
    <t>Tons maximo</t>
  </si>
  <si>
    <t>dias en puerto</t>
  </si>
  <si>
    <t>Total días de navegacion</t>
  </si>
  <si>
    <t>add comm</t>
  </si>
  <si>
    <t>Valor neto dia</t>
  </si>
  <si>
    <t>Días de alquiler</t>
  </si>
  <si>
    <t>Costos de alquiler</t>
  </si>
  <si>
    <t>Costo total del hire</t>
  </si>
  <si>
    <t>Costos de combustibles</t>
  </si>
  <si>
    <t>Costo total de Hire NETO</t>
  </si>
  <si>
    <t>Total</t>
  </si>
  <si>
    <t>Otros costos</t>
  </si>
  <si>
    <t>COSTO DE COMBUSTIBLE</t>
  </si>
  <si>
    <t>Velocidad</t>
  </si>
  <si>
    <t>Ganancia del armador</t>
  </si>
  <si>
    <t>Velocidad en navegacion</t>
  </si>
  <si>
    <t>nudos</t>
  </si>
  <si>
    <t>Ingresos del armador</t>
  </si>
  <si>
    <t>Tiempo</t>
  </si>
  <si>
    <t>Tonelaje total</t>
  </si>
  <si>
    <t>Gastos totales</t>
  </si>
  <si>
    <t>Consumo IFO 380 @ Sea</t>
  </si>
  <si>
    <t>Consumo IFO 380 Working</t>
  </si>
  <si>
    <t>Consumo IFO 380 Idle</t>
  </si>
  <si>
    <t>AHORROS</t>
  </si>
  <si>
    <t>Total IFO 380 consumido</t>
  </si>
  <si>
    <t>Flete break even</t>
  </si>
  <si>
    <t>Consumo MDO @ Sea</t>
  </si>
  <si>
    <t>Ahorro vs break even</t>
  </si>
  <si>
    <t>Consumo MDO Working</t>
  </si>
  <si>
    <t>Consumo MDO Idle</t>
  </si>
  <si>
    <t>Flete ofertado por trader</t>
  </si>
  <si>
    <t>Total MDO Consumido</t>
  </si>
  <si>
    <t>Ahorro vs Trader</t>
  </si>
  <si>
    <t>Precio IFO</t>
  </si>
  <si>
    <t>Precio MDO</t>
  </si>
  <si>
    <t>Costo total combustible</t>
  </si>
  <si>
    <t>OTROS COSTOS</t>
  </si>
  <si>
    <t>Limpiado de bodegas</t>
  </si>
  <si>
    <t>Otros</t>
  </si>
  <si>
    <t>MV PUFFIN BULKER</t>
  </si>
  <si>
    <t>SAILED S.KOREA TDY - ETA VANCOUVER OCT 23 AGW</t>
  </si>
  <si>
    <t>-------------------------------</t>
  </si>
  <si>
    <t>BLT 2011 – MARSHALL ISLAND FLAG</t>
  </si>
  <si>
    <t>57,809 MT DWAT ON 12.95M SSW TPC 59.24</t>
  </si>
  <si>
    <t>LOA 189.99 BEAM 32.26M</t>
  </si>
  <si>
    <t>5 HOHA 4 X 35 TS CRANES WITH 14 CBM GRABS SMAG PIENER</t>
  </si>
  <si>
    <t>71549.3 CBM GRAIN – 69760.5 CBM BALE</t>
  </si>
  <si>
    <t>GT 33045 NT 20094</t>
  </si>
  <si>
    <t>14.5 BALLAST ON ABT 35 IFO – 14.0 LADEN ON ABT 36 IFO</t>
  </si>
  <si>
    <t>PORT IDLE 2.5 MT IFO + 0.5 MT MGO – WORKING 6 MT IFO + 0.5 MT MGO</t>
  </si>
  <si>
    <t>ECO SPEED WOG: ABT 12 KN ON 26 BALLAST 28 LADEN AND</t>
  </si>
  <si>
    <t>ABT 11,5KT LADEN ON ABT 26,5 MT IFO</t>
  </si>
  <si>
    <t>VSL IS CO2 FITTED/A60 BULKHEAD</t>
  </si>
  <si>
    <t>ADA</t>
  </si>
  <si>
    <t>africa</t>
  </si>
  <si>
    <t>aditional delays</t>
  </si>
  <si>
    <t>Recalada</t>
  </si>
  <si>
    <t>San Lorenzo</t>
  </si>
  <si>
    <t>Magallanes</t>
  </si>
  <si>
    <t>shinc</t>
  </si>
  <si>
    <t>Nav Paita Manta</t>
  </si>
  <si>
    <t>incremento tiempo de descarga a 10,000</t>
  </si>
  <si>
    <t>Clipper</t>
  </si>
  <si>
    <t>Ultrabulk</t>
  </si>
  <si>
    <t>Eta</t>
  </si>
  <si>
    <t>Etd</t>
  </si>
  <si>
    <t>Necesidad</t>
  </si>
  <si>
    <t>días</t>
  </si>
  <si>
    <t>Panama Canal</t>
  </si>
  <si>
    <t>SBM</t>
  </si>
  <si>
    <t>Resultado</t>
  </si>
  <si>
    <t>SFM</t>
  </si>
  <si>
    <t>CALLAO</t>
  </si>
  <si>
    <t>Valparaiso</t>
  </si>
  <si>
    <t xml:space="preserve">Huacho </t>
  </si>
  <si>
    <t>Dalian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</si>
</sst>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&quot;$&quot;\ #,##0.00;\-&quot;$&quot;\ #,##0.00"/>
    <numFmt numFmtId="165" formatCode="&quot;$&quot;#,##0.00_);\(&quot;$&quot;#,##0.00\)"/>
    <numFmt numFmtId="166" formatCode="_(* #,##0.00_);_(* \(#,##0.00\);_(* &quot;-&quot;??_);_(@_)"/>
    <numFmt numFmtId="167" formatCode="_ * #,##0.00_ ;_ * \-#,##0.00_ ;_ * &quot;-&quot;??_ ;_ @_ "/>
    <numFmt numFmtId="168" formatCode="&quot;$&quot;#,##0.00"/>
    <numFmt numFmtId="169" formatCode="_-&quot;$&quot;* #,##0.00_-;\-&quot;$&quot;* #,##0.00_-;_-&quot;$&quot;* &quot;-&quot;??_-;_-@_-"/>
    <numFmt numFmtId="170" formatCode="_-[$€-2]\ * #,##0.00_-;\-[$€-2]\ * #,##0.00_-;_-[$€-2]\ * &quot;-&quot;??_-"/>
    <numFmt numFmtId="171" formatCode="[$$-409]#,##0.00_);\([$$-409]#,##0.00\)"/>
    <numFmt numFmtId="172" formatCode="[$$-409]#,##0.00"/>
    <numFmt numFmtId="173" formatCode="#,##0.000_);\(#,##0.000\)"/>
    <numFmt numFmtId="174" formatCode="d/m/yy\ h:mm"/>
    <numFmt numFmtId="175" formatCode="0.0000"/>
    <numFmt numFmtId="176" formatCode="_(* #,##0.000_);_(* \(#,##0.000\);_(* &quot;-&quot;??_);_(@_)"/>
    <numFmt numFmtId="177" formatCode="0.0"/>
    <numFmt numFmtId="178" formatCode="_(* #,##0.000_);_(* \(#,##0.000\);_(* &quot;-&quot;???_);_(@_)"/>
    <numFmt numFmtId="179" formatCode="#,##0.000"/>
    <numFmt numFmtId="180" formatCode="[$$-540A]#,##0.00_ ;\-[$$-540A]#,##0.00\ "/>
    <numFmt numFmtId="181" formatCode="_(* #,##0_);_(* \(#,##0\);_(* &quot;-&quot;??_);_(@_)"/>
  </numFmts>
  <fonts count="23">
    <font>
      <sz val="10"/>
      <name val="Arial"/>
    </font>
    <font>
      <sz val="10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8"/>
      <name val="Arial"/>
      <family val="2"/>
    </font>
    <font>
      <b/>
      <sz val="10"/>
      <name val="Century"/>
      <family val="1"/>
    </font>
    <font>
      <b/>
      <sz val="9"/>
      <name val="Century"/>
      <family val="1"/>
    </font>
    <font>
      <sz val="9"/>
      <name val="Century"/>
      <family val="1"/>
    </font>
    <font>
      <b/>
      <sz val="10"/>
      <color indexed="12"/>
      <name val="Century"/>
      <family val="1"/>
    </font>
    <font>
      <sz val="10"/>
      <color rgb="FFFF0000"/>
      <name val="Arial"/>
      <family val="2"/>
    </font>
    <font>
      <sz val="10"/>
      <color rgb="FF000000"/>
      <name val="Courier New"/>
      <family val="3"/>
    </font>
    <font>
      <sz val="8"/>
      <color rgb="FF00B050"/>
      <name val="Arial"/>
      <family val="2"/>
    </font>
    <font>
      <b/>
      <sz val="10"/>
      <color rgb="FFFF0000"/>
      <name val="Century"/>
      <family val="1"/>
    </font>
    <font>
      <b/>
      <sz val="10"/>
      <color rgb="FF0000FF"/>
      <name val="Century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9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</cellStyleXfs>
  <cellXfs count="29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43" fontId="1" fillId="0" borderId="3" xfId="2" applyBorder="1"/>
    <xf numFmtId="0" fontId="0" fillId="0" borderId="3" xfId="0" applyBorder="1" applyAlignment="1">
      <alignment horizontal="center"/>
    </xf>
    <xf numFmtId="43" fontId="1" fillId="0" borderId="4" xfId="2" applyBorder="1"/>
    <xf numFmtId="0" fontId="0" fillId="2" borderId="5" xfId="0" applyFill="1" applyBorder="1" applyProtection="1">
      <protection locked="0"/>
    </xf>
    <xf numFmtId="43" fontId="1" fillId="2" borderId="0" xfId="2" applyFill="1" applyBorder="1" applyProtection="1">
      <protection locked="0"/>
    </xf>
    <xf numFmtId="0" fontId="0" fillId="0" borderId="0" xfId="0" applyAlignment="1">
      <alignment horizontal="center"/>
    </xf>
    <xf numFmtId="165" fontId="1" fillId="2" borderId="0" xfId="2" applyNumberFormat="1" applyFont="1" applyFill="1" applyBorder="1" applyProtection="1">
      <protection locked="0"/>
    </xf>
    <xf numFmtId="168" fontId="1" fillId="0" borderId="6" xfId="3" applyNumberFormat="1" applyBorder="1"/>
    <xf numFmtId="0" fontId="0" fillId="0" borderId="0" xfId="0" applyProtection="1">
      <protection locked="0"/>
    </xf>
    <xf numFmtId="0" fontId="0" fillId="0" borderId="5" xfId="0" applyBorder="1" applyAlignment="1">
      <alignment horizontal="right"/>
    </xf>
    <xf numFmtId="43" fontId="1" fillId="2" borderId="0" xfId="2" applyFill="1" applyBorder="1"/>
    <xf numFmtId="10" fontId="1" fillId="2" borderId="0" xfId="2" applyNumberFormat="1" applyFont="1" applyFill="1" applyBorder="1" applyAlignment="1" applyProtection="1">
      <alignment horizontal="left"/>
      <protection locked="0"/>
    </xf>
    <xf numFmtId="0" fontId="0" fillId="2" borderId="5" xfId="0" applyFill="1" applyBorder="1" applyAlignment="1" applyProtection="1">
      <alignment horizontal="left"/>
      <protection locked="0"/>
    </xf>
    <xf numFmtId="165" fontId="1" fillId="2" borderId="0" xfId="2" applyNumberFormat="1" applyFont="1" applyFill="1" applyBorder="1" applyAlignment="1" applyProtection="1">
      <protection locked="0"/>
    </xf>
    <xf numFmtId="164" fontId="1" fillId="2" borderId="0" xfId="4" applyNumberFormat="1" applyFont="1" applyFill="1" applyBorder="1" applyAlignment="1" applyProtection="1">
      <alignment horizontal="right"/>
      <protection locked="0"/>
    </xf>
    <xf numFmtId="171" fontId="1" fillId="2" borderId="0" xfId="2" applyNumberFormat="1" applyFill="1" applyBorder="1" applyProtection="1">
      <protection locked="0"/>
    </xf>
    <xf numFmtId="10" fontId="1" fillId="2" borderId="0" xfId="2" applyNumberFormat="1" applyFill="1" applyBorder="1" applyAlignment="1" applyProtection="1">
      <alignment horizontal="left"/>
      <protection locked="0"/>
    </xf>
    <xf numFmtId="172" fontId="1" fillId="2" borderId="0" xfId="2" applyNumberFormat="1" applyFill="1" applyBorder="1" applyAlignment="1" applyProtection="1">
      <alignment horizontal="right"/>
      <protection locked="0"/>
    </xf>
    <xf numFmtId="0" fontId="0" fillId="0" borderId="5" xfId="0" applyBorder="1"/>
    <xf numFmtId="173" fontId="1" fillId="0" borderId="0" xfId="2" applyNumberFormat="1" applyBorder="1"/>
    <xf numFmtId="10" fontId="1" fillId="0" borderId="0" xfId="2" applyNumberFormat="1" applyFill="1" applyBorder="1"/>
    <xf numFmtId="168" fontId="4" fillId="0" borderId="6" xfId="3" applyNumberFormat="1" applyFont="1" applyBorder="1"/>
    <xf numFmtId="0" fontId="0" fillId="0" borderId="5" xfId="0" applyBorder="1" applyProtection="1">
      <protection locked="0"/>
    </xf>
    <xf numFmtId="168" fontId="4" fillId="0" borderId="6" xfId="3" applyNumberFormat="1" applyFont="1" applyBorder="1" applyProtection="1">
      <protection locked="0"/>
    </xf>
    <xf numFmtId="0" fontId="4" fillId="0" borderId="7" xfId="0" applyFont="1" applyBorder="1"/>
    <xf numFmtId="173" fontId="1" fillId="0" borderId="8" xfId="2" applyNumberFormat="1" applyBorder="1"/>
    <xf numFmtId="0" fontId="0" fillId="0" borderId="8" xfId="0" applyBorder="1" applyAlignment="1">
      <alignment horizontal="center"/>
    </xf>
    <xf numFmtId="171" fontId="1" fillId="0" borderId="8" xfId="2" applyNumberFormat="1" applyBorder="1"/>
    <xf numFmtId="168" fontId="4" fillId="0" borderId="9" xfId="3" applyNumberFormat="1" applyFont="1" applyBorder="1"/>
    <xf numFmtId="0" fontId="0" fillId="0" borderId="2" xfId="0" applyBorder="1"/>
    <xf numFmtId="171" fontId="1" fillId="0" borderId="3" xfId="2" applyNumberFormat="1" applyBorder="1"/>
    <xf numFmtId="0" fontId="3" fillId="0" borderId="5" xfId="0" applyFont="1" applyBorder="1"/>
    <xf numFmtId="43" fontId="1" fillId="0" borderId="0" xfId="2" applyBorder="1"/>
    <xf numFmtId="171" fontId="1" fillId="0" borderId="0" xfId="2" applyNumberFormat="1" applyBorder="1"/>
    <xf numFmtId="43" fontId="1" fillId="0" borderId="6" xfId="2" applyBorder="1"/>
    <xf numFmtId="0" fontId="4" fillId="0" borderId="5" xfId="0" applyFont="1" applyBorder="1"/>
    <xf numFmtId="174" fontId="1" fillId="0" borderId="0" xfId="2" applyNumberFormat="1" applyBorder="1" applyProtection="1">
      <protection locked="0"/>
    </xf>
    <xf numFmtId="171" fontId="1" fillId="0" borderId="0" xfId="2" applyNumberFormat="1" applyFont="1" applyBorder="1"/>
    <xf numFmtId="174" fontId="1" fillId="0" borderId="0" xfId="2" applyNumberFormat="1" applyFont="1" applyBorder="1" applyProtection="1">
      <protection locked="0"/>
    </xf>
    <xf numFmtId="175" fontId="1" fillId="0" borderId="0" xfId="2" applyNumberFormat="1" applyFont="1" applyBorder="1"/>
    <xf numFmtId="171" fontId="1" fillId="0" borderId="0" xfId="2" applyNumberFormat="1" applyFont="1" applyBorder="1" applyAlignment="1">
      <alignment horizontal="center"/>
    </xf>
    <xf numFmtId="176" fontId="5" fillId="0" borderId="0" xfId="2" applyNumberFormat="1" applyFont="1" applyBorder="1" applyProtection="1"/>
    <xf numFmtId="171" fontId="5" fillId="2" borderId="0" xfId="2" applyNumberFormat="1" applyFont="1" applyFill="1" applyBorder="1" applyProtection="1">
      <protection locked="0"/>
    </xf>
    <xf numFmtId="176" fontId="1" fillId="0" borderId="0" xfId="2" applyNumberFormat="1" applyBorder="1"/>
    <xf numFmtId="10" fontId="0" fillId="2" borderId="0" xfId="0" applyNumberFormat="1" applyFill="1" applyAlignment="1" applyProtection="1">
      <alignment horizontal="center"/>
      <protection locked="0"/>
    </xf>
    <xf numFmtId="4" fontId="1" fillId="0" borderId="6" xfId="2" applyNumberFormat="1" applyBorder="1"/>
    <xf numFmtId="10" fontId="0" fillId="0" borderId="0" xfId="0" applyNumberFormat="1" applyAlignment="1">
      <alignment horizontal="center"/>
    </xf>
    <xf numFmtId="4" fontId="4" fillId="0" borderId="6" xfId="2" applyNumberFormat="1" applyFont="1" applyBorder="1"/>
    <xf numFmtId="0" fontId="4" fillId="0" borderId="2" xfId="0" applyFont="1" applyBorder="1"/>
    <xf numFmtId="43" fontId="1" fillId="0" borderId="3" xfId="2" applyFont="1" applyBorder="1" applyAlignment="1">
      <alignment horizontal="center"/>
    </xf>
    <xf numFmtId="171" fontId="1" fillId="0" borderId="3" xfId="2" applyNumberFormat="1" applyFont="1" applyBorder="1" applyAlignment="1">
      <alignment horizontal="center"/>
    </xf>
    <xf numFmtId="43" fontId="5" fillId="2" borderId="0" xfId="2" applyFont="1" applyFill="1" applyBorder="1" applyProtection="1">
      <protection locked="0"/>
    </xf>
    <xf numFmtId="177" fontId="5" fillId="2" borderId="0" xfId="0" applyNumberFormat="1" applyFont="1" applyFill="1" applyAlignment="1" applyProtection="1">
      <alignment horizontal="center"/>
      <protection locked="0"/>
    </xf>
    <xf numFmtId="39" fontId="5" fillId="2" borderId="0" xfId="2" applyNumberFormat="1" applyFont="1" applyFill="1" applyBorder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171" fontId="1" fillId="2" borderId="0" xfId="2" applyNumberFormat="1" applyFill="1" applyBorder="1"/>
    <xf numFmtId="178" fontId="5" fillId="0" borderId="0" xfId="2" applyNumberFormat="1" applyFont="1" applyBorder="1"/>
    <xf numFmtId="43" fontId="4" fillId="0" borderId="6" xfId="2" applyFont="1" applyBorder="1"/>
    <xf numFmtId="0" fontId="0" fillId="0" borderId="10" xfId="0" applyBorder="1" applyAlignment="1">
      <alignment horizontal="right"/>
    </xf>
    <xf numFmtId="178" fontId="5" fillId="0" borderId="11" xfId="2" applyNumberFormat="1" applyFont="1" applyBorder="1"/>
    <xf numFmtId="0" fontId="0" fillId="0" borderId="11" xfId="0" applyBorder="1" applyAlignment="1">
      <alignment horizontal="center"/>
    </xf>
    <xf numFmtId="171" fontId="5" fillId="2" borderId="11" xfId="2" applyNumberFormat="1" applyFont="1" applyFill="1" applyBorder="1" applyProtection="1">
      <protection locked="0"/>
    </xf>
    <xf numFmtId="43" fontId="4" fillId="0" borderId="12" xfId="2" applyFont="1" applyBorder="1"/>
    <xf numFmtId="2" fontId="0" fillId="0" borderId="0" xfId="0" applyNumberFormat="1" applyProtection="1">
      <protection locked="0"/>
    </xf>
    <xf numFmtId="43" fontId="4" fillId="2" borderId="6" xfId="2" applyFont="1" applyFill="1" applyBorder="1" applyProtection="1">
      <protection locked="0"/>
    </xf>
    <xf numFmtId="2" fontId="0" fillId="0" borderId="0" xfId="0" applyNumberFormat="1"/>
    <xf numFmtId="0" fontId="6" fillId="0" borderId="5" xfId="0" applyFont="1" applyBorder="1"/>
    <xf numFmtId="2" fontId="6" fillId="0" borderId="6" xfId="2" applyNumberFormat="1" applyFont="1" applyBorder="1"/>
    <xf numFmtId="0" fontId="4" fillId="0" borderId="10" xfId="0" applyFont="1" applyBorder="1"/>
    <xf numFmtId="43" fontId="1" fillId="0" borderId="11" xfId="2" applyBorder="1"/>
    <xf numFmtId="171" fontId="1" fillId="0" borderId="11" xfId="2" applyNumberFormat="1" applyBorder="1"/>
    <xf numFmtId="43" fontId="1" fillId="0" borderId="12" xfId="2" applyBorder="1"/>
    <xf numFmtId="0" fontId="6" fillId="0" borderId="2" xfId="0" applyFont="1" applyBorder="1"/>
    <xf numFmtId="43" fontId="7" fillId="0" borderId="3" xfId="2" applyFont="1" applyBorder="1"/>
    <xf numFmtId="0" fontId="7" fillId="0" borderId="3" xfId="0" applyFont="1" applyBorder="1" applyAlignment="1">
      <alignment horizontal="center"/>
    </xf>
    <xf numFmtId="171" fontId="7" fillId="0" borderId="3" xfId="2" applyNumberFormat="1" applyFont="1" applyBorder="1" applyAlignment="1">
      <alignment horizontal="center"/>
    </xf>
    <xf numFmtId="43" fontId="1" fillId="0" borderId="0" xfId="2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49" fontId="0" fillId="0" borderId="5" xfId="0" applyNumberFormat="1" applyBorder="1" applyAlignment="1">
      <alignment horizontal="right"/>
    </xf>
    <xf numFmtId="43" fontId="1" fillId="0" borderId="0" xfId="2" applyFill="1" applyBorder="1" applyProtection="1"/>
    <xf numFmtId="39" fontId="1" fillId="0" borderId="0" xfId="2" applyNumberFormat="1" applyFont="1" applyFill="1" applyBorder="1" applyProtection="1"/>
    <xf numFmtId="43" fontId="1" fillId="0" borderId="6" xfId="2" applyFont="1" applyFill="1" applyBorder="1" applyProtection="1"/>
    <xf numFmtId="22" fontId="0" fillId="0" borderId="0" xfId="0" applyNumberFormat="1" applyAlignment="1">
      <alignment vertical="center"/>
    </xf>
    <xf numFmtId="1" fontId="5" fillId="0" borderId="0" xfId="2" applyNumberFormat="1" applyFont="1" applyFill="1" applyBorder="1" applyProtection="1"/>
    <xf numFmtId="2" fontId="0" fillId="0" borderId="0" xfId="0" applyNumberFormat="1" applyAlignment="1">
      <alignment horizontal="center"/>
    </xf>
    <xf numFmtId="2" fontId="5" fillId="0" borderId="0" xfId="2" applyNumberFormat="1" applyFont="1" applyFill="1" applyBorder="1" applyProtection="1"/>
    <xf numFmtId="43" fontId="5" fillId="0" borderId="6" xfId="2" applyFont="1" applyFill="1" applyBorder="1" applyProtection="1"/>
    <xf numFmtId="22" fontId="0" fillId="0" borderId="0" xfId="0" applyNumberFormat="1"/>
    <xf numFmtId="49" fontId="0" fillId="2" borderId="5" xfId="0" applyNumberFormat="1" applyFill="1" applyBorder="1" applyAlignment="1" applyProtection="1">
      <alignment horizontal="right"/>
      <protection locked="0"/>
    </xf>
    <xf numFmtId="1" fontId="5" fillId="2" borderId="0" xfId="2" applyNumberFormat="1" applyFont="1" applyFill="1" applyBorder="1" applyProtection="1">
      <protection locked="0"/>
    </xf>
    <xf numFmtId="2" fontId="5" fillId="0" borderId="0" xfId="0" applyNumberFormat="1" applyFont="1" applyAlignment="1">
      <alignment horizontal="center"/>
    </xf>
    <xf numFmtId="2" fontId="5" fillId="2" borderId="0" xfId="2" applyNumberFormat="1" applyFont="1" applyFill="1" applyBorder="1" applyProtection="1"/>
    <xf numFmtId="43" fontId="5" fillId="2" borderId="6" xfId="2" applyFont="1" applyFill="1" applyBorder="1" applyProtection="1"/>
    <xf numFmtId="22" fontId="0" fillId="2" borderId="0" xfId="0" applyNumberFormat="1" applyFill="1" applyProtection="1">
      <protection locked="0"/>
    </xf>
    <xf numFmtId="2" fontId="5" fillId="2" borderId="0" xfId="2" applyNumberFormat="1" applyFont="1" applyFill="1" applyBorder="1" applyProtection="1">
      <protection locked="0"/>
    </xf>
    <xf numFmtId="43" fontId="5" fillId="2" borderId="6" xfId="2" applyFont="1" applyFill="1" applyBorder="1" applyProtection="1">
      <protection locked="0"/>
    </xf>
    <xf numFmtId="1" fontId="1" fillId="2" borderId="0" xfId="2" applyNumberFormat="1" applyFill="1" applyBorder="1" applyProtection="1">
      <protection locked="0"/>
    </xf>
    <xf numFmtId="43" fontId="1" fillId="2" borderId="6" xfId="2" applyFill="1" applyBorder="1" applyProtection="1">
      <protection locked="0"/>
    </xf>
    <xf numFmtId="43" fontId="4" fillId="0" borderId="0" xfId="2" applyFont="1" applyBorder="1"/>
    <xf numFmtId="1" fontId="1" fillId="0" borderId="0" xfId="2" applyNumberFormat="1" applyBorder="1"/>
    <xf numFmtId="2" fontId="0" fillId="2" borderId="0" xfId="0" applyNumberFormat="1" applyFill="1" applyAlignment="1" applyProtection="1">
      <alignment horizontal="center"/>
      <protection locked="0"/>
    </xf>
    <xf numFmtId="2" fontId="1" fillId="2" borderId="0" xfId="2" applyNumberFormat="1" applyFill="1" applyBorder="1" applyProtection="1">
      <protection locked="0"/>
    </xf>
    <xf numFmtId="0" fontId="4" fillId="0" borderId="10" xfId="0" applyFont="1" applyBorder="1" applyAlignment="1">
      <alignment horizontal="right"/>
    </xf>
    <xf numFmtId="1" fontId="1" fillId="0" borderId="11" xfId="2" applyNumberFormat="1" applyFont="1" applyBorder="1" applyAlignment="1">
      <alignment horizontal="right"/>
    </xf>
    <xf numFmtId="2" fontId="6" fillId="0" borderId="11" xfId="0" applyNumberFormat="1" applyFont="1" applyBorder="1" applyAlignment="1">
      <alignment horizontal="center"/>
    </xf>
    <xf numFmtId="43" fontId="6" fillId="0" borderId="12" xfId="2" applyFont="1" applyBorder="1"/>
    <xf numFmtId="0" fontId="4" fillId="0" borderId="2" xfId="0" applyFont="1" applyBorder="1" applyAlignment="1">
      <alignment horizontal="left"/>
    </xf>
    <xf numFmtId="43" fontId="4" fillId="2" borderId="4" xfId="2" applyFont="1" applyFill="1" applyBorder="1" applyProtection="1">
      <protection locked="0"/>
    </xf>
    <xf numFmtId="0" fontId="4" fillId="0" borderId="5" xfId="0" applyFont="1" applyBorder="1" applyProtection="1">
      <protection locked="0"/>
    </xf>
    <xf numFmtId="171" fontId="1" fillId="0" borderId="0" xfId="2" applyNumberFormat="1" applyFill="1" applyBorder="1"/>
    <xf numFmtId="10" fontId="1" fillId="0" borderId="0" xfId="2" applyNumberFormat="1" applyBorder="1"/>
    <xf numFmtId="43" fontId="4" fillId="0" borderId="8" xfId="2" applyFont="1" applyBorder="1"/>
    <xf numFmtId="0" fontId="4" fillId="0" borderId="8" xfId="0" applyFont="1" applyBorder="1" applyAlignment="1">
      <alignment horizontal="center"/>
    </xf>
    <xf numFmtId="43" fontId="4" fillId="0" borderId="9" xfId="2" applyFont="1" applyBorder="1"/>
    <xf numFmtId="166" fontId="0" fillId="0" borderId="0" xfId="0" applyNumberFormat="1"/>
    <xf numFmtId="0" fontId="2" fillId="0" borderId="2" xfId="0" applyFont="1" applyBorder="1" applyAlignment="1">
      <alignment vertical="center"/>
    </xf>
    <xf numFmtId="43" fontId="1" fillId="0" borderId="3" xfId="2" applyBorder="1" applyAlignment="1">
      <alignment vertical="center"/>
    </xf>
    <xf numFmtId="0" fontId="0" fillId="0" borderId="3" xfId="0" applyBorder="1" applyAlignment="1">
      <alignment horizontal="center" vertical="center"/>
    </xf>
    <xf numFmtId="43" fontId="2" fillId="0" borderId="4" xfId="2" applyFont="1" applyBorder="1" applyAlignment="1">
      <alignment vertical="center"/>
    </xf>
    <xf numFmtId="22" fontId="0" fillId="0" borderId="10" xfId="0" applyNumberFormat="1" applyBorder="1" applyAlignment="1">
      <alignment horizontal="left"/>
    </xf>
    <xf numFmtId="43" fontId="4" fillId="0" borderId="11" xfId="2" applyFont="1" applyBorder="1" applyAlignment="1">
      <alignment horizontal="center"/>
    </xf>
    <xf numFmtId="0" fontId="7" fillId="0" borderId="0" xfId="0" applyFont="1"/>
    <xf numFmtId="43" fontId="1" fillId="0" borderId="0" xfId="2"/>
    <xf numFmtId="22" fontId="0" fillId="0" borderId="0" xfId="0" applyNumberFormat="1" applyAlignment="1">
      <alignment horizontal="left"/>
    </xf>
    <xf numFmtId="49" fontId="9" fillId="2" borderId="5" xfId="0" applyNumberFormat="1" applyFont="1" applyFill="1" applyBorder="1" applyAlignment="1" applyProtection="1">
      <alignment horizontal="right"/>
      <protection locked="0"/>
    </xf>
    <xf numFmtId="43" fontId="0" fillId="0" borderId="0" xfId="0" applyNumberFormat="1" applyProtection="1">
      <protection locked="0"/>
    </xf>
    <xf numFmtId="171" fontId="6" fillId="2" borderId="0" xfId="2" applyNumberFormat="1" applyFont="1" applyFill="1" applyBorder="1" applyProtection="1">
      <protection locked="0"/>
    </xf>
    <xf numFmtId="171" fontId="6" fillId="2" borderId="11" xfId="2" applyNumberFormat="1" applyFont="1" applyFill="1" applyBorder="1" applyProtection="1">
      <protection locked="0"/>
    </xf>
    <xf numFmtId="0" fontId="9" fillId="0" borderId="0" xfId="0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168" fontId="1" fillId="0" borderId="16" xfId="3" applyNumberFormat="1" applyFill="1" applyBorder="1"/>
    <xf numFmtId="0" fontId="9" fillId="0" borderId="17" xfId="0" applyFont="1" applyBorder="1"/>
    <xf numFmtId="0" fontId="0" fillId="0" borderId="13" xfId="0" applyBorder="1"/>
    <xf numFmtId="0" fontId="0" fillId="0" borderId="18" xfId="0" applyBorder="1"/>
    <xf numFmtId="10" fontId="0" fillId="0" borderId="16" xfId="0" applyNumberFormat="1" applyBorder="1"/>
    <xf numFmtId="0" fontId="0" fillId="0" borderId="16" xfId="0" applyBorder="1"/>
    <xf numFmtId="43" fontId="4" fillId="0" borderId="18" xfId="2" applyFont="1" applyFill="1" applyBorder="1" applyProtection="1">
      <protection locked="0"/>
    </xf>
    <xf numFmtId="165" fontId="4" fillId="0" borderId="16" xfId="2" applyNumberFormat="1" applyFont="1" applyFill="1" applyBorder="1" applyProtection="1">
      <protection locked="0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15" xfId="0" applyBorder="1"/>
    <xf numFmtId="0" fontId="0" fillId="0" borderId="14" xfId="0" applyBorder="1"/>
    <xf numFmtId="0" fontId="9" fillId="0" borderId="19" xfId="0" applyFont="1" applyBorder="1"/>
    <xf numFmtId="0" fontId="0" fillId="0" borderId="13" xfId="0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49" fontId="9" fillId="0" borderId="15" xfId="0" applyNumberFormat="1" applyFont="1" applyBorder="1" applyAlignment="1" applyProtection="1">
      <alignment horizontal="left"/>
      <protection locked="0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2" fontId="0" fillId="0" borderId="16" xfId="0" applyNumberFormat="1" applyBorder="1"/>
    <xf numFmtId="1" fontId="9" fillId="0" borderId="13" xfId="2" applyNumberFormat="1" applyFont="1" applyFill="1" applyBorder="1" applyAlignment="1" applyProtection="1">
      <alignment horizontal="center"/>
      <protection locked="0"/>
    </xf>
    <xf numFmtId="2" fontId="9" fillId="0" borderId="13" xfId="0" applyNumberFormat="1" applyFont="1" applyBorder="1" applyAlignment="1">
      <alignment horizontal="center"/>
    </xf>
    <xf numFmtId="2" fontId="9" fillId="0" borderId="13" xfId="2" applyNumberFormat="1" applyFont="1" applyFill="1" applyBorder="1" applyAlignment="1" applyProtection="1">
      <alignment horizontal="center"/>
      <protection locked="0"/>
    </xf>
    <xf numFmtId="43" fontId="9" fillId="0" borderId="16" xfId="2" applyFont="1" applyFill="1" applyBorder="1" applyAlignment="1" applyProtection="1">
      <alignment horizontal="center"/>
      <protection locked="0"/>
    </xf>
    <xf numFmtId="0" fontId="9" fillId="0" borderId="16" xfId="0" applyFont="1" applyBorder="1"/>
    <xf numFmtId="4" fontId="0" fillId="0" borderId="13" xfId="0" applyNumberFormat="1" applyBorder="1"/>
    <xf numFmtId="4" fontId="0" fillId="0" borderId="16" xfId="0" applyNumberFormat="1" applyBorder="1"/>
    <xf numFmtId="2" fontId="0" fillId="0" borderId="13" xfId="0" applyNumberFormat="1" applyBorder="1" applyAlignment="1">
      <alignment horizontal="center"/>
    </xf>
    <xf numFmtId="0" fontId="9" fillId="0" borderId="18" xfId="0" applyFont="1" applyBorder="1"/>
    <xf numFmtId="0" fontId="9" fillId="3" borderId="17" xfId="0" applyFont="1" applyFill="1" applyBorder="1"/>
    <xf numFmtId="4" fontId="0" fillId="3" borderId="21" xfId="0" applyNumberFormat="1" applyFill="1" applyBorder="1"/>
    <xf numFmtId="0" fontId="4" fillId="3" borderId="17" xfId="0" applyFont="1" applyFill="1" applyBorder="1"/>
    <xf numFmtId="4" fontId="4" fillId="3" borderId="21" xfId="0" applyNumberFormat="1" applyFont="1" applyFill="1" applyBorder="1"/>
    <xf numFmtId="4" fontId="0" fillId="0" borderId="19" xfId="0" applyNumberFormat="1" applyBorder="1"/>
    <xf numFmtId="4" fontId="4" fillId="3" borderId="20" xfId="0" applyNumberFormat="1" applyFont="1" applyFill="1" applyBorder="1"/>
    <xf numFmtId="167" fontId="0" fillId="0" borderId="18" xfId="0" applyNumberFormat="1" applyBorder="1"/>
    <xf numFmtId="0" fontId="0" fillId="0" borderId="6" xfId="0" applyBorder="1"/>
    <xf numFmtId="180" fontId="4" fillId="3" borderId="21" xfId="0" applyNumberFormat="1" applyFont="1" applyFill="1" applyBorder="1"/>
    <xf numFmtId="180" fontId="4" fillId="3" borderId="16" xfId="0" applyNumberFormat="1" applyFont="1" applyFill="1" applyBorder="1"/>
    <xf numFmtId="179" fontId="4" fillId="3" borderId="21" xfId="0" applyNumberFormat="1" applyFont="1" applyFill="1" applyBorder="1"/>
    <xf numFmtId="0" fontId="0" fillId="3" borderId="20" xfId="0" applyFill="1" applyBorder="1"/>
    <xf numFmtId="0" fontId="4" fillId="3" borderId="21" xfId="0" applyFont="1" applyFill="1" applyBorder="1"/>
    <xf numFmtId="0" fontId="4" fillId="3" borderId="20" xfId="0" applyFont="1" applyFill="1" applyBorder="1"/>
    <xf numFmtId="2" fontId="4" fillId="3" borderId="20" xfId="0" applyNumberFormat="1" applyFont="1" applyFill="1" applyBorder="1" applyAlignment="1">
      <alignment horizontal="center"/>
    </xf>
    <xf numFmtId="43" fontId="4" fillId="3" borderId="21" xfId="0" applyNumberFormat="1" applyFont="1" applyFill="1" applyBorder="1"/>
    <xf numFmtId="10" fontId="0" fillId="0" borderId="24" xfId="7" applyNumberFormat="1" applyFont="1" applyBorder="1"/>
    <xf numFmtId="10" fontId="0" fillId="0" borderId="25" xfId="7" applyNumberFormat="1" applyFont="1" applyBorder="1"/>
    <xf numFmtId="10" fontId="4" fillId="3" borderId="26" xfId="0" applyNumberFormat="1" applyFont="1" applyFill="1" applyBorder="1"/>
    <xf numFmtId="0" fontId="9" fillId="0" borderId="18" xfId="0" applyFont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179" fontId="4" fillId="0" borderId="16" xfId="0" applyNumberFormat="1" applyFont="1" applyBorder="1"/>
    <xf numFmtId="4" fontId="4" fillId="0" borderId="16" xfId="0" applyNumberFormat="1" applyFont="1" applyBorder="1"/>
    <xf numFmtId="0" fontId="9" fillId="0" borderId="1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4" fontId="0" fillId="0" borderId="13" xfId="0" applyNumberFormat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2" fontId="0" fillId="0" borderId="16" xfId="0" applyNumberFormat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4" fillId="0" borderId="15" xfId="0" applyFont="1" applyBorder="1"/>
    <xf numFmtId="4" fontId="4" fillId="0" borderId="13" xfId="0" applyNumberFormat="1" applyFont="1" applyBorder="1" applyAlignment="1">
      <alignment horizontal="center"/>
    </xf>
    <xf numFmtId="179" fontId="0" fillId="0" borderId="0" xfId="0" applyNumberForma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0" fillId="0" borderId="0" xfId="5" applyFont="1"/>
    <xf numFmtId="181" fontId="0" fillId="0" borderId="0" xfId="5" applyNumberFormat="1" applyFont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14" fontId="18" fillId="3" borderId="0" xfId="0" applyNumberFormat="1" applyFont="1" applyFill="1"/>
    <xf numFmtId="0" fontId="9" fillId="2" borderId="5" xfId="0" applyFont="1" applyFill="1" applyBorder="1" applyProtection="1">
      <protection locked="0"/>
    </xf>
    <xf numFmtId="0" fontId="9" fillId="2" borderId="5" xfId="0" applyFont="1" applyFill="1" applyBorder="1" applyAlignment="1" applyProtection="1">
      <alignment horizontal="left"/>
      <protection locked="0"/>
    </xf>
    <xf numFmtId="181" fontId="0" fillId="0" borderId="0" xfId="0" applyNumberFormat="1"/>
    <xf numFmtId="10" fontId="0" fillId="0" borderId="0" xfId="0" applyNumberFormat="1"/>
    <xf numFmtId="43" fontId="6" fillId="2" borderId="6" xfId="2" applyFont="1" applyFill="1" applyBorder="1" applyProtection="1">
      <protection locked="0"/>
    </xf>
    <xf numFmtId="43" fontId="9" fillId="0" borderId="0" xfId="2" applyFont="1" applyBorder="1"/>
    <xf numFmtId="0" fontId="9" fillId="0" borderId="0" xfId="0" applyFont="1" applyProtection="1">
      <protection locked="0"/>
    </xf>
    <xf numFmtId="43" fontId="0" fillId="0" borderId="0" xfId="0" applyNumberFormat="1"/>
    <xf numFmtId="9" fontId="0" fillId="0" borderId="0" xfId="0" applyNumberFormat="1"/>
    <xf numFmtId="17" fontId="0" fillId="0" borderId="0" xfId="0" applyNumberFormat="1"/>
    <xf numFmtId="181" fontId="11" fillId="0" borderId="0" xfId="5" applyNumberFormat="1" applyFont="1" applyAlignment="1">
      <alignment vertical="center"/>
    </xf>
    <xf numFmtId="166" fontId="0" fillId="0" borderId="0" xfId="5" applyFont="1" applyProtection="1">
      <protection locked="0"/>
    </xf>
    <xf numFmtId="0" fontId="0" fillId="4" borderId="0" xfId="0" applyFill="1" applyProtection="1">
      <protection locked="0"/>
    </xf>
    <xf numFmtId="0" fontId="0" fillId="4" borderId="0" xfId="0" applyFill="1"/>
    <xf numFmtId="0" fontId="4" fillId="0" borderId="0" xfId="0" applyFont="1" applyProtection="1">
      <protection locked="0"/>
    </xf>
    <xf numFmtId="0" fontId="4" fillId="4" borderId="0" xfId="0" applyFont="1" applyFill="1" applyProtection="1">
      <protection locked="0"/>
    </xf>
    <xf numFmtId="0" fontId="4" fillId="0" borderId="0" xfId="0" applyFont="1"/>
    <xf numFmtId="0" fontId="12" fillId="0" borderId="0" xfId="0" applyFont="1" applyAlignment="1">
      <alignment vertical="center"/>
    </xf>
    <xf numFmtId="167" fontId="0" fillId="0" borderId="0" xfId="0" applyNumberFormat="1"/>
    <xf numFmtId="10" fontId="0" fillId="0" borderId="0" xfId="0" applyNumberFormat="1" applyProtection="1">
      <protection locked="0"/>
    </xf>
    <xf numFmtId="14" fontId="1" fillId="0" borderId="0" xfId="2" applyNumberFormat="1"/>
    <xf numFmtId="43" fontId="0" fillId="0" borderId="0" xfId="2" applyFont="1"/>
    <xf numFmtId="16" fontId="0" fillId="0" borderId="0" xfId="0" applyNumberFormat="1"/>
    <xf numFmtId="0" fontId="13" fillId="0" borderId="0" xfId="0" applyFont="1" applyAlignment="1">
      <alignment wrapText="1"/>
    </xf>
    <xf numFmtId="181" fontId="0" fillId="0" borderId="0" xfId="5" applyNumberFormat="1" applyFont="1" applyAlignment="1">
      <alignment horizontal="center"/>
    </xf>
    <xf numFmtId="181" fontId="4" fillId="0" borderId="0" xfId="5" applyNumberFormat="1" applyFont="1" applyAlignment="1">
      <alignment horizontal="center"/>
    </xf>
    <xf numFmtId="9" fontId="0" fillId="0" borderId="0" xfId="7" applyFont="1" applyAlignment="1">
      <alignment horizontal="center"/>
    </xf>
    <xf numFmtId="0" fontId="9" fillId="0" borderId="0" xfId="0" applyFont="1" applyAlignment="1">
      <alignment horizontal="center"/>
    </xf>
    <xf numFmtId="181" fontId="9" fillId="0" borderId="0" xfId="5" applyNumberFormat="1" applyFont="1"/>
    <xf numFmtId="0" fontId="19" fillId="0" borderId="0" xfId="0" applyFont="1" applyAlignment="1">
      <alignment vertical="center"/>
    </xf>
    <xf numFmtId="181" fontId="19" fillId="0" borderId="0" xfId="5" applyNumberFormat="1" applyFont="1" applyAlignment="1">
      <alignment vertical="center"/>
    </xf>
    <xf numFmtId="167" fontId="19" fillId="0" borderId="0" xfId="0" applyNumberFormat="1" applyFont="1"/>
    <xf numFmtId="181" fontId="9" fillId="0" borderId="0" xfId="0" applyNumberFormat="1" applyFont="1"/>
    <xf numFmtId="9" fontId="19" fillId="0" borderId="0" xfId="7" applyFont="1" applyAlignment="1">
      <alignment vertical="center"/>
    </xf>
    <xf numFmtId="10" fontId="19" fillId="0" borderId="0" xfId="7" applyNumberFormat="1" applyFont="1" applyAlignment="1">
      <alignment vertical="center"/>
    </xf>
    <xf numFmtId="17" fontId="0" fillId="3" borderId="0" xfId="0" applyNumberFormat="1" applyFill="1"/>
    <xf numFmtId="167" fontId="0" fillId="0" borderId="0" xfId="0" applyNumberFormat="1" applyProtection="1">
      <protection locked="0"/>
    </xf>
    <xf numFmtId="4" fontId="0" fillId="0" borderId="0" xfId="0" applyNumberFormat="1"/>
    <xf numFmtId="0" fontId="20" fillId="0" borderId="0" xfId="0" applyFont="1"/>
    <xf numFmtId="3" fontId="14" fillId="5" borderId="27" xfId="6" applyNumberFormat="1" applyFont="1" applyFill="1" applyBorder="1"/>
    <xf numFmtId="0" fontId="15" fillId="0" borderId="27" xfId="6" applyFont="1" applyBorder="1"/>
    <xf numFmtId="0" fontId="14" fillId="0" borderId="27" xfId="6" applyFont="1" applyBorder="1"/>
    <xf numFmtId="3" fontId="14" fillId="6" borderId="27" xfId="6" applyNumberFormat="1" applyFont="1" applyFill="1" applyBorder="1"/>
    <xf numFmtId="3" fontId="14" fillId="7" borderId="27" xfId="6" applyNumberFormat="1" applyFont="1" applyFill="1" applyBorder="1"/>
    <xf numFmtId="0" fontId="15" fillId="0" borderId="28" xfId="6" applyFont="1" applyBorder="1"/>
    <xf numFmtId="0" fontId="17" fillId="0" borderId="28" xfId="6" applyFont="1" applyBorder="1" applyAlignment="1">
      <alignment vertical="center"/>
    </xf>
    <xf numFmtId="177" fontId="15" fillId="0" borderId="28" xfId="6" applyNumberFormat="1" applyFont="1" applyBorder="1" applyAlignment="1">
      <alignment vertical="center"/>
    </xf>
    <xf numFmtId="177" fontId="15" fillId="0" borderId="28" xfId="6" applyNumberFormat="1" applyFont="1" applyBorder="1"/>
    <xf numFmtId="0" fontId="15" fillId="0" borderId="25" xfId="6" applyFont="1" applyBorder="1"/>
    <xf numFmtId="0" fontId="21" fillId="0" borderId="25" xfId="6" applyFont="1" applyBorder="1" applyAlignment="1">
      <alignment vertical="center"/>
    </xf>
    <xf numFmtId="177" fontId="15" fillId="0" borderId="25" xfId="6" applyNumberFormat="1" applyFont="1" applyBorder="1" applyAlignment="1">
      <alignment vertical="center"/>
    </xf>
    <xf numFmtId="177" fontId="15" fillId="0" borderId="29" xfId="6" applyNumberFormat="1" applyFont="1" applyBorder="1" applyAlignment="1">
      <alignment vertical="center"/>
    </xf>
    <xf numFmtId="177" fontId="15" fillId="0" borderId="25" xfId="6" applyNumberFormat="1" applyFont="1" applyBorder="1"/>
    <xf numFmtId="0" fontId="22" fillId="0" borderId="25" xfId="6" applyFont="1" applyBorder="1" applyAlignment="1">
      <alignment vertical="center"/>
    </xf>
    <xf numFmtId="0" fontId="15" fillId="0" borderId="13" xfId="6" applyFont="1" applyBorder="1"/>
    <xf numFmtId="0" fontId="14" fillId="0" borderId="13" xfId="6" applyFont="1" applyBorder="1" applyAlignment="1">
      <alignment vertical="center"/>
    </xf>
    <xf numFmtId="0" fontId="14" fillId="0" borderId="13" xfId="6" applyFont="1" applyBorder="1"/>
    <xf numFmtId="0" fontId="14" fillId="6" borderId="13" xfId="6" applyFont="1" applyFill="1" applyBorder="1"/>
    <xf numFmtId="0" fontId="14" fillId="7" borderId="13" xfId="6" applyFont="1" applyFill="1" applyBorder="1"/>
    <xf numFmtId="0" fontId="14" fillId="5" borderId="13" xfId="6" applyFont="1" applyFill="1" applyBorder="1"/>
    <xf numFmtId="177" fontId="15" fillId="0" borderId="13" xfId="6" applyNumberFormat="1" applyFont="1" applyBorder="1"/>
    <xf numFmtId="177" fontId="16" fillId="0" borderId="13" xfId="6" applyNumberFormat="1" applyFont="1" applyBorder="1"/>
    <xf numFmtId="177" fontId="15" fillId="0" borderId="30" xfId="6" applyNumberFormat="1" applyFont="1" applyBorder="1"/>
    <xf numFmtId="3" fontId="0" fillId="0" borderId="0" xfId="0" applyNumberFormat="1"/>
    <xf numFmtId="181" fontId="9" fillId="4" borderId="0" xfId="5" applyNumberFormat="1" applyFont="1" applyFill="1"/>
    <xf numFmtId="0" fontId="4" fillId="3" borderId="17" xfId="0" applyFont="1" applyFill="1" applyBorder="1" applyAlignment="1">
      <alignment horizontal="left"/>
    </xf>
    <xf numFmtId="0" fontId="4" fillId="3" borderId="20" xfId="0" applyFont="1" applyFill="1" applyBorder="1" applyAlignment="1">
      <alignment horizontal="left"/>
    </xf>
    <xf numFmtId="0" fontId="2" fillId="0" borderId="31" xfId="0" applyFont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2" fontId="4" fillId="0" borderId="16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4" fillId="3" borderId="20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</cellXfs>
  <cellStyles count="8">
    <cellStyle name="Cancel_Planeamiento de Materias Primas - Trigo" xfId="1" xr:uid="{00000000-0005-0000-0000-000000000000}"/>
    <cellStyle name="Comma_CARINA VENTURE 5-7-04" xfId="2" xr:uid="{00000000-0005-0000-0000-000002000000}"/>
    <cellStyle name="Currency_CARINA VENTURE 5-7-04" xfId="3" xr:uid="{00000000-0005-0000-0000-000003000000}"/>
    <cellStyle name="Euro" xfId="4" xr:uid="{00000000-0005-0000-0000-000004000000}"/>
    <cellStyle name="Millares" xfId="5" builtinId="3"/>
    <cellStyle name="Normal" xfId="0" builtinId="0"/>
    <cellStyle name="Normal 2" xfId="6" xr:uid="{00000000-0005-0000-0000-000006000000}"/>
    <cellStyle name="Porcentaje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140</xdr:row>
      <xdr:rowOff>0</xdr:rowOff>
    </xdr:from>
    <xdr:to>
      <xdr:col>49</xdr:col>
      <xdr:colOff>371475</xdr:colOff>
      <xdr:row>201</xdr:row>
      <xdr:rowOff>57150</xdr:rowOff>
    </xdr:to>
    <xdr:pic>
      <xdr:nvPicPr>
        <xdr:cNvPr id="4369" name="Imagen 1">
          <a:extLst>
            <a:ext uri="{FF2B5EF4-FFF2-40B4-BE49-F238E27FC236}">
              <a16:creationId xmlns:a16="http://schemas.microsoft.com/office/drawing/2014/main" id="{DB8580CD-5494-03BA-E07B-AAB79FCD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23107650"/>
          <a:ext cx="30089475" cy="993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"/>
  <sheetViews>
    <sheetView topLeftCell="A16" workbookViewId="0">
      <selection activeCell="G29" sqref="G29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7" width="16.7109375" customWidth="1"/>
    <col min="8" max="256" width="11.42578125" customWidth="1"/>
  </cols>
  <sheetData>
    <row r="1" spans="1:11" ht="27" customHeight="1" thickBot="1">
      <c r="A1" s="1" t="s">
        <v>0</v>
      </c>
      <c r="B1" s="280"/>
      <c r="C1" s="281"/>
      <c r="D1" s="281"/>
      <c r="E1" s="282"/>
    </row>
    <row r="2" spans="1:11" ht="15.75">
      <c r="A2" s="2" t="s">
        <v>1</v>
      </c>
      <c r="B2" s="3"/>
      <c r="C2" s="4"/>
      <c r="D2" s="3"/>
      <c r="E2" s="5"/>
    </row>
    <row r="3" spans="1:11">
      <c r="A3" s="6"/>
      <c r="B3" s="7">
        <v>35000</v>
      </c>
      <c r="D3" s="9">
        <v>55</v>
      </c>
      <c r="E3" s="10">
        <f>D3*B3</f>
        <v>1925000</v>
      </c>
      <c r="F3" s="129"/>
      <c r="G3" s="220"/>
    </row>
    <row r="4" spans="1:11">
      <c r="A4" s="12" t="s">
        <v>2</v>
      </c>
      <c r="B4" s="13"/>
      <c r="C4" s="8" t="s">
        <v>3</v>
      </c>
      <c r="D4" s="14"/>
      <c r="E4" s="10">
        <f>E3*D4</f>
        <v>0</v>
      </c>
      <c r="F4" s="11"/>
    </row>
    <row r="5" spans="1:11">
      <c r="A5" s="15"/>
      <c r="B5" s="7"/>
      <c r="D5" s="16"/>
      <c r="E5" s="10">
        <f>D5*B5</f>
        <v>0</v>
      </c>
      <c r="F5" s="11"/>
    </row>
    <row r="6" spans="1:11">
      <c r="A6" s="12" t="s">
        <v>2</v>
      </c>
      <c r="B6" s="13"/>
      <c r="C6" s="8" t="s">
        <v>3</v>
      </c>
      <c r="D6" s="14"/>
      <c r="E6" s="10">
        <f>E5*D6</f>
        <v>0</v>
      </c>
      <c r="F6" s="11"/>
    </row>
    <row r="7" spans="1:11">
      <c r="A7" s="6"/>
      <c r="B7" s="7"/>
      <c r="D7" s="17"/>
      <c r="E7" s="10">
        <f>D7*B7</f>
        <v>0</v>
      </c>
      <c r="F7" s="11"/>
    </row>
    <row r="8" spans="1:11">
      <c r="A8" s="12" t="s">
        <v>2</v>
      </c>
      <c r="B8" s="13"/>
      <c r="C8" s="8" t="s">
        <v>3</v>
      </c>
      <c r="D8" s="14"/>
      <c r="E8" s="10">
        <f>E7*D8</f>
        <v>0</v>
      </c>
      <c r="F8" s="11"/>
    </row>
    <row r="9" spans="1:11">
      <c r="A9" s="15"/>
      <c r="B9" s="7"/>
      <c r="D9" s="17"/>
      <c r="E9" s="10">
        <f>D9*B9</f>
        <v>0</v>
      </c>
      <c r="F9" s="11"/>
    </row>
    <row r="10" spans="1:11">
      <c r="A10" s="12" t="s">
        <v>2</v>
      </c>
      <c r="B10" s="13"/>
      <c r="C10" s="8" t="s">
        <v>3</v>
      </c>
      <c r="D10" s="14"/>
      <c r="E10" s="10">
        <f>E9*D10</f>
        <v>0</v>
      </c>
      <c r="F10" s="11"/>
    </row>
    <row r="11" spans="1:11">
      <c r="A11" s="15"/>
      <c r="B11" s="7"/>
      <c r="D11" s="17"/>
      <c r="E11" s="10">
        <f>D11*B11</f>
        <v>0</v>
      </c>
      <c r="F11" s="11"/>
    </row>
    <row r="12" spans="1:11">
      <c r="A12" s="12" t="s">
        <v>2</v>
      </c>
      <c r="B12" s="13"/>
      <c r="C12" s="8" t="s">
        <v>3</v>
      </c>
      <c r="D12" s="14"/>
      <c r="E12" s="10">
        <f>E11*D12</f>
        <v>0</v>
      </c>
      <c r="F12" s="11"/>
    </row>
    <row r="13" spans="1:11">
      <c r="A13" s="21" t="s">
        <v>4</v>
      </c>
      <c r="B13" s="22"/>
      <c r="D13" s="23"/>
      <c r="E13" s="24">
        <f>E4+E6+E8+E10+E12</f>
        <v>0</v>
      </c>
      <c r="F13" s="11"/>
      <c r="I13" s="221"/>
      <c r="K13" s="215"/>
    </row>
    <row r="14" spans="1:11">
      <c r="A14" s="21" t="s">
        <v>5</v>
      </c>
      <c r="B14" s="22"/>
      <c r="D14" s="23"/>
      <c r="E14" s="24">
        <f>E3+E5+E7+E9+E11</f>
        <v>1925000</v>
      </c>
      <c r="F14" s="11"/>
      <c r="I14" s="221"/>
      <c r="J14" s="208"/>
      <c r="K14" s="215"/>
    </row>
    <row r="15" spans="1:11">
      <c r="A15" s="25"/>
      <c r="B15" s="22"/>
      <c r="D15" s="23"/>
      <c r="E15" s="26"/>
      <c r="F15" s="11"/>
    </row>
    <row r="16" spans="1:11" ht="13.5" thickBot="1">
      <c r="A16" s="27" t="s">
        <v>6</v>
      </c>
      <c r="B16" s="28">
        <f>SUM(B3:B12)</f>
        <v>35000</v>
      </c>
      <c r="C16" s="29"/>
      <c r="D16" s="30"/>
      <c r="E16" s="31">
        <f>E14-E13+E15</f>
        <v>1925000</v>
      </c>
      <c r="F16" s="11"/>
    </row>
    <row r="17" spans="1:17">
      <c r="A17" s="32"/>
      <c r="B17" s="3"/>
      <c r="C17" s="4"/>
      <c r="D17" s="33"/>
      <c r="E17" s="5"/>
      <c r="Q17" s="208"/>
    </row>
    <row r="18" spans="1:17" ht="15.75">
      <c r="A18" s="34" t="s">
        <v>7</v>
      </c>
      <c r="B18" s="35"/>
      <c r="D18" s="36"/>
      <c r="E18" s="37"/>
      <c r="Q18" s="208"/>
    </row>
    <row r="19" spans="1:17">
      <c r="A19" s="38" t="s">
        <v>8</v>
      </c>
      <c r="B19" s="35"/>
      <c r="D19" s="36"/>
      <c r="E19" s="37"/>
    </row>
    <row r="20" spans="1:17">
      <c r="A20" s="38" t="s">
        <v>9</v>
      </c>
      <c r="B20" s="44">
        <f>C52+D52</f>
        <v>44.727564102564102</v>
      </c>
      <c r="C20" s="8" t="s">
        <v>3</v>
      </c>
      <c r="D20" s="130">
        <v>25000</v>
      </c>
      <c r="E20" s="37">
        <f>B20*D20</f>
        <v>1118189.1025641025</v>
      </c>
      <c r="F20" s="232"/>
      <c r="G20" s="231"/>
    </row>
    <row r="21" spans="1:17">
      <c r="A21" s="38" t="s">
        <v>10</v>
      </c>
      <c r="B21" s="46"/>
      <c r="C21" s="47">
        <v>3.7499999999999999E-2</v>
      </c>
      <c r="D21" s="36">
        <f>D20*C21</f>
        <v>937.5</v>
      </c>
      <c r="E21" s="48">
        <f>D21*B20</f>
        <v>41932.091346153844</v>
      </c>
      <c r="F21" s="11"/>
      <c r="G21" s="231"/>
      <c r="I21" s="132"/>
      <c r="K21" s="132"/>
      <c r="M21" s="132"/>
    </row>
    <row r="22" spans="1:17" ht="13.5" thickBot="1">
      <c r="A22" s="38"/>
      <c r="B22" s="46"/>
      <c r="C22" s="49" t="s">
        <v>11</v>
      </c>
      <c r="D22" s="40">
        <f>D20-D21</f>
        <v>24062.5</v>
      </c>
      <c r="E22" s="50">
        <f>E20-E21</f>
        <v>1076257.0112179487</v>
      </c>
    </row>
    <row r="23" spans="1:17">
      <c r="A23" s="51" t="s">
        <v>12</v>
      </c>
      <c r="B23" s="52" t="s">
        <v>13</v>
      </c>
      <c r="C23" s="4" t="s">
        <v>14</v>
      </c>
      <c r="D23" s="53" t="s">
        <v>15</v>
      </c>
      <c r="E23" s="5"/>
    </row>
    <row r="24" spans="1:17">
      <c r="A24" s="38" t="s">
        <v>16</v>
      </c>
      <c r="B24" s="54">
        <v>28</v>
      </c>
      <c r="C24" s="55">
        <v>2</v>
      </c>
      <c r="D24" s="56">
        <v>1</v>
      </c>
      <c r="E24" s="37"/>
      <c r="H24" s="11"/>
    </row>
    <row r="25" spans="1:17">
      <c r="A25" s="38" t="s">
        <v>17</v>
      </c>
      <c r="B25" s="54">
        <v>1</v>
      </c>
      <c r="C25" s="55">
        <v>1</v>
      </c>
      <c r="D25" s="56">
        <v>1</v>
      </c>
      <c r="E25" s="37"/>
      <c r="H25" s="11"/>
    </row>
    <row r="26" spans="1:17">
      <c r="A26" s="38" t="s">
        <v>18</v>
      </c>
      <c r="B26" s="54">
        <v>13</v>
      </c>
      <c r="C26" s="57"/>
      <c r="D26" s="58"/>
      <c r="E26" s="37"/>
    </row>
    <row r="27" spans="1:17">
      <c r="A27" s="38"/>
      <c r="B27" s="35"/>
      <c r="D27" s="36"/>
      <c r="E27" s="37"/>
    </row>
    <row r="28" spans="1:17">
      <c r="A28" s="38" t="s">
        <v>19</v>
      </c>
      <c r="B28" s="35"/>
      <c r="D28" s="36"/>
      <c r="E28" s="37"/>
      <c r="G28" s="208"/>
    </row>
    <row r="29" spans="1:17">
      <c r="A29" s="12" t="s">
        <v>20</v>
      </c>
      <c r="B29" s="59">
        <f>(B24*C52) + (C24*D52)</f>
        <v>861.28846153846155</v>
      </c>
      <c r="C29" s="8" t="s">
        <v>3</v>
      </c>
      <c r="D29" s="130">
        <v>550</v>
      </c>
      <c r="E29" s="60">
        <f>B29*D29</f>
        <v>473708.65384615387</v>
      </c>
      <c r="F29" s="11"/>
      <c r="G29" s="208"/>
    </row>
    <row r="30" spans="1:17" ht="13.5" thickBot="1">
      <c r="A30" s="61" t="s">
        <v>21</v>
      </c>
      <c r="B30" s="62">
        <f>(B25*C52)+(C25*D52)</f>
        <v>44.727564102564102</v>
      </c>
      <c r="C30" s="63" t="s">
        <v>3</v>
      </c>
      <c r="D30" s="131">
        <v>980</v>
      </c>
      <c r="E30" s="65">
        <f>B30*D30</f>
        <v>43833.01282051282</v>
      </c>
      <c r="F30" s="11"/>
      <c r="I30" s="132"/>
    </row>
    <row r="31" spans="1:17">
      <c r="A31" s="32"/>
      <c r="B31" s="3"/>
      <c r="C31" s="4"/>
      <c r="D31" s="33"/>
      <c r="E31" s="5"/>
      <c r="F31" s="66"/>
    </row>
    <row r="32" spans="1:17">
      <c r="A32" s="38" t="s">
        <v>22</v>
      </c>
      <c r="B32" s="35"/>
      <c r="D32" s="36"/>
      <c r="E32" s="67">
        <v>1000</v>
      </c>
      <c r="F32" s="66"/>
      <c r="G32" s="68"/>
    </row>
    <row r="33" spans="1:10">
      <c r="A33" s="38"/>
      <c r="B33" s="35"/>
      <c r="D33" s="36"/>
      <c r="E33" s="37"/>
      <c r="F33" s="11"/>
      <c r="J33" s="207"/>
    </row>
    <row r="34" spans="1:10">
      <c r="A34" s="69" t="s">
        <v>23</v>
      </c>
      <c r="B34" s="35"/>
      <c r="D34" s="18">
        <v>1500</v>
      </c>
      <c r="E34" s="70">
        <f>((D34*12)/365)*B20</f>
        <v>2205.7428872497367</v>
      </c>
      <c r="F34" s="11"/>
    </row>
    <row r="35" spans="1:10" ht="13.5" thickBot="1">
      <c r="A35" s="71"/>
      <c r="B35" s="72"/>
      <c r="C35" s="63"/>
      <c r="D35" s="73"/>
      <c r="E35" s="74"/>
    </row>
    <row r="36" spans="1:10">
      <c r="A36" s="75" t="s">
        <v>24</v>
      </c>
      <c r="B36" s="76" t="s">
        <v>25</v>
      </c>
      <c r="C36" s="77" t="s">
        <v>26</v>
      </c>
      <c r="D36" s="78" t="s">
        <v>27</v>
      </c>
      <c r="E36" s="5"/>
      <c r="I36">
        <v>22000000</v>
      </c>
    </row>
    <row r="37" spans="1:10">
      <c r="A37" s="82"/>
      <c r="B37" s="87"/>
      <c r="C37" s="88"/>
      <c r="D37" s="89"/>
      <c r="E37" s="90"/>
      <c r="F37" s="91"/>
      <c r="G37" s="91" t="s">
        <v>28</v>
      </c>
      <c r="I37" s="216">
        <v>2E-3</v>
      </c>
    </row>
    <row r="38" spans="1:10">
      <c r="A38" s="92"/>
      <c r="B38" s="93"/>
      <c r="C38" s="94">
        <f>B38/B26/24</f>
        <v>0</v>
      </c>
      <c r="D38" s="95"/>
      <c r="E38" s="96"/>
      <c r="F38" s="91"/>
      <c r="G38" s="97"/>
      <c r="I38">
        <f>I37*I36</f>
        <v>44000</v>
      </c>
    </row>
    <row r="39" spans="1:10">
      <c r="A39" s="92"/>
      <c r="B39" s="93"/>
      <c r="C39" s="94">
        <f>B39/B26/24</f>
        <v>0</v>
      </c>
      <c r="D39" s="98"/>
      <c r="E39" s="99"/>
      <c r="F39" s="91">
        <f t="shared" ref="F39:F49" si="0">G38+C38</f>
        <v>0</v>
      </c>
      <c r="G39" s="91">
        <f t="shared" ref="G39:G49" si="1">F39+D39</f>
        <v>0</v>
      </c>
    </row>
    <row r="40" spans="1:10">
      <c r="A40" s="92" t="s">
        <v>29</v>
      </c>
      <c r="B40" s="93"/>
      <c r="C40" s="94">
        <f>B40/B26/24</f>
        <v>0</v>
      </c>
      <c r="D40" s="98"/>
      <c r="E40" s="99"/>
      <c r="F40" s="91">
        <f t="shared" si="0"/>
        <v>0</v>
      </c>
      <c r="G40" s="91">
        <f t="shared" si="1"/>
        <v>0</v>
      </c>
    </row>
    <row r="41" spans="1:10">
      <c r="A41" s="92" t="s">
        <v>30</v>
      </c>
      <c r="B41" s="93">
        <v>3000</v>
      </c>
      <c r="C41" s="94">
        <f>B41/B26/24</f>
        <v>9.615384615384615</v>
      </c>
      <c r="D41" s="98">
        <f>B3/8000</f>
        <v>4.375</v>
      </c>
      <c r="E41" s="99">
        <v>70000</v>
      </c>
      <c r="F41" s="91">
        <f t="shared" si="0"/>
        <v>0</v>
      </c>
      <c r="G41" s="91">
        <f t="shared" si="1"/>
        <v>4.375</v>
      </c>
      <c r="I41" t="s">
        <v>31</v>
      </c>
      <c r="J41" s="208">
        <v>63503</v>
      </c>
    </row>
    <row r="42" spans="1:10">
      <c r="A42" s="92" t="s">
        <v>32</v>
      </c>
      <c r="B42" s="93">
        <v>4900</v>
      </c>
      <c r="C42" s="94">
        <f>B42/B26/24</f>
        <v>15.705128205128204</v>
      </c>
      <c r="D42" s="98">
        <f>B3/7500</f>
        <v>4.666666666666667</v>
      </c>
      <c r="E42" s="99">
        <v>50000</v>
      </c>
      <c r="F42" s="91">
        <f t="shared" si="0"/>
        <v>13.990384615384615</v>
      </c>
      <c r="G42" s="91">
        <f t="shared" si="1"/>
        <v>18.657051282051281</v>
      </c>
      <c r="I42" t="s">
        <v>33</v>
      </c>
      <c r="J42" s="208">
        <v>68547</v>
      </c>
    </row>
    <row r="43" spans="1:10">
      <c r="A43" s="92" t="s">
        <v>34</v>
      </c>
      <c r="B43" s="93">
        <v>350</v>
      </c>
      <c r="C43" s="94">
        <f>B43/B26/24</f>
        <v>1.1217948717948718</v>
      </c>
      <c r="D43" s="98">
        <v>1</v>
      </c>
      <c r="E43" s="99">
        <v>70000</v>
      </c>
      <c r="F43" s="91">
        <f t="shared" si="0"/>
        <v>34.362179487179489</v>
      </c>
      <c r="G43" s="91">
        <f t="shared" si="1"/>
        <v>35.362179487179489</v>
      </c>
      <c r="I43" t="s">
        <v>35</v>
      </c>
      <c r="J43" s="208">
        <v>69823</v>
      </c>
    </row>
    <row r="44" spans="1:10">
      <c r="A44" s="92" t="s">
        <v>36</v>
      </c>
      <c r="B44" s="93">
        <v>700</v>
      </c>
      <c r="C44" s="94">
        <f>B44/B26/24</f>
        <v>2.2435897435897436</v>
      </c>
      <c r="D44" s="98">
        <v>1</v>
      </c>
      <c r="E44" s="99">
        <v>10000</v>
      </c>
      <c r="F44" s="91">
        <f t="shared" si="0"/>
        <v>36.483974358974358</v>
      </c>
      <c r="G44" s="91">
        <f t="shared" si="1"/>
        <v>37.483974358974358</v>
      </c>
      <c r="I44" t="s">
        <v>37</v>
      </c>
      <c r="J44" s="208">
        <v>78783</v>
      </c>
    </row>
    <row r="45" spans="1:10">
      <c r="A45" s="92"/>
      <c r="B45" s="93"/>
      <c r="C45" s="94">
        <f>B45/B26/24</f>
        <v>0</v>
      </c>
      <c r="D45" s="98"/>
      <c r="E45" s="99"/>
      <c r="F45" s="91">
        <f t="shared" si="0"/>
        <v>39.727564102564102</v>
      </c>
      <c r="G45" s="91">
        <f t="shared" si="1"/>
        <v>39.727564102564102</v>
      </c>
      <c r="I45" t="s">
        <v>38</v>
      </c>
      <c r="J45" s="208">
        <v>86923</v>
      </c>
    </row>
    <row r="46" spans="1:10">
      <c r="A46" s="92"/>
      <c r="B46" s="93"/>
      <c r="C46" s="94">
        <f>B46/B26/24</f>
        <v>0</v>
      </c>
      <c r="D46" s="98"/>
      <c r="E46" s="99"/>
      <c r="F46" s="91">
        <f t="shared" si="0"/>
        <v>39.727564102564102</v>
      </c>
      <c r="G46" s="91">
        <f t="shared" si="1"/>
        <v>39.727564102564102</v>
      </c>
      <c r="I46" t="s">
        <v>39</v>
      </c>
      <c r="J46" s="208">
        <v>94655</v>
      </c>
    </row>
    <row r="47" spans="1:10">
      <c r="A47" s="92"/>
      <c r="B47" s="93"/>
      <c r="C47" s="94">
        <f>B47/B26/24</f>
        <v>0</v>
      </c>
      <c r="D47" s="98"/>
      <c r="E47" s="99"/>
      <c r="F47" s="91">
        <f t="shared" si="0"/>
        <v>39.727564102564102</v>
      </c>
      <c r="G47" s="91">
        <f t="shared" si="1"/>
        <v>39.727564102564102</v>
      </c>
    </row>
    <row r="48" spans="1:10">
      <c r="A48" s="92"/>
      <c r="B48" s="93"/>
      <c r="C48" s="94">
        <f>B48/B26/24</f>
        <v>0</v>
      </c>
      <c r="D48" s="98"/>
      <c r="E48" s="99"/>
      <c r="F48" s="91">
        <f t="shared" si="0"/>
        <v>39.727564102564102</v>
      </c>
      <c r="G48" s="91">
        <f t="shared" si="1"/>
        <v>39.727564102564102</v>
      </c>
    </row>
    <row r="49" spans="1:7">
      <c r="A49" s="92"/>
      <c r="B49" s="100"/>
      <c r="C49" s="94">
        <f>B49/B26/24</f>
        <v>0</v>
      </c>
      <c r="D49" s="98"/>
      <c r="E49" s="101"/>
      <c r="F49" s="91">
        <f t="shared" si="0"/>
        <v>39.727564102564102</v>
      </c>
      <c r="G49" s="91">
        <f t="shared" si="1"/>
        <v>39.727564102564102</v>
      </c>
    </row>
    <row r="50" spans="1:7">
      <c r="A50" s="12" t="s">
        <v>40</v>
      </c>
      <c r="B50" s="102">
        <f>SUM(B37:B49)</f>
        <v>8950</v>
      </c>
      <c r="D50" s="35"/>
      <c r="E50" s="37"/>
    </row>
    <row r="51" spans="1:7">
      <c r="A51" s="12" t="s">
        <v>41</v>
      </c>
      <c r="B51" s="103"/>
      <c r="C51" s="104">
        <v>1</v>
      </c>
      <c r="D51" s="105">
        <v>4</v>
      </c>
      <c r="E51" s="37"/>
    </row>
    <row r="52" spans="1:7" ht="13.5" thickBot="1">
      <c r="A52" s="106" t="s">
        <v>42</v>
      </c>
      <c r="B52" s="107"/>
      <c r="C52" s="108">
        <f>SUM(C38:C51)</f>
        <v>29.685897435897434</v>
      </c>
      <c r="D52" s="108">
        <f>SUM(D39:D51)</f>
        <v>15.041666666666668</v>
      </c>
      <c r="E52" s="109">
        <f>SUM(E37:E49)</f>
        <v>200000</v>
      </c>
    </row>
    <row r="53" spans="1:7">
      <c r="A53" s="110" t="s">
        <v>43</v>
      </c>
      <c r="B53" s="3"/>
      <c r="C53" s="4"/>
      <c r="D53" s="33"/>
      <c r="E53" s="111">
        <v>1500</v>
      </c>
      <c r="F53" s="11"/>
    </row>
    <row r="54" spans="1:7">
      <c r="A54" s="112" t="s">
        <v>44</v>
      </c>
      <c r="B54" s="35"/>
      <c r="D54" s="113"/>
      <c r="E54" s="67"/>
      <c r="F54" s="11"/>
    </row>
    <row r="55" spans="1:7">
      <c r="A55" s="112" t="s">
        <v>45</v>
      </c>
      <c r="B55" s="35"/>
      <c r="D55" s="36"/>
      <c r="E55" s="67"/>
      <c r="F55" s="11"/>
    </row>
    <row r="56" spans="1:7">
      <c r="A56" s="112" t="s">
        <v>46</v>
      </c>
      <c r="B56" s="35"/>
      <c r="D56" s="36"/>
      <c r="E56" s="67"/>
      <c r="F56" s="11"/>
    </row>
    <row r="57" spans="1:7">
      <c r="A57" s="112" t="s">
        <v>47</v>
      </c>
      <c r="B57" s="35"/>
      <c r="D57" s="36"/>
      <c r="E57" s="67"/>
      <c r="F57" s="11"/>
    </row>
    <row r="58" spans="1:7">
      <c r="A58" s="112" t="s">
        <v>48</v>
      </c>
      <c r="B58" s="35"/>
      <c r="D58" s="36"/>
      <c r="E58" s="67"/>
      <c r="F58" s="11"/>
    </row>
    <row r="59" spans="1:7">
      <c r="A59" s="112" t="s">
        <v>49</v>
      </c>
      <c r="B59" s="35"/>
      <c r="D59" s="36"/>
      <c r="E59" s="67"/>
      <c r="F59" s="11"/>
    </row>
    <row r="60" spans="1:7">
      <c r="A60" s="112" t="s">
        <v>50</v>
      </c>
      <c r="B60" s="35"/>
      <c r="D60" s="36"/>
      <c r="E60" s="67">
        <v>5000</v>
      </c>
      <c r="F60" s="11"/>
    </row>
    <row r="61" spans="1:7">
      <c r="A61" s="38" t="s">
        <v>51</v>
      </c>
      <c r="B61" s="35"/>
      <c r="D61" s="35"/>
      <c r="E61" s="67">
        <v>500</v>
      </c>
      <c r="F61" s="11"/>
    </row>
    <row r="62" spans="1:7">
      <c r="A62" s="38" t="s">
        <v>52</v>
      </c>
      <c r="B62" s="35"/>
      <c r="D62" s="114"/>
      <c r="E62" s="67"/>
      <c r="F62" s="11"/>
    </row>
    <row r="63" spans="1:7" ht="13.5" thickBot="1">
      <c r="A63" s="27" t="s">
        <v>53</v>
      </c>
      <c r="B63" s="115"/>
      <c r="C63" s="116"/>
      <c r="D63" s="115"/>
      <c r="E63" s="117">
        <f>E22+E29+E30+E32+E34+E52+E53+E54+E55+E61+E62+E56+E57+E59+E60+E58</f>
        <v>1804004.4207718649</v>
      </c>
      <c r="F63" s="118"/>
    </row>
    <row r="64" spans="1:7" ht="15.75">
      <c r="A64" s="119" t="s">
        <v>54</v>
      </c>
      <c r="B64" s="120"/>
      <c r="C64" s="121"/>
      <c r="D64" s="120"/>
      <c r="E64" s="122">
        <f>E16-E63</f>
        <v>120995.57922813506</v>
      </c>
      <c r="F64" s="231"/>
    </row>
    <row r="65" spans="1:5" ht="13.5" thickBot="1">
      <c r="A65" s="123">
        <f ca="1">NOW()</f>
        <v>46205.416867939814</v>
      </c>
      <c r="B65" s="72"/>
      <c r="C65" s="63"/>
      <c r="D65" s="124" t="s">
        <v>55</v>
      </c>
      <c r="E65" s="65">
        <f>-(E63-E20-E16)/B20</f>
        <v>27705.168091664502</v>
      </c>
    </row>
    <row r="66" spans="1:5">
      <c r="A66" s="125"/>
      <c r="B66" s="35"/>
      <c r="D66" s="35"/>
      <c r="E66" s="35"/>
    </row>
    <row r="68" spans="1:5">
      <c r="A68" s="127"/>
    </row>
    <row r="153" spans="3:6">
      <c r="D153" s="126">
        <v>36500</v>
      </c>
      <c r="E153" s="126">
        <f>17000*0.9</f>
        <v>15300</v>
      </c>
      <c r="F153" s="231">
        <f>E153+D153</f>
        <v>51800</v>
      </c>
    </row>
    <row r="154" spans="3:6">
      <c r="D154" s="126">
        <v>-13300</v>
      </c>
      <c r="E154" s="126">
        <v>-13300</v>
      </c>
    </row>
    <row r="155" spans="3:6">
      <c r="D155" s="126">
        <v>-13300</v>
      </c>
    </row>
    <row r="157" spans="3:6">
      <c r="C157" s="8">
        <f>D157/D154</f>
        <v>-0.74436090225563911</v>
      </c>
      <c r="D157" s="126">
        <f>SUM(D153:D156)</f>
        <v>9900</v>
      </c>
      <c r="E157" s="126">
        <f>SUM(E153:E156)</f>
        <v>2000</v>
      </c>
      <c r="F157">
        <f>E157/E154</f>
        <v>-0.15037593984962405</v>
      </c>
    </row>
    <row r="165" spans="4:6">
      <c r="D165" s="234" t="s">
        <v>56</v>
      </c>
      <c r="E165" s="234" t="s">
        <v>57</v>
      </c>
      <c r="F165" s="235">
        <v>44438</v>
      </c>
    </row>
    <row r="166" spans="4:6">
      <c r="D166" s="234" t="s">
        <v>29</v>
      </c>
      <c r="E166" s="233"/>
      <c r="F166" s="235">
        <f>F165+18</f>
        <v>44456</v>
      </c>
    </row>
    <row r="167" spans="4:6">
      <c r="D167" s="234" t="s">
        <v>58</v>
      </c>
      <c r="E167" s="233">
        <v>44492</v>
      </c>
      <c r="F167" s="235">
        <f>F166+7+5+2</f>
        <v>44470</v>
      </c>
    </row>
    <row r="168" spans="4:6">
      <c r="D168" s="234" t="s">
        <v>59</v>
      </c>
    </row>
    <row r="169" spans="4:6">
      <c r="D169" s="234" t="s">
        <v>60</v>
      </c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9"/>
  <sheetViews>
    <sheetView topLeftCell="A28" workbookViewId="0">
      <selection activeCell="B30" sqref="B30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7" width="16.7109375" customWidth="1"/>
    <col min="8" max="256" width="11.42578125" customWidth="1"/>
  </cols>
  <sheetData>
    <row r="1" spans="1:11" ht="27" customHeight="1" thickBot="1">
      <c r="A1" s="1" t="s">
        <v>0</v>
      </c>
      <c r="B1" s="280"/>
      <c r="C1" s="281"/>
      <c r="D1" s="281"/>
      <c r="E1" s="282"/>
    </row>
    <row r="2" spans="1:11" ht="15.75">
      <c r="A2" s="2" t="s">
        <v>1</v>
      </c>
      <c r="B2" s="3"/>
      <c r="C2" s="4"/>
      <c r="D2" s="3"/>
      <c r="E2" s="5"/>
    </row>
    <row r="3" spans="1:11">
      <c r="A3" s="6"/>
      <c r="B3" s="7">
        <v>31500</v>
      </c>
      <c r="D3" s="9">
        <v>56</v>
      </c>
      <c r="E3" s="10">
        <f>D3*B3</f>
        <v>1764000</v>
      </c>
      <c r="F3" s="129"/>
      <c r="G3" s="220">
        <f>E64</f>
        <v>-168102.09782226919</v>
      </c>
    </row>
    <row r="4" spans="1:11">
      <c r="A4" s="12" t="s">
        <v>2</v>
      </c>
      <c r="B4" s="13"/>
      <c r="C4" s="8" t="s">
        <v>3</v>
      </c>
      <c r="D4" s="14">
        <v>1.2500000000000001E-2</v>
      </c>
      <c r="E4" s="10">
        <f>E3*D4</f>
        <v>22050</v>
      </c>
      <c r="F4" s="11"/>
    </row>
    <row r="5" spans="1:11">
      <c r="A5" s="15"/>
      <c r="B5" s="7"/>
      <c r="D5" s="16"/>
      <c r="E5" s="10">
        <f>D5*B5</f>
        <v>0</v>
      </c>
      <c r="F5" s="11"/>
    </row>
    <row r="6" spans="1:11">
      <c r="A6" s="12" t="s">
        <v>2</v>
      </c>
      <c r="B6" s="13"/>
      <c r="C6" s="8" t="s">
        <v>3</v>
      </c>
      <c r="D6" s="14"/>
      <c r="E6" s="10">
        <f>E5*D6</f>
        <v>0</v>
      </c>
      <c r="F6" s="11"/>
    </row>
    <row r="7" spans="1:11">
      <c r="A7" s="6"/>
      <c r="B7" s="7"/>
      <c r="D7" s="17"/>
      <c r="E7" s="10">
        <f>D7*B7</f>
        <v>0</v>
      </c>
      <c r="F7" s="11"/>
    </row>
    <row r="8" spans="1:11">
      <c r="A8" s="12" t="s">
        <v>2</v>
      </c>
      <c r="B8" s="13"/>
      <c r="C8" s="8" t="s">
        <v>3</v>
      </c>
      <c r="D8" s="14"/>
      <c r="E8" s="10">
        <f>E7*D8</f>
        <v>0</v>
      </c>
      <c r="F8" s="11"/>
      <c r="G8" t="s">
        <v>61</v>
      </c>
      <c r="H8" t="s">
        <v>62</v>
      </c>
      <c r="K8">
        <v>337</v>
      </c>
    </row>
    <row r="9" spans="1:11">
      <c r="A9" s="15"/>
      <c r="B9" s="7"/>
      <c r="D9" s="17"/>
      <c r="E9" s="10">
        <f>D9*B9</f>
        <v>0</v>
      </c>
      <c r="F9" s="11"/>
      <c r="G9" t="s">
        <v>63</v>
      </c>
      <c r="H9" t="s">
        <v>64</v>
      </c>
      <c r="K9">
        <v>366</v>
      </c>
    </row>
    <row r="10" spans="1:11">
      <c r="A10" s="12" t="s">
        <v>2</v>
      </c>
      <c r="B10" s="13"/>
      <c r="C10" s="8" t="s">
        <v>3</v>
      </c>
      <c r="D10" s="14"/>
      <c r="E10" s="10">
        <f>E9*D10</f>
        <v>0</v>
      </c>
      <c r="F10" s="11"/>
      <c r="G10" t="s">
        <v>65</v>
      </c>
      <c r="H10" t="s">
        <v>62</v>
      </c>
      <c r="K10">
        <v>337</v>
      </c>
    </row>
    <row r="11" spans="1:11">
      <c r="A11" s="15"/>
      <c r="B11" s="7"/>
      <c r="D11" s="17"/>
      <c r="E11" s="10">
        <f>D11*B11</f>
        <v>0</v>
      </c>
      <c r="F11" s="11"/>
      <c r="G11" t="s">
        <v>65</v>
      </c>
      <c r="H11" t="s">
        <v>66</v>
      </c>
      <c r="K11">
        <v>331</v>
      </c>
    </row>
    <row r="12" spans="1:11">
      <c r="A12" s="12" t="s">
        <v>2</v>
      </c>
      <c r="B12" s="13"/>
      <c r="C12" s="8" t="s">
        <v>3</v>
      </c>
      <c r="D12" s="14"/>
      <c r="E12" s="10">
        <f>E11*D12</f>
        <v>0</v>
      </c>
      <c r="F12" s="11"/>
      <c r="G12" t="s">
        <v>65</v>
      </c>
      <c r="H12" t="s">
        <v>64</v>
      </c>
      <c r="K12">
        <v>367</v>
      </c>
    </row>
    <row r="13" spans="1:11">
      <c r="A13" s="21" t="s">
        <v>4</v>
      </c>
      <c r="B13" s="22"/>
      <c r="D13" s="23"/>
      <c r="E13" s="24">
        <f>E4+E6+E8+E10+E12</f>
        <v>22050</v>
      </c>
      <c r="F13" s="11"/>
      <c r="G13" t="s">
        <v>65</v>
      </c>
      <c r="H13" t="s">
        <v>62</v>
      </c>
      <c r="I13" s="221"/>
      <c r="K13" s="215">
        <v>337</v>
      </c>
    </row>
    <row r="14" spans="1:11">
      <c r="A14" s="21" t="s">
        <v>5</v>
      </c>
      <c r="B14" s="22"/>
      <c r="D14" s="23"/>
      <c r="E14" s="24">
        <f>E3+E5+E7+E9+E11</f>
        <v>1764000</v>
      </c>
      <c r="F14" s="11"/>
      <c r="G14" t="s">
        <v>65</v>
      </c>
      <c r="H14" t="s">
        <v>66</v>
      </c>
      <c r="I14" s="221"/>
      <c r="J14" s="208"/>
      <c r="K14" s="215">
        <v>340</v>
      </c>
    </row>
    <row r="15" spans="1:11">
      <c r="A15" s="25"/>
      <c r="B15" s="22"/>
      <c r="D15" s="23"/>
      <c r="E15" s="26"/>
      <c r="F15" s="11"/>
      <c r="G15" t="s">
        <v>67</v>
      </c>
      <c r="H15" t="s">
        <v>64</v>
      </c>
      <c r="K15">
        <v>371</v>
      </c>
    </row>
    <row r="16" spans="1:11" ht="13.5" thickBot="1">
      <c r="A16" s="27" t="s">
        <v>6</v>
      </c>
      <c r="B16" s="28">
        <f>SUM(B3:B12)</f>
        <v>31500</v>
      </c>
      <c r="C16" s="29"/>
      <c r="D16" s="30"/>
      <c r="E16" s="31">
        <f>E14-E13+E15</f>
        <v>1741950</v>
      </c>
      <c r="F16" s="11"/>
      <c r="G16" t="s">
        <v>67</v>
      </c>
      <c r="H16" t="s">
        <v>68</v>
      </c>
      <c r="K16">
        <v>356</v>
      </c>
    </row>
    <row r="17" spans="1:17">
      <c r="A17" s="32"/>
      <c r="B17" s="3"/>
      <c r="C17" s="4"/>
      <c r="D17" s="33"/>
      <c r="E17" s="5"/>
      <c r="G17" t="s">
        <v>67</v>
      </c>
      <c r="H17" t="s">
        <v>64</v>
      </c>
      <c r="K17">
        <v>380</v>
      </c>
      <c r="Q17" s="208"/>
    </row>
    <row r="18" spans="1:17" ht="15.75">
      <c r="A18" s="34" t="s">
        <v>7</v>
      </c>
      <c r="B18" s="35"/>
      <c r="D18" s="36"/>
      <c r="E18" s="37"/>
      <c r="G18" t="s">
        <v>69</v>
      </c>
      <c r="H18" t="s">
        <v>68</v>
      </c>
      <c r="K18">
        <v>375</v>
      </c>
      <c r="Q18" s="208"/>
    </row>
    <row r="19" spans="1:17">
      <c r="A19" s="38" t="s">
        <v>8</v>
      </c>
      <c r="B19" s="35"/>
      <c r="D19" s="36"/>
      <c r="E19" s="37"/>
      <c r="G19" t="s">
        <v>70</v>
      </c>
      <c r="H19" t="s">
        <v>66</v>
      </c>
      <c r="K19">
        <v>334</v>
      </c>
    </row>
    <row r="20" spans="1:17">
      <c r="A20" s="38" t="s">
        <v>9</v>
      </c>
      <c r="B20" s="44">
        <f>C52+D52</f>
        <v>34.653846153846153</v>
      </c>
      <c r="C20" s="8" t="s">
        <v>3</v>
      </c>
      <c r="D20" s="130">
        <v>30000</v>
      </c>
      <c r="E20" s="37">
        <f>B20*D20</f>
        <v>1039615.3846153846</v>
      </c>
      <c r="F20" s="232"/>
      <c r="G20" s="231" t="s">
        <v>70</v>
      </c>
      <c r="H20" t="s">
        <v>66</v>
      </c>
      <c r="K20">
        <v>329</v>
      </c>
      <c r="L20" t="s">
        <v>71</v>
      </c>
      <c r="M20">
        <v>10000</v>
      </c>
    </row>
    <row r="21" spans="1:17">
      <c r="A21" s="38" t="s">
        <v>10</v>
      </c>
      <c r="B21" s="46"/>
      <c r="C21" s="47">
        <v>3.7499999999999999E-2</v>
      </c>
      <c r="D21" s="36">
        <f>D20*C21</f>
        <v>1125</v>
      </c>
      <c r="E21" s="48">
        <f>D21*B20</f>
        <v>38985.576923076922</v>
      </c>
      <c r="F21" s="11"/>
      <c r="G21" s="231"/>
      <c r="I21" s="132"/>
      <c r="K21" s="132">
        <v>360</v>
      </c>
      <c r="L21" t="s">
        <v>29</v>
      </c>
      <c r="M21" s="132">
        <v>25000</v>
      </c>
    </row>
    <row r="22" spans="1:17" ht="13.5" thickBot="1">
      <c r="A22" s="38"/>
      <c r="B22" s="46"/>
      <c r="C22" s="49" t="s">
        <v>11</v>
      </c>
      <c r="D22" s="40">
        <f>D20-D21</f>
        <v>28875</v>
      </c>
      <c r="E22" s="50">
        <f>E20-E21</f>
        <v>1000629.8076923077</v>
      </c>
      <c r="L22" t="s">
        <v>72</v>
      </c>
      <c r="M22">
        <v>15000</v>
      </c>
    </row>
    <row r="23" spans="1:17">
      <c r="A23" s="51" t="s">
        <v>12</v>
      </c>
      <c r="B23" s="52" t="s">
        <v>13</v>
      </c>
      <c r="C23" s="4" t="s">
        <v>14</v>
      </c>
      <c r="D23" s="53" t="s">
        <v>15</v>
      </c>
      <c r="E23" s="5"/>
      <c r="M23">
        <f>SUM(M20:M22)</f>
        <v>50000</v>
      </c>
    </row>
    <row r="24" spans="1:17">
      <c r="A24" s="38" t="s">
        <v>16</v>
      </c>
      <c r="B24" s="54">
        <v>28</v>
      </c>
      <c r="C24" s="55">
        <v>2</v>
      </c>
      <c r="D24" s="56">
        <v>1</v>
      </c>
      <c r="E24" s="37"/>
      <c r="H24" s="11"/>
    </row>
    <row r="25" spans="1:17">
      <c r="A25" s="38" t="s">
        <v>17</v>
      </c>
      <c r="B25" s="54">
        <v>1</v>
      </c>
      <c r="C25" s="55">
        <v>1</v>
      </c>
      <c r="D25" s="56">
        <v>1</v>
      </c>
      <c r="E25" s="37"/>
      <c r="H25" s="11"/>
    </row>
    <row r="26" spans="1:17">
      <c r="A26" s="38" t="s">
        <v>18</v>
      </c>
      <c r="B26" s="54">
        <v>13</v>
      </c>
      <c r="C26" s="57"/>
      <c r="D26" s="58"/>
      <c r="E26" s="37"/>
    </row>
    <row r="27" spans="1:17">
      <c r="A27" s="38"/>
      <c r="B27" s="35"/>
      <c r="D27" s="36"/>
      <c r="E27" s="37"/>
    </row>
    <row r="28" spans="1:17">
      <c r="A28" s="38" t="s">
        <v>19</v>
      </c>
      <c r="B28" s="35"/>
      <c r="D28" s="36"/>
      <c r="E28" s="37"/>
      <c r="G28" s="208"/>
    </row>
    <row r="29" spans="1:17">
      <c r="A29" s="12" t="s">
        <v>20</v>
      </c>
      <c r="B29" s="59">
        <f>(B24*C52) + (C24*D52)</f>
        <v>428.64102564102569</v>
      </c>
      <c r="C29" s="8" t="s">
        <v>3</v>
      </c>
      <c r="D29" s="130">
        <v>550</v>
      </c>
      <c r="E29" s="60">
        <f>B29*D29</f>
        <v>235752.56410256412</v>
      </c>
      <c r="F29" s="11"/>
      <c r="G29" s="208"/>
    </row>
    <row r="30" spans="1:17" ht="13.5" thickBot="1">
      <c r="A30" s="61" t="s">
        <v>21</v>
      </c>
      <c r="B30" s="62">
        <f>(B25*C52)+(C25*D52)</f>
        <v>34.653846153846153</v>
      </c>
      <c r="C30" s="63" t="s">
        <v>3</v>
      </c>
      <c r="D30" s="131">
        <v>980</v>
      </c>
      <c r="E30" s="65">
        <f>B30*D30</f>
        <v>33960.769230769227</v>
      </c>
      <c r="F30" s="11"/>
      <c r="I30" s="132"/>
    </row>
    <row r="31" spans="1:17">
      <c r="A31" s="32"/>
      <c r="B31" s="3"/>
      <c r="C31" s="4"/>
      <c r="D31" s="33"/>
      <c r="E31" s="5"/>
      <c r="F31" s="66"/>
    </row>
    <row r="32" spans="1:17">
      <c r="A32" s="38" t="s">
        <v>22</v>
      </c>
      <c r="B32" s="35"/>
      <c r="D32" s="36"/>
      <c r="E32" s="67">
        <v>1000</v>
      </c>
      <c r="F32" s="66"/>
      <c r="G32" s="68"/>
    </row>
    <row r="33" spans="1:10">
      <c r="A33" s="38"/>
      <c r="B33" s="35"/>
      <c r="D33" s="36"/>
      <c r="E33" s="37"/>
      <c r="F33" s="11"/>
      <c r="J33" s="207"/>
    </row>
    <row r="34" spans="1:10">
      <c r="A34" s="69" t="s">
        <v>23</v>
      </c>
      <c r="B34" s="35"/>
      <c r="D34" s="18">
        <v>1500</v>
      </c>
      <c r="E34" s="70">
        <f>((D34*12)/365)*B20</f>
        <v>1708.9567966280295</v>
      </c>
      <c r="F34" s="11"/>
    </row>
    <row r="35" spans="1:10" ht="13.5" thickBot="1">
      <c r="A35" s="71"/>
      <c r="B35" s="72"/>
      <c r="C35" s="63"/>
      <c r="D35" s="73"/>
      <c r="E35" s="74"/>
    </row>
    <row r="36" spans="1:10">
      <c r="A36" s="75" t="s">
        <v>24</v>
      </c>
      <c r="B36" s="76" t="s">
        <v>25</v>
      </c>
      <c r="C36" s="77" t="s">
        <v>26</v>
      </c>
      <c r="D36" s="78" t="s">
        <v>27</v>
      </c>
      <c r="E36" s="5"/>
      <c r="I36">
        <v>22000000</v>
      </c>
    </row>
    <row r="37" spans="1:10">
      <c r="A37" s="82"/>
      <c r="B37" s="87"/>
      <c r="C37" s="88"/>
      <c r="D37" s="89"/>
      <c r="E37" s="90"/>
      <c r="F37" s="91"/>
      <c r="G37" s="91" t="s">
        <v>28</v>
      </c>
      <c r="I37" s="216">
        <v>2E-3</v>
      </c>
    </row>
    <row r="38" spans="1:10">
      <c r="A38" s="92"/>
      <c r="B38" s="93"/>
      <c r="C38" s="94">
        <f>B38/B26/24</f>
        <v>0</v>
      </c>
      <c r="D38" s="95"/>
      <c r="E38" s="96"/>
      <c r="F38" s="91"/>
      <c r="G38" s="97"/>
      <c r="I38">
        <f>I37*I36</f>
        <v>44000</v>
      </c>
    </row>
    <row r="39" spans="1:10">
      <c r="A39" s="92"/>
      <c r="B39" s="93"/>
      <c r="C39" s="94">
        <f>B39/B26/24</f>
        <v>0</v>
      </c>
      <c r="D39" s="98"/>
      <c r="E39" s="99"/>
      <c r="F39" s="91">
        <f t="shared" ref="F39:F49" si="0">G38+C38</f>
        <v>0</v>
      </c>
      <c r="G39" s="91">
        <f t="shared" ref="G39:G49" si="1">F39+D39</f>
        <v>0</v>
      </c>
    </row>
    <row r="40" spans="1:10">
      <c r="A40" s="92" t="s">
        <v>29</v>
      </c>
      <c r="B40" s="93"/>
      <c r="C40" s="94">
        <f>B40/B26/24</f>
        <v>0</v>
      </c>
      <c r="D40" s="98"/>
      <c r="E40" s="99"/>
      <c r="F40" s="91">
        <f t="shared" si="0"/>
        <v>0</v>
      </c>
      <c r="G40" s="91">
        <f t="shared" si="1"/>
        <v>0</v>
      </c>
    </row>
    <row r="41" spans="1:10">
      <c r="A41" s="92" t="s">
        <v>73</v>
      </c>
      <c r="B41" s="93">
        <v>500</v>
      </c>
      <c r="C41" s="94">
        <f>B41/B26/24</f>
        <v>1.6025641025641024</v>
      </c>
      <c r="D41" s="98">
        <f>35000/7000</f>
        <v>5</v>
      </c>
      <c r="E41" s="99">
        <v>250000</v>
      </c>
      <c r="F41" s="91">
        <f t="shared" si="0"/>
        <v>0</v>
      </c>
      <c r="G41" s="91">
        <f t="shared" si="1"/>
        <v>5</v>
      </c>
      <c r="I41" t="s">
        <v>31</v>
      </c>
      <c r="J41" s="208">
        <v>63503</v>
      </c>
    </row>
    <row r="42" spans="1:10">
      <c r="A42" s="92" t="s">
        <v>74</v>
      </c>
      <c r="B42" s="93"/>
      <c r="C42" s="94">
        <f>B42/B26/24</f>
        <v>0</v>
      </c>
      <c r="D42" s="98">
        <v>6</v>
      </c>
      <c r="E42" s="99">
        <v>180000</v>
      </c>
      <c r="F42" s="91">
        <f t="shared" si="0"/>
        <v>6.6025641025641022</v>
      </c>
      <c r="G42" s="91">
        <f t="shared" si="1"/>
        <v>12.602564102564102</v>
      </c>
      <c r="I42" t="s">
        <v>33</v>
      </c>
      <c r="J42" s="208">
        <v>68547</v>
      </c>
    </row>
    <row r="43" spans="1:10">
      <c r="A43" s="92" t="s">
        <v>32</v>
      </c>
      <c r="B43" s="93">
        <v>2500</v>
      </c>
      <c r="C43" s="94">
        <f>B43/B26/24</f>
        <v>8.0128205128205128</v>
      </c>
      <c r="D43" s="98">
        <f>35000/6000+1</f>
        <v>6.833333333333333</v>
      </c>
      <c r="E43" s="99">
        <v>50000</v>
      </c>
      <c r="F43" s="91">
        <f t="shared" si="0"/>
        <v>12.602564102564102</v>
      </c>
      <c r="G43" s="91">
        <f t="shared" si="1"/>
        <v>19.435897435897434</v>
      </c>
      <c r="I43" t="s">
        <v>35</v>
      </c>
      <c r="J43" s="208">
        <v>69823</v>
      </c>
    </row>
    <row r="44" spans="1:10">
      <c r="A44" s="92" t="s">
        <v>75</v>
      </c>
      <c r="B44" s="93">
        <v>300</v>
      </c>
      <c r="C44" s="94">
        <f>B44/B26/24</f>
        <v>0.96153846153846156</v>
      </c>
      <c r="D44" s="98">
        <v>0.5</v>
      </c>
      <c r="E44" s="99">
        <v>70000</v>
      </c>
      <c r="F44" s="91">
        <f t="shared" si="0"/>
        <v>27.448717948717949</v>
      </c>
      <c r="G44" s="91">
        <f t="shared" si="1"/>
        <v>27.948717948717949</v>
      </c>
      <c r="I44" t="s">
        <v>37</v>
      </c>
      <c r="J44" s="208">
        <v>78783</v>
      </c>
    </row>
    <row r="45" spans="1:10">
      <c r="A45" s="92" t="s">
        <v>76</v>
      </c>
      <c r="B45" s="93">
        <v>700</v>
      </c>
      <c r="C45" s="94">
        <f>B45/B26/24</f>
        <v>2.2435897435897436</v>
      </c>
      <c r="D45" s="98">
        <v>0.5</v>
      </c>
      <c r="E45" s="99">
        <v>80000</v>
      </c>
      <c r="F45" s="91">
        <f t="shared" si="0"/>
        <v>28.910256410256409</v>
      </c>
      <c r="G45" s="91">
        <f t="shared" si="1"/>
        <v>29.410256410256409</v>
      </c>
      <c r="I45" t="s">
        <v>38</v>
      </c>
      <c r="J45" s="208">
        <v>86923</v>
      </c>
    </row>
    <row r="46" spans="1:10">
      <c r="A46" s="92"/>
      <c r="B46" s="93"/>
      <c r="C46" s="94">
        <f>B46/B26/24</f>
        <v>0</v>
      </c>
      <c r="D46" s="98"/>
      <c r="E46" s="99"/>
      <c r="F46" s="91">
        <f t="shared" si="0"/>
        <v>31.653846153846153</v>
      </c>
      <c r="G46" s="91">
        <f t="shared" si="1"/>
        <v>31.653846153846153</v>
      </c>
      <c r="I46" t="s">
        <v>39</v>
      </c>
      <c r="J46" s="208">
        <v>94655</v>
      </c>
    </row>
    <row r="47" spans="1:10">
      <c r="A47" s="92"/>
      <c r="B47" s="93"/>
      <c r="C47" s="94">
        <f>B47/B26/24</f>
        <v>0</v>
      </c>
      <c r="D47" s="98"/>
      <c r="E47" s="99"/>
      <c r="F47" s="91">
        <f t="shared" si="0"/>
        <v>31.653846153846153</v>
      </c>
      <c r="G47" s="91">
        <f t="shared" si="1"/>
        <v>31.653846153846153</v>
      </c>
    </row>
    <row r="48" spans="1:10">
      <c r="A48" s="92"/>
      <c r="B48" s="93"/>
      <c r="C48" s="94">
        <f>B48/B26/24</f>
        <v>0</v>
      </c>
      <c r="D48" s="98"/>
      <c r="E48" s="99"/>
      <c r="F48" s="91">
        <f t="shared" si="0"/>
        <v>31.653846153846153</v>
      </c>
      <c r="G48" s="91">
        <f t="shared" si="1"/>
        <v>31.653846153846153</v>
      </c>
    </row>
    <row r="49" spans="1:7">
      <c r="A49" s="92"/>
      <c r="B49" s="100"/>
      <c r="C49" s="94">
        <f>B49/B26/24</f>
        <v>0</v>
      </c>
      <c r="D49" s="98"/>
      <c r="E49" s="101"/>
      <c r="F49" s="91">
        <f t="shared" si="0"/>
        <v>31.653846153846153</v>
      </c>
      <c r="G49" s="91">
        <f t="shared" si="1"/>
        <v>31.653846153846153</v>
      </c>
    </row>
    <row r="50" spans="1:7">
      <c r="A50" s="12" t="s">
        <v>40</v>
      </c>
      <c r="B50" s="102">
        <f>SUM(B37:B49)</f>
        <v>4000</v>
      </c>
      <c r="D50" s="35"/>
      <c r="E50" s="37"/>
    </row>
    <row r="51" spans="1:7">
      <c r="A51" s="12" t="s">
        <v>41</v>
      </c>
      <c r="B51" s="103"/>
      <c r="C51" s="104">
        <v>1</v>
      </c>
      <c r="D51" s="105">
        <v>2</v>
      </c>
      <c r="E51" s="37"/>
    </row>
    <row r="52" spans="1:7" ht="13.5" thickBot="1">
      <c r="A52" s="106" t="s">
        <v>42</v>
      </c>
      <c r="B52" s="107"/>
      <c r="C52" s="108">
        <f>SUM(C38:C51)</f>
        <v>13.820512820512821</v>
      </c>
      <c r="D52" s="108">
        <f>SUM(D39:D51)</f>
        <v>20.833333333333332</v>
      </c>
      <c r="E52" s="109">
        <f>SUM(E37:E49)</f>
        <v>630000</v>
      </c>
    </row>
    <row r="53" spans="1:7">
      <c r="A53" s="110" t="s">
        <v>43</v>
      </c>
      <c r="B53" s="3"/>
      <c r="C53" s="4"/>
      <c r="D53" s="33"/>
      <c r="E53" s="111">
        <v>1500</v>
      </c>
      <c r="F53" s="11"/>
    </row>
    <row r="54" spans="1:7">
      <c r="A54" s="112" t="s">
        <v>44</v>
      </c>
      <c r="B54" s="35"/>
      <c r="D54" s="113"/>
      <c r="E54" s="67"/>
      <c r="F54" s="11"/>
    </row>
    <row r="55" spans="1:7">
      <c r="A55" s="112" t="s">
        <v>45</v>
      </c>
      <c r="B55" s="35"/>
      <c r="D55" s="36"/>
      <c r="E55" s="67"/>
      <c r="F55" s="11"/>
    </row>
    <row r="56" spans="1:7">
      <c r="A56" s="112" t="s">
        <v>46</v>
      </c>
      <c r="B56" s="35"/>
      <c r="D56" s="36"/>
      <c r="E56" s="67"/>
      <c r="F56" s="11"/>
    </row>
    <row r="57" spans="1:7">
      <c r="A57" s="112" t="s">
        <v>47</v>
      </c>
      <c r="B57" s="35"/>
      <c r="D57" s="36"/>
      <c r="E57" s="67"/>
      <c r="F57" s="11"/>
    </row>
    <row r="58" spans="1:7">
      <c r="A58" s="112" t="s">
        <v>48</v>
      </c>
      <c r="B58" s="35"/>
      <c r="D58" s="36"/>
      <c r="E58" s="67"/>
      <c r="F58" s="11"/>
    </row>
    <row r="59" spans="1:7">
      <c r="A59" s="112" t="s">
        <v>49</v>
      </c>
      <c r="B59" s="35"/>
      <c r="D59" s="36"/>
      <c r="E59" s="67"/>
      <c r="F59" s="11"/>
    </row>
    <row r="60" spans="1:7">
      <c r="A60" s="112" t="s">
        <v>50</v>
      </c>
      <c r="B60" s="35"/>
      <c r="D60" s="36"/>
      <c r="E60" s="67">
        <v>5000</v>
      </c>
      <c r="F60" s="11"/>
    </row>
    <row r="61" spans="1:7">
      <c r="A61" s="38" t="s">
        <v>51</v>
      </c>
      <c r="B61" s="35"/>
      <c r="D61" s="35"/>
      <c r="E61" s="67">
        <v>500</v>
      </c>
      <c r="F61" s="11"/>
    </row>
    <row r="62" spans="1:7">
      <c r="A62" s="38" t="s">
        <v>52</v>
      </c>
      <c r="B62" s="35"/>
      <c r="D62" s="114"/>
      <c r="E62" s="67"/>
      <c r="F62" s="11"/>
    </row>
    <row r="63" spans="1:7" ht="13.5" thickBot="1">
      <c r="A63" s="27" t="s">
        <v>53</v>
      </c>
      <c r="B63" s="115"/>
      <c r="C63" s="116"/>
      <c r="D63" s="115"/>
      <c r="E63" s="117">
        <f>E22+E29+E30+E32+E34+E52+E53+E54+E55+E61+E62+E56+E57+E59+E60+E58</f>
        <v>1910052.0978222692</v>
      </c>
      <c r="F63" s="118"/>
    </row>
    <row r="64" spans="1:7" ht="15.75">
      <c r="A64" s="119" t="s">
        <v>54</v>
      </c>
      <c r="B64" s="120"/>
      <c r="C64" s="121"/>
      <c r="D64" s="120"/>
      <c r="E64" s="122">
        <f>E16-E63</f>
        <v>-168102.09782226919</v>
      </c>
      <c r="F64" s="231"/>
    </row>
    <row r="65" spans="1:5" ht="13.5" thickBot="1">
      <c r="A65" s="123">
        <f ca="1">NOW()</f>
        <v>46205.416867939814</v>
      </c>
      <c r="B65" s="72"/>
      <c r="C65" s="63"/>
      <c r="D65" s="124" t="s">
        <v>55</v>
      </c>
      <c r="E65" s="65">
        <f>-(E63-E20-E16)/B20</f>
        <v>25149.107055073255</v>
      </c>
    </row>
    <row r="66" spans="1:5">
      <c r="A66" s="125"/>
      <c r="B66" s="35"/>
      <c r="D66" s="35"/>
      <c r="E66" s="35"/>
    </row>
    <row r="68" spans="1:5">
      <c r="A68" s="127"/>
    </row>
    <row r="153" spans="3:6">
      <c r="D153" s="126">
        <v>36500</v>
      </c>
      <c r="E153" s="126">
        <f>17000*0.9</f>
        <v>15300</v>
      </c>
      <c r="F153" s="231">
        <f>E153+D153</f>
        <v>51800</v>
      </c>
    </row>
    <row r="154" spans="3:6">
      <c r="D154" s="126">
        <v>-13300</v>
      </c>
      <c r="E154" s="126">
        <v>-13300</v>
      </c>
    </row>
    <row r="155" spans="3:6">
      <c r="D155" s="126">
        <v>-13300</v>
      </c>
    </row>
    <row r="157" spans="3:6">
      <c r="C157" s="8">
        <f>D157/D154</f>
        <v>-0.74436090225563911</v>
      </c>
      <c r="D157" s="126">
        <f>SUM(D153:D156)</f>
        <v>9900</v>
      </c>
      <c r="E157" s="126">
        <f>SUM(E153:E156)</f>
        <v>2000</v>
      </c>
      <c r="F157">
        <f>E157/E154</f>
        <v>-0.15037593984962405</v>
      </c>
    </row>
    <row r="165" spans="4:6">
      <c r="D165" s="234" t="s">
        <v>56</v>
      </c>
      <c r="E165" s="234" t="s">
        <v>57</v>
      </c>
      <c r="F165" s="235">
        <v>44438</v>
      </c>
    </row>
    <row r="166" spans="4:6">
      <c r="D166" s="234" t="s">
        <v>29</v>
      </c>
      <c r="E166" s="233"/>
      <c r="F166" s="235">
        <f>F165+18</f>
        <v>44456</v>
      </c>
    </row>
    <row r="167" spans="4:6">
      <c r="D167" s="234" t="s">
        <v>58</v>
      </c>
      <c r="E167" s="233">
        <v>44492</v>
      </c>
      <c r="F167" s="235">
        <f>F166+7+5+2</f>
        <v>44470</v>
      </c>
    </row>
    <row r="168" spans="4:6">
      <c r="D168" s="234" t="s">
        <v>59</v>
      </c>
    </row>
    <row r="169" spans="4:6">
      <c r="D169" s="234" t="s">
        <v>60</v>
      </c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6"/>
  <sheetViews>
    <sheetView topLeftCell="A31" workbookViewId="0">
      <selection activeCell="A31" sqref="A31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7" width="16.7109375" customWidth="1"/>
    <col min="8" max="8" width="11.5703125" customWidth="1"/>
    <col min="9" max="256" width="11.42578125" customWidth="1"/>
  </cols>
  <sheetData>
    <row r="1" spans="1:11" ht="27" customHeight="1" thickBot="1">
      <c r="A1" s="1" t="s">
        <v>0</v>
      </c>
      <c r="B1" s="280"/>
      <c r="C1" s="281"/>
      <c r="D1" s="281"/>
      <c r="E1" s="282"/>
    </row>
    <row r="2" spans="1:11" ht="15.75">
      <c r="A2" s="2" t="s">
        <v>1</v>
      </c>
      <c r="B2" s="3"/>
      <c r="C2" s="4"/>
      <c r="D2" s="3"/>
      <c r="E2" s="5"/>
    </row>
    <row r="3" spans="1:11">
      <c r="A3" s="6"/>
      <c r="B3" s="7">
        <v>60000</v>
      </c>
      <c r="D3" s="9">
        <v>45</v>
      </c>
      <c r="E3" s="10">
        <f>D3*B3</f>
        <v>2700000</v>
      </c>
      <c r="F3" s="129">
        <v>50</v>
      </c>
      <c r="G3" s="220">
        <f>E64</f>
        <v>52625.760010537691</v>
      </c>
      <c r="J3">
        <v>888</v>
      </c>
    </row>
    <row r="4" spans="1:11">
      <c r="A4" s="12" t="s">
        <v>2</v>
      </c>
      <c r="B4" s="13"/>
      <c r="C4" s="8" t="s">
        <v>3</v>
      </c>
      <c r="D4" s="14"/>
      <c r="E4" s="10">
        <f>E3*D4</f>
        <v>0</v>
      </c>
      <c r="F4" s="249">
        <f>F3-D3</f>
        <v>5</v>
      </c>
      <c r="J4">
        <v>2500</v>
      </c>
    </row>
    <row r="5" spans="1:11">
      <c r="A5" s="15"/>
      <c r="B5" s="7"/>
      <c r="D5" s="16"/>
      <c r="E5" s="10">
        <f>D5*B5</f>
        <v>0</v>
      </c>
      <c r="F5" s="11">
        <f>F4*B3</f>
        <v>300000</v>
      </c>
      <c r="J5">
        <f>J4-J3</f>
        <v>1612</v>
      </c>
    </row>
    <row r="6" spans="1:11">
      <c r="A6" s="12" t="s">
        <v>2</v>
      </c>
      <c r="B6" s="13"/>
      <c r="C6" s="8" t="s">
        <v>3</v>
      </c>
      <c r="D6" s="14"/>
      <c r="E6" s="10">
        <f>E5*D6</f>
        <v>0</v>
      </c>
      <c r="F6" s="11"/>
    </row>
    <row r="7" spans="1:11">
      <c r="A7" s="6"/>
      <c r="B7" s="7"/>
      <c r="D7" s="17"/>
      <c r="E7" s="10">
        <f>D7*B7</f>
        <v>0</v>
      </c>
      <c r="F7" s="11"/>
    </row>
    <row r="8" spans="1:11">
      <c r="A8" s="12" t="s">
        <v>2</v>
      </c>
      <c r="B8" s="13"/>
      <c r="C8" s="8" t="s">
        <v>3</v>
      </c>
      <c r="D8" s="14"/>
      <c r="E8" s="10">
        <f>E7*D8</f>
        <v>0</v>
      </c>
      <c r="F8" s="11"/>
    </row>
    <row r="9" spans="1:11">
      <c r="A9" s="15"/>
      <c r="B9" s="7"/>
      <c r="D9" s="17"/>
      <c r="E9" s="10">
        <f>D9*B9</f>
        <v>0</v>
      </c>
      <c r="F9" s="11"/>
    </row>
    <row r="10" spans="1:11">
      <c r="A10" s="12" t="s">
        <v>2</v>
      </c>
      <c r="B10" s="13"/>
      <c r="C10" s="8" t="s">
        <v>3</v>
      </c>
      <c r="D10" s="14"/>
      <c r="E10" s="10">
        <f>E9*D10</f>
        <v>0</v>
      </c>
      <c r="F10" s="11"/>
      <c r="H10">
        <v>36.5</v>
      </c>
      <c r="I10">
        <v>6000</v>
      </c>
      <c r="J10">
        <f>I10*H10</f>
        <v>219000</v>
      </c>
    </row>
    <row r="11" spans="1:11">
      <c r="A11" s="15"/>
      <c r="B11" s="7"/>
      <c r="D11" s="17"/>
      <c r="E11" s="10">
        <f>D11*B11</f>
        <v>0</v>
      </c>
      <c r="F11" s="11"/>
      <c r="H11">
        <f>H10-3</f>
        <v>33.5</v>
      </c>
      <c r="I11">
        <v>9000</v>
      </c>
      <c r="J11">
        <f>I11*H11</f>
        <v>301500</v>
      </c>
    </row>
    <row r="12" spans="1:11">
      <c r="A12" s="12" t="s">
        <v>2</v>
      </c>
      <c r="B12" s="13"/>
      <c r="C12" s="8" t="s">
        <v>3</v>
      </c>
      <c r="D12" s="14"/>
      <c r="E12" s="10">
        <f>E11*D12</f>
        <v>0</v>
      </c>
      <c r="F12" s="11"/>
      <c r="J12">
        <v>25000</v>
      </c>
    </row>
    <row r="13" spans="1:11">
      <c r="A13" s="21" t="s">
        <v>4</v>
      </c>
      <c r="B13" s="22"/>
      <c r="D13" s="23"/>
      <c r="E13" s="24">
        <f>E4+E6+E8+E10+E12</f>
        <v>0</v>
      </c>
      <c r="F13" s="11"/>
      <c r="H13">
        <f>J13/I13</f>
        <v>36.277777777777779</v>
      </c>
      <c r="I13">
        <f>I11+I12</f>
        <v>9000</v>
      </c>
      <c r="J13">
        <f>J11+J12</f>
        <v>326500</v>
      </c>
      <c r="K13" s="215"/>
    </row>
    <row r="14" spans="1:11">
      <c r="A14" s="21" t="s">
        <v>5</v>
      </c>
      <c r="B14" s="22"/>
      <c r="D14" s="23"/>
      <c r="E14" s="24">
        <f>E3+E5+E7+E9+E11</f>
        <v>2700000</v>
      </c>
      <c r="F14" s="11"/>
      <c r="I14" s="221"/>
      <c r="J14" s="208"/>
      <c r="K14" s="215"/>
    </row>
    <row r="15" spans="1:11">
      <c r="A15" s="25"/>
      <c r="B15" s="22"/>
      <c r="D15" s="23"/>
      <c r="E15" s="26"/>
      <c r="F15" s="11"/>
    </row>
    <row r="16" spans="1:11" ht="13.5" thickBot="1">
      <c r="A16" s="27" t="s">
        <v>6</v>
      </c>
      <c r="B16" s="28">
        <f>SUM(B3:B12)</f>
        <v>60000</v>
      </c>
      <c r="C16" s="29"/>
      <c r="D16" s="30"/>
      <c r="E16" s="31">
        <f>E14-E13+E15</f>
        <v>2700000</v>
      </c>
      <c r="F16" s="11"/>
    </row>
    <row r="17" spans="1:17">
      <c r="A17" s="32"/>
      <c r="B17" s="3"/>
      <c r="C17" s="4"/>
      <c r="D17" s="33"/>
      <c r="E17" s="5"/>
      <c r="Q17" s="208"/>
    </row>
    <row r="18" spans="1:17" ht="15.75">
      <c r="A18" s="34" t="s">
        <v>7</v>
      </c>
      <c r="B18" s="35"/>
      <c r="D18" s="36"/>
      <c r="E18" s="37"/>
      <c r="Q18" s="208"/>
    </row>
    <row r="19" spans="1:17">
      <c r="A19" s="38" t="s">
        <v>8</v>
      </c>
      <c r="B19" s="35"/>
      <c r="D19" s="36"/>
      <c r="E19" s="37"/>
    </row>
    <row r="20" spans="1:17">
      <c r="A20" s="38" t="s">
        <v>9</v>
      </c>
      <c r="B20" s="44">
        <f>C52+D52</f>
        <v>53.192307692307693</v>
      </c>
      <c r="C20" s="8" t="s">
        <v>3</v>
      </c>
      <c r="D20" s="130">
        <v>37000</v>
      </c>
      <c r="E20" s="37">
        <f>B20*D20</f>
        <v>1968115.3846153847</v>
      </c>
      <c r="F20" s="232"/>
      <c r="G20" s="231"/>
      <c r="L20" t="s">
        <v>71</v>
      </c>
      <c r="M20">
        <v>10000</v>
      </c>
    </row>
    <row r="21" spans="1:17">
      <c r="A21" s="38" t="s">
        <v>10</v>
      </c>
      <c r="B21" s="46"/>
      <c r="C21" s="47">
        <v>3.7499999999999999E-2</v>
      </c>
      <c r="D21" s="36">
        <f>D20*C21</f>
        <v>1387.5</v>
      </c>
      <c r="E21" s="48">
        <f>D21*B20</f>
        <v>73804.326923076922</v>
      </c>
      <c r="F21" s="11"/>
      <c r="G21" s="231"/>
      <c r="I21" s="132"/>
      <c r="K21" s="132"/>
      <c r="L21" t="s">
        <v>29</v>
      </c>
      <c r="M21" s="132">
        <v>25000</v>
      </c>
    </row>
    <row r="22" spans="1:17" ht="13.5" thickBot="1">
      <c r="A22" s="38"/>
      <c r="B22" s="46"/>
      <c r="C22" s="49" t="s">
        <v>11</v>
      </c>
      <c r="D22" s="40">
        <f>D20-D21</f>
        <v>35612.5</v>
      </c>
      <c r="E22" s="50">
        <f>E20-E21</f>
        <v>1894311.0576923077</v>
      </c>
      <c r="L22" t="s">
        <v>72</v>
      </c>
      <c r="M22">
        <v>15000</v>
      </c>
    </row>
    <row r="23" spans="1:17">
      <c r="A23" s="51" t="s">
        <v>12</v>
      </c>
      <c r="B23" s="52" t="s">
        <v>13</v>
      </c>
      <c r="C23" s="4" t="s">
        <v>14</v>
      </c>
      <c r="D23" s="53" t="s">
        <v>15</v>
      </c>
      <c r="E23" s="5"/>
      <c r="G23" s="250">
        <f>E22</f>
        <v>1894311.0576923077</v>
      </c>
      <c r="H23">
        <f>G23/G26</f>
        <v>0.71842620567685067</v>
      </c>
      <c r="M23">
        <f>SUM(M20:M22)</f>
        <v>50000</v>
      </c>
    </row>
    <row r="24" spans="1:17">
      <c r="A24" s="38" t="s">
        <v>16</v>
      </c>
      <c r="B24" s="54">
        <v>28</v>
      </c>
      <c r="C24" s="55">
        <v>2</v>
      </c>
      <c r="D24" s="56">
        <v>1</v>
      </c>
      <c r="E24" s="37"/>
      <c r="G24" s="249">
        <f>E29+E30</f>
        <v>592440</v>
      </c>
      <c r="H24" s="249">
        <f>G24/G26</f>
        <v>0.22468560248478867</v>
      </c>
    </row>
    <row r="25" spans="1:17">
      <c r="A25" s="38" t="s">
        <v>17</v>
      </c>
      <c r="B25" s="54">
        <v>1</v>
      </c>
      <c r="C25" s="55">
        <v>1</v>
      </c>
      <c r="D25" s="56">
        <v>1</v>
      </c>
      <c r="E25" s="37"/>
      <c r="G25" s="220">
        <f>E52</f>
        <v>150000</v>
      </c>
      <c r="H25" s="249">
        <f>G25/G26</f>
        <v>5.6888191838360511E-2</v>
      </c>
    </row>
    <row r="26" spans="1:17">
      <c r="A26" s="38" t="s">
        <v>18</v>
      </c>
      <c r="B26" s="54">
        <v>13</v>
      </c>
      <c r="C26" s="57"/>
      <c r="D26" s="58"/>
      <c r="E26" s="37"/>
      <c r="G26" s="250">
        <f>SUM(G23:G25)</f>
        <v>2636751.057692308</v>
      </c>
    </row>
    <row r="27" spans="1:17">
      <c r="A27" s="38"/>
      <c r="B27" s="35"/>
      <c r="D27" s="36"/>
      <c r="E27" s="37"/>
    </row>
    <row r="28" spans="1:17">
      <c r="A28" s="38" t="s">
        <v>19</v>
      </c>
      <c r="B28" s="35"/>
      <c r="D28" s="36"/>
      <c r="E28" s="37"/>
      <c r="G28" s="208"/>
    </row>
    <row r="29" spans="1:17">
      <c r="A29" s="12" t="s">
        <v>20</v>
      </c>
      <c r="B29" s="59">
        <f>(B24*C52) + (C24*D52)</f>
        <v>982.38461538461547</v>
      </c>
      <c r="C29" s="8" t="s">
        <v>3</v>
      </c>
      <c r="D29" s="130">
        <v>550</v>
      </c>
      <c r="E29" s="60">
        <f>B29*D29</f>
        <v>540311.5384615385</v>
      </c>
      <c r="G29" s="208"/>
    </row>
    <row r="30" spans="1:17" ht="13.5" thickBot="1">
      <c r="A30" s="61" t="s">
        <v>21</v>
      </c>
      <c r="B30" s="62">
        <f>(B25*C52)+(C25*D52)</f>
        <v>53.192307692307693</v>
      </c>
      <c r="C30" s="63" t="s">
        <v>3</v>
      </c>
      <c r="D30" s="131">
        <v>980</v>
      </c>
      <c r="E30" s="65">
        <f>B30*D30</f>
        <v>52128.461538461539</v>
      </c>
      <c r="F30" s="11"/>
      <c r="I30" s="132"/>
    </row>
    <row r="31" spans="1:17">
      <c r="A31" s="32"/>
      <c r="B31" s="3"/>
      <c r="C31" s="4"/>
      <c r="D31" s="33"/>
      <c r="E31" s="5"/>
      <c r="F31" s="66"/>
    </row>
    <row r="32" spans="1:17">
      <c r="A32" s="38" t="s">
        <v>22</v>
      </c>
      <c r="B32" s="35"/>
      <c r="D32" s="36"/>
      <c r="E32" s="67">
        <v>1000</v>
      </c>
      <c r="F32" s="66"/>
      <c r="G32" s="68"/>
    </row>
    <row r="33" spans="1:10">
      <c r="A33" s="38"/>
      <c r="B33" s="35"/>
      <c r="D33" s="36"/>
      <c r="E33" s="37"/>
      <c r="F33" s="11"/>
      <c r="J33" s="207"/>
    </row>
    <row r="34" spans="1:10">
      <c r="A34" s="69" t="s">
        <v>23</v>
      </c>
      <c r="B34" s="35"/>
      <c r="D34" s="18">
        <v>1500</v>
      </c>
      <c r="E34" s="70">
        <f>((D34*12)/365)*B20</f>
        <v>2623.1822971549</v>
      </c>
      <c r="F34" s="11"/>
    </row>
    <row r="35" spans="1:10" ht="13.5" thickBot="1">
      <c r="A35" s="71"/>
      <c r="B35" s="72"/>
      <c r="C35" s="63"/>
      <c r="D35" s="73"/>
      <c r="E35" s="74"/>
    </row>
    <row r="36" spans="1:10">
      <c r="A36" s="75" t="s">
        <v>24</v>
      </c>
      <c r="B36" s="76" t="s">
        <v>25</v>
      </c>
      <c r="C36" s="77" t="s">
        <v>26</v>
      </c>
      <c r="D36" s="78" t="s">
        <v>27</v>
      </c>
      <c r="E36" s="5"/>
      <c r="I36">
        <v>22000000</v>
      </c>
    </row>
    <row r="37" spans="1:10">
      <c r="A37" s="82"/>
      <c r="B37" s="87"/>
      <c r="C37" s="88"/>
      <c r="D37" s="89"/>
      <c r="E37" s="90"/>
      <c r="F37" s="91"/>
      <c r="G37" s="91" t="s">
        <v>28</v>
      </c>
      <c r="I37" s="216">
        <v>2E-3</v>
      </c>
    </row>
    <row r="38" spans="1:10">
      <c r="A38" s="92"/>
      <c r="B38" s="93"/>
      <c r="C38" s="94">
        <f>B38/B26/24</f>
        <v>0</v>
      </c>
      <c r="D38" s="95"/>
      <c r="E38" s="96"/>
      <c r="F38" s="91"/>
      <c r="G38" s="97"/>
      <c r="I38">
        <f>I37*I36</f>
        <v>44000</v>
      </c>
    </row>
    <row r="39" spans="1:10">
      <c r="A39" s="92"/>
      <c r="B39" s="93"/>
      <c r="C39" s="94">
        <f>B39/B26/24</f>
        <v>0</v>
      </c>
      <c r="D39" s="98"/>
      <c r="E39" s="99"/>
      <c r="F39" s="91">
        <f t="shared" ref="F39:F49" si="0">G38+C38</f>
        <v>0</v>
      </c>
      <c r="G39" s="91">
        <f t="shared" ref="G39:G49" si="1">F39+D39</f>
        <v>0</v>
      </c>
    </row>
    <row r="40" spans="1:10">
      <c r="A40" s="92" t="s">
        <v>29</v>
      </c>
      <c r="B40" s="93"/>
      <c r="C40" s="94">
        <f>B40/B26/24</f>
        <v>0</v>
      </c>
      <c r="D40" s="98"/>
      <c r="E40" s="99"/>
      <c r="F40" s="91">
        <f t="shared" si="0"/>
        <v>0</v>
      </c>
      <c r="G40" s="91">
        <f t="shared" si="1"/>
        <v>0</v>
      </c>
    </row>
    <row r="41" spans="1:10">
      <c r="A41" s="92" t="s">
        <v>30</v>
      </c>
      <c r="B41" s="93">
        <v>5100</v>
      </c>
      <c r="C41" s="94">
        <f>B41/B26/24</f>
        <v>16.346153846153847</v>
      </c>
      <c r="D41" s="98">
        <f>B3/8000+1+2</f>
        <v>10.5</v>
      </c>
      <c r="E41" s="99">
        <v>100000</v>
      </c>
      <c r="F41" s="91">
        <f t="shared" si="0"/>
        <v>0</v>
      </c>
      <c r="G41" s="91">
        <f t="shared" si="1"/>
        <v>10.5</v>
      </c>
      <c r="I41" t="s">
        <v>31</v>
      </c>
      <c r="J41" s="208">
        <v>63503</v>
      </c>
    </row>
    <row r="42" spans="1:10">
      <c r="A42" s="92" t="s">
        <v>29</v>
      </c>
      <c r="B42" s="93">
        <v>5100</v>
      </c>
      <c r="C42" s="94">
        <f>B42/B26/24</f>
        <v>16.346153846153847</v>
      </c>
      <c r="D42" s="98">
        <f>B3/7500+1</f>
        <v>9</v>
      </c>
      <c r="E42" s="99">
        <v>50000</v>
      </c>
      <c r="F42" s="91">
        <f t="shared" si="0"/>
        <v>26.846153846153847</v>
      </c>
      <c r="G42" s="91">
        <f t="shared" si="1"/>
        <v>35.846153846153847</v>
      </c>
      <c r="I42" t="s">
        <v>33</v>
      </c>
      <c r="J42" s="208">
        <v>68547</v>
      </c>
    </row>
    <row r="43" spans="1:10">
      <c r="A43" s="92"/>
      <c r="B43" s="93"/>
      <c r="C43" s="94">
        <f>B43/B26/24</f>
        <v>0</v>
      </c>
      <c r="D43" s="98"/>
      <c r="E43" s="99"/>
      <c r="F43" s="91">
        <f t="shared" si="0"/>
        <v>52.192307692307693</v>
      </c>
      <c r="G43" s="91">
        <f t="shared" si="1"/>
        <v>52.192307692307693</v>
      </c>
      <c r="I43" t="s">
        <v>35</v>
      </c>
      <c r="J43" s="208">
        <v>69823</v>
      </c>
    </row>
    <row r="44" spans="1:10">
      <c r="A44" s="92"/>
      <c r="B44" s="93"/>
      <c r="C44" s="94">
        <f>B44/B26/24</f>
        <v>0</v>
      </c>
      <c r="D44" s="98"/>
      <c r="E44" s="99"/>
      <c r="F44" s="91">
        <f t="shared" si="0"/>
        <v>52.192307692307693</v>
      </c>
      <c r="G44" s="91">
        <f t="shared" si="1"/>
        <v>52.192307692307693</v>
      </c>
      <c r="I44" t="s">
        <v>37</v>
      </c>
      <c r="J44" s="208">
        <v>78783</v>
      </c>
    </row>
    <row r="45" spans="1:10">
      <c r="A45" s="92"/>
      <c r="B45" s="93"/>
      <c r="C45" s="94">
        <f>B45/B26/24</f>
        <v>0</v>
      </c>
      <c r="D45" s="98"/>
      <c r="E45" s="99"/>
      <c r="F45" s="91">
        <f t="shared" si="0"/>
        <v>52.192307692307693</v>
      </c>
      <c r="G45" s="91">
        <f t="shared" si="1"/>
        <v>52.192307692307693</v>
      </c>
      <c r="I45" t="s">
        <v>38</v>
      </c>
      <c r="J45" s="208">
        <v>86923</v>
      </c>
    </row>
    <row r="46" spans="1:10">
      <c r="A46" s="92"/>
      <c r="B46" s="93"/>
      <c r="C46" s="94">
        <f>B46/B26/24</f>
        <v>0</v>
      </c>
      <c r="D46" s="98"/>
      <c r="E46" s="99"/>
      <c r="F46" s="91">
        <f t="shared" si="0"/>
        <v>52.192307692307693</v>
      </c>
      <c r="G46" s="91">
        <f t="shared" si="1"/>
        <v>52.192307692307693</v>
      </c>
      <c r="I46" t="s">
        <v>39</v>
      </c>
      <c r="J46" s="208">
        <v>94655</v>
      </c>
    </row>
    <row r="47" spans="1:10">
      <c r="A47" s="92"/>
      <c r="B47" s="93"/>
      <c r="C47" s="94">
        <f>B47/B26/24</f>
        <v>0</v>
      </c>
      <c r="D47" s="98"/>
      <c r="E47" s="99"/>
      <c r="F47" s="91">
        <f t="shared" si="0"/>
        <v>52.192307692307693</v>
      </c>
      <c r="G47" s="91">
        <f t="shared" si="1"/>
        <v>52.192307692307693</v>
      </c>
    </row>
    <row r="48" spans="1:10">
      <c r="A48" s="92"/>
      <c r="B48" s="93"/>
      <c r="C48" s="94">
        <f>B48/B26/24</f>
        <v>0</v>
      </c>
      <c r="D48" s="98"/>
      <c r="E48" s="99"/>
      <c r="F48" s="91">
        <f t="shared" si="0"/>
        <v>52.192307692307693</v>
      </c>
      <c r="G48" s="91">
        <f t="shared" si="1"/>
        <v>52.192307692307693</v>
      </c>
    </row>
    <row r="49" spans="1:7">
      <c r="A49" s="92"/>
      <c r="B49" s="100"/>
      <c r="C49" s="94">
        <f>B49/B26/24</f>
        <v>0</v>
      </c>
      <c r="D49" s="98"/>
      <c r="E49" s="101"/>
      <c r="F49" s="91">
        <f t="shared" si="0"/>
        <v>52.192307692307693</v>
      </c>
      <c r="G49" s="91">
        <f t="shared" si="1"/>
        <v>52.192307692307693</v>
      </c>
    </row>
    <row r="50" spans="1:7">
      <c r="A50" s="12" t="s">
        <v>40</v>
      </c>
      <c r="B50" s="102">
        <f>SUM(B37:B49)</f>
        <v>10200</v>
      </c>
      <c r="D50" s="35"/>
      <c r="E50" s="37"/>
    </row>
    <row r="51" spans="1:7">
      <c r="A51" s="12" t="s">
        <v>41</v>
      </c>
      <c r="B51" s="103"/>
      <c r="C51" s="104">
        <v>1</v>
      </c>
      <c r="D51" s="105"/>
      <c r="E51" s="37"/>
    </row>
    <row r="52" spans="1:7" ht="13.5" thickBot="1">
      <c r="A52" s="106" t="s">
        <v>42</v>
      </c>
      <c r="B52" s="107"/>
      <c r="C52" s="108">
        <f>SUM(C38:C51)</f>
        <v>33.692307692307693</v>
      </c>
      <c r="D52" s="108">
        <f>SUM(D39:D51)</f>
        <v>19.5</v>
      </c>
      <c r="E52" s="109">
        <f>SUM(E37:E49)</f>
        <v>150000</v>
      </c>
    </row>
    <row r="53" spans="1:7">
      <c r="A53" s="110" t="s">
        <v>43</v>
      </c>
      <c r="B53" s="3"/>
      <c r="C53" s="4"/>
      <c r="D53" s="33"/>
      <c r="E53" s="111">
        <v>1500</v>
      </c>
      <c r="F53" s="11"/>
    </row>
    <row r="54" spans="1:7">
      <c r="A54" s="112" t="s">
        <v>44</v>
      </c>
      <c r="B54" s="35"/>
      <c r="D54" s="113"/>
      <c r="E54" s="67"/>
      <c r="F54" s="11"/>
    </row>
    <row r="55" spans="1:7">
      <c r="A55" s="112" t="s">
        <v>45</v>
      </c>
      <c r="B55" s="35"/>
      <c r="D55" s="36"/>
      <c r="E55" s="67"/>
      <c r="F55" s="11"/>
    </row>
    <row r="56" spans="1:7">
      <c r="A56" s="112" t="s">
        <v>46</v>
      </c>
      <c r="B56" s="35"/>
      <c r="D56" s="36"/>
      <c r="E56" s="67"/>
      <c r="F56" s="11"/>
    </row>
    <row r="57" spans="1:7">
      <c r="A57" s="112" t="s">
        <v>47</v>
      </c>
      <c r="B57" s="35"/>
      <c r="D57" s="36"/>
      <c r="E57" s="67"/>
      <c r="F57" s="11"/>
    </row>
    <row r="58" spans="1:7">
      <c r="A58" s="112" t="s">
        <v>48</v>
      </c>
      <c r="B58" s="35"/>
      <c r="D58" s="36"/>
      <c r="E58" s="67"/>
      <c r="F58" s="11"/>
    </row>
    <row r="59" spans="1:7">
      <c r="A59" s="112" t="s">
        <v>49</v>
      </c>
      <c r="B59" s="35"/>
      <c r="D59" s="36"/>
      <c r="E59" s="67"/>
      <c r="F59" s="11"/>
    </row>
    <row r="60" spans="1:7">
      <c r="A60" s="112" t="s">
        <v>50</v>
      </c>
      <c r="B60" s="35"/>
      <c r="D60" s="36"/>
      <c r="E60" s="67">
        <v>5000</v>
      </c>
      <c r="F60" s="11"/>
    </row>
    <row r="61" spans="1:7">
      <c r="A61" s="38" t="s">
        <v>51</v>
      </c>
      <c r="B61" s="35"/>
      <c r="D61" s="35"/>
      <c r="E61" s="67">
        <v>500</v>
      </c>
      <c r="F61" s="11"/>
    </row>
    <row r="62" spans="1:7">
      <c r="A62" s="38" t="s">
        <v>52</v>
      </c>
      <c r="B62" s="35"/>
      <c r="D62" s="114"/>
      <c r="E62" s="67"/>
      <c r="F62" s="11"/>
    </row>
    <row r="63" spans="1:7" ht="13.5" thickBot="1">
      <c r="A63" s="27" t="s">
        <v>53</v>
      </c>
      <c r="B63" s="115"/>
      <c r="C63" s="116"/>
      <c r="D63" s="115"/>
      <c r="E63" s="117">
        <f>E22+E29+E30+E32+E34+E52+E53+E54+E55+E61+E62+E56+E57+E59+E60+E58</f>
        <v>2647374.2399894623</v>
      </c>
      <c r="F63" s="118"/>
    </row>
    <row r="64" spans="1:7" ht="15.75">
      <c r="A64" s="119" t="s">
        <v>54</v>
      </c>
      <c r="B64" s="120"/>
      <c r="C64" s="121"/>
      <c r="D64" s="120"/>
      <c r="E64" s="122">
        <f>E16-E63</f>
        <v>52625.760010537691</v>
      </c>
      <c r="F64" s="231"/>
    </row>
    <row r="65" spans="1:5" ht="13.5" thickBot="1">
      <c r="A65" s="123">
        <f ca="1">NOW()</f>
        <v>46205.416867939814</v>
      </c>
      <c r="B65" s="72"/>
      <c r="C65" s="63"/>
      <c r="D65" s="124" t="s">
        <v>55</v>
      </c>
      <c r="E65" s="65">
        <f>-(E63-E20-E16)/B20</f>
        <v>37989.349067443225</v>
      </c>
    </row>
    <row r="66" spans="1:5">
      <c r="A66" s="125"/>
      <c r="B66" s="35"/>
      <c r="D66" s="35"/>
      <c r="E66" s="35"/>
    </row>
    <row r="68" spans="1:5">
      <c r="A68" s="127"/>
    </row>
    <row r="130" spans="6:21" ht="13.15" customHeight="1">
      <c r="K130" s="268" t="s">
        <v>77</v>
      </c>
      <c r="L130" s="268" t="s">
        <v>78</v>
      </c>
      <c r="M130" s="269" t="s">
        <v>79</v>
      </c>
      <c r="N130" s="269"/>
      <c r="O130" s="269"/>
      <c r="P130" s="269"/>
    </row>
    <row r="131" spans="6:21">
      <c r="K131" s="268"/>
      <c r="L131" s="268"/>
      <c r="M131" s="270" t="s">
        <v>29</v>
      </c>
      <c r="N131" s="270"/>
      <c r="O131" s="271" t="s">
        <v>32</v>
      </c>
      <c r="P131" s="272" t="s">
        <v>72</v>
      </c>
    </row>
    <row r="132" spans="6:21" ht="13.5">
      <c r="K132" s="267">
        <v>1</v>
      </c>
      <c r="L132" s="266" t="s">
        <v>68</v>
      </c>
      <c r="N132" s="263">
        <v>4700</v>
      </c>
      <c r="O132" s="265">
        <v>7308.9</v>
      </c>
      <c r="P132" s="273"/>
      <c r="S132">
        <v>37000</v>
      </c>
      <c r="T132">
        <v>39700</v>
      </c>
      <c r="U132">
        <f>T132-S132</f>
        <v>2700</v>
      </c>
    </row>
    <row r="133" spans="6:21" ht="13.5">
      <c r="K133" s="267">
        <v>2</v>
      </c>
      <c r="L133" s="262" t="s">
        <v>80</v>
      </c>
      <c r="M133" s="263">
        <v>12430</v>
      </c>
      <c r="N133" s="264"/>
      <c r="O133" s="265"/>
      <c r="P133" s="273"/>
    </row>
    <row r="134" spans="6:21" ht="13.5">
      <c r="K134" s="261">
        <v>3</v>
      </c>
      <c r="L134" s="266" t="s">
        <v>68</v>
      </c>
      <c r="M134" s="263"/>
      <c r="N134" s="264"/>
      <c r="O134" s="265"/>
      <c r="P134" s="273">
        <v>14069.4</v>
      </c>
    </row>
    <row r="135" spans="6:21" ht="13.5">
      <c r="K135" s="261">
        <v>4</v>
      </c>
      <c r="L135" s="262" t="s">
        <v>80</v>
      </c>
      <c r="M135" s="263">
        <v>2870</v>
      </c>
      <c r="N135" s="264"/>
      <c r="O135" s="265"/>
      <c r="P135" s="274"/>
    </row>
    <row r="136" spans="6:21" ht="14.25" thickBot="1">
      <c r="K136" s="257">
        <v>5</v>
      </c>
      <c r="L136" s="258" t="s">
        <v>68</v>
      </c>
      <c r="N136" s="259">
        <v>10000</v>
      </c>
      <c r="O136" s="260">
        <v>2691.1</v>
      </c>
      <c r="P136" s="275">
        <v>930.6</v>
      </c>
    </row>
    <row r="137" spans="6:21" ht="14.25" thickTop="1">
      <c r="K137" s="253" t="s">
        <v>81</v>
      </c>
      <c r="L137" s="254"/>
      <c r="M137" s="255">
        <f>SUM(M132:M136)</f>
        <v>15300</v>
      </c>
      <c r="N137" s="255">
        <f>SUM(N132:N136)</f>
        <v>14700</v>
      </c>
      <c r="O137" s="256">
        <f>SUM(O132:O136)</f>
        <v>10000</v>
      </c>
      <c r="P137" s="252">
        <f>SUM(P132:P136)</f>
        <v>15000</v>
      </c>
      <c r="Q137" s="276">
        <f>P137+O137+N137</f>
        <v>39700</v>
      </c>
    </row>
    <row r="138" spans="6:21">
      <c r="O138" s="125"/>
      <c r="P138" s="125"/>
      <c r="Q138" s="125"/>
    </row>
    <row r="139" spans="6:21">
      <c r="O139" s="125"/>
      <c r="P139" s="125"/>
      <c r="Q139" s="125"/>
    </row>
    <row r="140" spans="6:21">
      <c r="F140" s="231"/>
      <c r="O140" s="125"/>
      <c r="P140" s="125"/>
      <c r="Q140" s="125"/>
      <c r="R140" s="125"/>
      <c r="S140" s="125"/>
      <c r="T140" s="125"/>
      <c r="U140" s="125"/>
    </row>
    <row r="141" spans="6:21">
      <c r="O141" s="125"/>
      <c r="P141" s="125"/>
      <c r="Q141" s="125"/>
      <c r="R141" s="125"/>
      <c r="S141" s="125"/>
      <c r="T141" s="125"/>
      <c r="U141" s="125"/>
    </row>
    <row r="142" spans="6:21">
      <c r="O142" s="125"/>
      <c r="P142" s="125"/>
      <c r="Q142" s="125"/>
      <c r="R142" s="125"/>
      <c r="S142" s="125"/>
      <c r="T142" s="125"/>
      <c r="U142" s="125"/>
    </row>
    <row r="143" spans="6:21">
      <c r="O143" s="125"/>
      <c r="P143" s="125"/>
      <c r="Q143" s="125"/>
      <c r="R143" s="125"/>
      <c r="S143" s="125"/>
      <c r="T143" s="125"/>
      <c r="U143" s="125"/>
    </row>
    <row r="144" spans="6:21">
      <c r="O144" s="125"/>
      <c r="P144" s="125"/>
      <c r="Q144" s="125"/>
      <c r="R144" s="125"/>
      <c r="S144" s="125"/>
      <c r="T144" s="125"/>
      <c r="U144" s="125"/>
    </row>
    <row r="145" spans="4:21">
      <c r="O145" s="125"/>
      <c r="P145" s="125"/>
      <c r="Q145" s="125"/>
      <c r="R145" s="125"/>
      <c r="S145" s="125"/>
      <c r="T145" s="125"/>
      <c r="U145" s="125"/>
    </row>
    <row r="146" spans="4:21">
      <c r="O146" s="125"/>
      <c r="P146" s="125"/>
      <c r="Q146" s="125"/>
      <c r="R146" s="125"/>
      <c r="S146" s="125"/>
      <c r="T146" s="125"/>
      <c r="U146" s="125"/>
    </row>
    <row r="147" spans="4:21">
      <c r="O147" s="125"/>
      <c r="P147" s="125"/>
      <c r="Q147" s="125"/>
      <c r="R147" s="125"/>
      <c r="S147" s="125"/>
      <c r="T147" s="125"/>
      <c r="U147" s="125"/>
    </row>
    <row r="148" spans="4:21">
      <c r="O148" s="125"/>
      <c r="P148" s="125"/>
      <c r="Q148" s="125"/>
      <c r="R148" s="125"/>
      <c r="S148" s="125"/>
      <c r="T148" s="125"/>
      <c r="U148" s="125"/>
    </row>
    <row r="149" spans="4:21">
      <c r="O149" s="125"/>
      <c r="P149" s="125"/>
      <c r="Q149" s="125"/>
      <c r="R149" s="125"/>
      <c r="S149" s="125"/>
      <c r="T149" s="125"/>
      <c r="U149" s="125"/>
    </row>
    <row r="150" spans="4:21">
      <c r="O150" s="125"/>
      <c r="P150" s="125"/>
      <c r="Q150" s="125"/>
      <c r="R150" s="125"/>
      <c r="S150" s="125"/>
      <c r="T150" s="125"/>
      <c r="U150" s="125"/>
    </row>
    <row r="151" spans="4:21">
      <c r="O151" s="125"/>
      <c r="P151" s="125"/>
      <c r="Q151" s="125"/>
      <c r="R151" s="125"/>
      <c r="S151" s="125"/>
      <c r="T151" s="125"/>
      <c r="U151" s="125"/>
    </row>
    <row r="152" spans="4:21">
      <c r="D152" s="234"/>
      <c r="E152" s="234"/>
      <c r="F152" s="235"/>
      <c r="N152" s="251"/>
      <c r="O152" s="125"/>
      <c r="P152" s="125"/>
      <c r="Q152" s="125"/>
      <c r="R152" s="125"/>
      <c r="S152" s="125"/>
      <c r="T152" s="125"/>
      <c r="U152" s="125"/>
    </row>
    <row r="153" spans="4:21">
      <c r="D153" s="234"/>
      <c r="E153" s="233"/>
      <c r="F153" s="235"/>
    </row>
    <row r="154" spans="4:21">
      <c r="D154" s="234"/>
      <c r="E154" s="233"/>
      <c r="F154" s="235"/>
    </row>
    <row r="155" spans="4:21">
      <c r="D155" s="234"/>
    </row>
    <row r="156" spans="4:21">
      <c r="D156" s="234"/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9"/>
  <sheetViews>
    <sheetView topLeftCell="C17" zoomScale="130" zoomScaleNormal="85" workbookViewId="0">
      <selection activeCell="P26" sqref="P26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customWidth="1"/>
    <col min="5" max="5" width="15.28515625" style="126" customWidth="1"/>
    <col min="6" max="6" width="5.7109375" customWidth="1"/>
    <col min="7" max="7" width="16.7109375" customWidth="1"/>
    <col min="8" max="9" width="9.28515625" customWidth="1"/>
    <col min="10" max="10" width="17.85546875" bestFit="1" customWidth="1"/>
    <col min="11" max="12" width="9.28515625" customWidth="1"/>
    <col min="13" max="13" width="12.85546875" bestFit="1" customWidth="1"/>
    <col min="14" max="15" width="11.42578125" customWidth="1"/>
    <col min="16" max="16" width="6.7109375" customWidth="1"/>
    <col min="17" max="17" width="12.7109375" customWidth="1"/>
    <col min="18" max="256" width="11.42578125" customWidth="1"/>
  </cols>
  <sheetData>
    <row r="1" spans="1:13" ht="27" customHeight="1" thickBot="1">
      <c r="A1" s="1" t="s">
        <v>0</v>
      </c>
      <c r="B1" s="280"/>
      <c r="C1" s="281"/>
      <c r="D1" s="281"/>
      <c r="E1" s="282"/>
    </row>
    <row r="2" spans="1:13" ht="15.75">
      <c r="A2" s="34" t="s">
        <v>7</v>
      </c>
      <c r="B2" s="35"/>
      <c r="D2" s="36"/>
      <c r="E2" s="37"/>
      <c r="I2" s="205"/>
    </row>
    <row r="3" spans="1:13">
      <c r="A3" s="38" t="s">
        <v>8</v>
      </c>
      <c r="B3" s="35"/>
      <c r="D3" s="36"/>
      <c r="E3" s="37"/>
      <c r="G3">
        <f>6000/150</f>
        <v>40</v>
      </c>
      <c r="I3" s="206"/>
      <c r="K3" s="206"/>
    </row>
    <row r="4" spans="1:13">
      <c r="A4" s="38" t="s">
        <v>9</v>
      </c>
      <c r="B4" s="44">
        <f>C36+D36</f>
        <v>27.76923076923077</v>
      </c>
      <c r="C4" s="8" t="s">
        <v>3</v>
      </c>
      <c r="D4" s="45">
        <v>19250</v>
      </c>
      <c r="E4" s="37">
        <f>B4*D4</f>
        <v>534557.69230769237</v>
      </c>
      <c r="F4" s="11"/>
      <c r="G4">
        <f>9000/150</f>
        <v>60</v>
      </c>
      <c r="I4" s="206"/>
    </row>
    <row r="5" spans="1:13">
      <c r="A5" s="38" t="s">
        <v>10</v>
      </c>
      <c r="B5" s="46"/>
      <c r="C5" s="47">
        <v>3.7499999999999999E-2</v>
      </c>
      <c r="D5" s="36">
        <f>D4*C5</f>
        <v>721.875</v>
      </c>
      <c r="E5" s="48">
        <f>D5*B4</f>
        <v>20045.913461538461</v>
      </c>
      <c r="F5" s="11"/>
      <c r="I5" s="206"/>
    </row>
    <row r="6" spans="1:13" ht="13.5" thickBot="1">
      <c r="A6" s="38"/>
      <c r="B6" s="46"/>
      <c r="C6" s="49" t="s">
        <v>11</v>
      </c>
      <c r="D6" s="40">
        <f>D4-D5</f>
        <v>18528.125</v>
      </c>
      <c r="E6" s="50">
        <f>E4-E5</f>
        <v>514511.77884615393</v>
      </c>
      <c r="G6" s="207"/>
      <c r="I6" s="206"/>
    </row>
    <row r="7" spans="1:13">
      <c r="A7" s="51" t="s">
        <v>12</v>
      </c>
      <c r="B7" s="52" t="s">
        <v>13</v>
      </c>
      <c r="C7" s="4" t="s">
        <v>14</v>
      </c>
      <c r="D7" s="53" t="s">
        <v>15</v>
      </c>
      <c r="E7" s="5"/>
      <c r="I7" s="206"/>
    </row>
    <row r="8" spans="1:13">
      <c r="A8" s="38" t="s">
        <v>16</v>
      </c>
      <c r="B8" s="54">
        <v>18</v>
      </c>
      <c r="C8" s="55">
        <v>6</v>
      </c>
      <c r="D8" s="56">
        <v>2.5</v>
      </c>
      <c r="E8" s="37"/>
      <c r="F8" s="11"/>
      <c r="G8" s="227" t="s">
        <v>82</v>
      </c>
      <c r="H8" s="227" t="s">
        <v>72</v>
      </c>
      <c r="I8" s="230" t="s">
        <v>83</v>
      </c>
      <c r="J8" s="229" t="s">
        <v>29</v>
      </c>
      <c r="K8" s="227" t="s">
        <v>71</v>
      </c>
      <c r="L8" s="227" t="s">
        <v>75</v>
      </c>
      <c r="M8" s="227" t="s">
        <v>84</v>
      </c>
    </row>
    <row r="9" spans="1:13">
      <c r="A9" s="38" t="s">
        <v>17</v>
      </c>
      <c r="B9" s="54">
        <v>0.2</v>
      </c>
      <c r="C9" s="55">
        <v>0.5</v>
      </c>
      <c r="D9" s="56">
        <v>0.5</v>
      </c>
      <c r="E9" s="37"/>
      <c r="F9" s="11"/>
      <c r="G9" s="228" t="s">
        <v>85</v>
      </c>
      <c r="H9" s="225">
        <v>141</v>
      </c>
      <c r="I9" s="206">
        <v>478</v>
      </c>
      <c r="J9" s="226">
        <v>580</v>
      </c>
      <c r="K9" s="225">
        <v>825</v>
      </c>
      <c r="L9" s="225">
        <v>1262</v>
      </c>
      <c r="M9" s="11">
        <v>1698</v>
      </c>
    </row>
    <row r="10" spans="1:13">
      <c r="A10" s="38" t="s">
        <v>18</v>
      </c>
      <c r="B10" s="54">
        <v>13</v>
      </c>
      <c r="C10" s="57"/>
      <c r="D10" s="58"/>
      <c r="E10" s="37"/>
      <c r="G10" s="229" t="s">
        <v>72</v>
      </c>
      <c r="H10" s="208">
        <v>0</v>
      </c>
      <c r="I10" s="223">
        <v>351</v>
      </c>
      <c r="J10" s="208">
        <v>442</v>
      </c>
      <c r="K10" s="208">
        <v>692</v>
      </c>
      <c r="L10" s="208">
        <v>1146</v>
      </c>
      <c r="M10" s="208">
        <v>1561</v>
      </c>
    </row>
    <row r="11" spans="1:13">
      <c r="A11" s="38" t="s">
        <v>19</v>
      </c>
      <c r="B11" s="35"/>
      <c r="D11" s="36"/>
      <c r="E11" s="37"/>
      <c r="G11" s="229" t="s">
        <v>83</v>
      </c>
      <c r="H11" s="208">
        <v>351</v>
      </c>
      <c r="I11" s="223">
        <v>0</v>
      </c>
      <c r="J11" s="208">
        <v>125</v>
      </c>
      <c r="K11" s="208">
        <v>372</v>
      </c>
      <c r="L11" s="208">
        <v>818</v>
      </c>
      <c r="M11" s="208">
        <v>1236</v>
      </c>
    </row>
    <row r="12" spans="1:13">
      <c r="A12" s="12" t="s">
        <v>20</v>
      </c>
      <c r="B12" s="59">
        <f>(B8*C36) + (C8*D36)</f>
        <v>311.84615384615381</v>
      </c>
      <c r="C12" s="8" t="s">
        <v>3</v>
      </c>
      <c r="D12" s="45">
        <v>560</v>
      </c>
      <c r="E12" s="60">
        <f>B12*D12</f>
        <v>174633.84615384613</v>
      </c>
      <c r="F12" s="11"/>
      <c r="G12" s="229" t="s">
        <v>29</v>
      </c>
      <c r="H12" s="208">
        <v>442</v>
      </c>
      <c r="I12" s="223">
        <v>125</v>
      </c>
      <c r="J12" s="208">
        <v>0</v>
      </c>
      <c r="K12" s="208">
        <v>265</v>
      </c>
      <c r="L12" s="208">
        <v>706</v>
      </c>
      <c r="M12" s="208">
        <v>1124</v>
      </c>
    </row>
    <row r="13" spans="1:13" ht="13.5" thickBot="1">
      <c r="A13" s="61" t="s">
        <v>21</v>
      </c>
      <c r="B13" s="62">
        <f>(B9*C36)+(C9*D36)</f>
        <v>10.253846153846155</v>
      </c>
      <c r="C13" s="63" t="s">
        <v>3</v>
      </c>
      <c r="D13" s="64">
        <v>750</v>
      </c>
      <c r="E13" s="65">
        <f>B13*D13</f>
        <v>7690.3846153846162</v>
      </c>
      <c r="F13" s="11"/>
      <c r="G13" s="229" t="s">
        <v>71</v>
      </c>
      <c r="H13" s="208">
        <v>692</v>
      </c>
      <c r="I13" s="208">
        <v>372</v>
      </c>
      <c r="J13" s="208">
        <v>265</v>
      </c>
      <c r="K13" s="208">
        <v>0</v>
      </c>
      <c r="L13" s="277">
        <v>468</v>
      </c>
      <c r="M13" s="208">
        <v>886</v>
      </c>
    </row>
    <row r="14" spans="1:13">
      <c r="A14" s="32"/>
      <c r="B14" s="3"/>
      <c r="C14" s="4"/>
      <c r="D14" s="33"/>
      <c r="E14" s="5"/>
      <c r="F14" s="66"/>
      <c r="G14" s="229" t="s">
        <v>75</v>
      </c>
      <c r="H14" s="208">
        <v>1146</v>
      </c>
      <c r="I14" s="223">
        <v>818</v>
      </c>
      <c r="J14" s="208">
        <v>705</v>
      </c>
      <c r="K14" s="208">
        <v>468</v>
      </c>
      <c r="L14" s="208">
        <v>0</v>
      </c>
      <c r="M14" s="208">
        <v>621</v>
      </c>
    </row>
    <row r="15" spans="1:13">
      <c r="A15" s="38" t="s">
        <v>22</v>
      </c>
      <c r="B15" s="35"/>
      <c r="D15" s="36"/>
      <c r="E15" s="67">
        <v>5000</v>
      </c>
      <c r="F15" s="66"/>
      <c r="G15" s="68"/>
      <c r="H15" s="208"/>
      <c r="I15" s="223"/>
      <c r="J15" s="208"/>
      <c r="K15" s="208"/>
      <c r="L15" s="208"/>
    </row>
    <row r="16" spans="1:13">
      <c r="A16" s="38"/>
      <c r="B16" s="35"/>
      <c r="D16" s="36"/>
      <c r="E16" s="37"/>
      <c r="F16" s="11"/>
      <c r="G16" s="11" t="s">
        <v>86</v>
      </c>
      <c r="H16" s="11" t="s">
        <v>72</v>
      </c>
      <c r="I16" s="206" t="s">
        <v>83</v>
      </c>
      <c r="J16" t="s">
        <v>29</v>
      </c>
      <c r="K16" s="11" t="s">
        <v>71</v>
      </c>
      <c r="L16" s="11" t="s">
        <v>75</v>
      </c>
      <c r="M16" s="11" t="s">
        <v>84</v>
      </c>
    </row>
    <row r="17" spans="1:13">
      <c r="A17" s="69" t="s">
        <v>23</v>
      </c>
      <c r="B17" s="35"/>
      <c r="D17" s="18">
        <v>1500</v>
      </c>
      <c r="E17" s="70">
        <f>((D17*12)/365)*B4</f>
        <v>1369.4415173867228</v>
      </c>
      <c r="F17" s="11"/>
      <c r="G17" s="11" t="s">
        <v>85</v>
      </c>
      <c r="H17" s="224">
        <f t="shared" ref="H17:M17" si="0">H9/13/24</f>
        <v>0.45192307692307693</v>
      </c>
      <c r="I17" s="224">
        <f t="shared" si="0"/>
        <v>1.5320512820512819</v>
      </c>
      <c r="J17" s="224">
        <f t="shared" si="0"/>
        <v>1.8589743589743588</v>
      </c>
      <c r="K17" s="224">
        <f t="shared" si="0"/>
        <v>2.6442307692307692</v>
      </c>
      <c r="L17" s="224">
        <f t="shared" si="0"/>
        <v>4.0448717948717947</v>
      </c>
      <c r="M17" s="224">
        <f t="shared" si="0"/>
        <v>5.4423076923076925</v>
      </c>
    </row>
    <row r="18" spans="1:13" ht="13.5" thickBot="1">
      <c r="A18" s="71"/>
      <c r="B18" s="72"/>
      <c r="C18" s="63"/>
      <c r="D18" s="73"/>
      <c r="E18" s="74"/>
      <c r="G18" t="s">
        <v>72</v>
      </c>
      <c r="H18" s="224">
        <f t="shared" ref="H18:M22" si="1">H10/13/24</f>
        <v>0</v>
      </c>
      <c r="I18" s="224">
        <f t="shared" si="1"/>
        <v>1.125</v>
      </c>
      <c r="J18" s="224">
        <f t="shared" si="1"/>
        <v>1.4166666666666667</v>
      </c>
      <c r="K18" s="224">
        <f t="shared" si="1"/>
        <v>2.2179487179487181</v>
      </c>
      <c r="L18" s="224">
        <f t="shared" si="1"/>
        <v>3.6730769230769234</v>
      </c>
      <c r="M18" s="224">
        <f t="shared" si="1"/>
        <v>5.0032051282051286</v>
      </c>
    </row>
    <row r="19" spans="1:13">
      <c r="A19" s="75" t="s">
        <v>24</v>
      </c>
      <c r="B19" s="76" t="s">
        <v>25</v>
      </c>
      <c r="C19" s="77" t="s">
        <v>26</v>
      </c>
      <c r="D19" s="78" t="s">
        <v>27</v>
      </c>
      <c r="E19" s="5"/>
      <c r="G19" t="s">
        <v>83</v>
      </c>
      <c r="H19" s="224">
        <f t="shared" si="1"/>
        <v>1.125</v>
      </c>
      <c r="I19" s="224">
        <f t="shared" si="1"/>
        <v>0</v>
      </c>
      <c r="J19" s="224">
        <f t="shared" si="1"/>
        <v>0.40064102564102561</v>
      </c>
      <c r="K19" s="224">
        <f t="shared" si="1"/>
        <v>1.1923076923076923</v>
      </c>
      <c r="L19" s="224">
        <f t="shared" si="1"/>
        <v>2.6217948717948718</v>
      </c>
      <c r="M19" s="224">
        <f t="shared" si="1"/>
        <v>3.9615384615384617</v>
      </c>
    </row>
    <row r="20" spans="1:13">
      <c r="A20" s="82"/>
      <c r="B20" s="87"/>
      <c r="C20" s="88"/>
      <c r="D20" s="89"/>
      <c r="E20" s="90"/>
      <c r="G20" t="s">
        <v>29</v>
      </c>
      <c r="H20" s="224">
        <f t="shared" si="1"/>
        <v>1.4166666666666667</v>
      </c>
      <c r="I20" s="224">
        <f t="shared" si="1"/>
        <v>0.40064102564102561</v>
      </c>
      <c r="J20" s="224">
        <f t="shared" si="1"/>
        <v>0</v>
      </c>
      <c r="K20" s="224">
        <f t="shared" si="1"/>
        <v>0.84935897435897434</v>
      </c>
      <c r="L20" s="224">
        <f t="shared" si="1"/>
        <v>2.2628205128205128</v>
      </c>
      <c r="M20" s="224">
        <f t="shared" si="1"/>
        <v>3.6025641025641026</v>
      </c>
    </row>
    <row r="21" spans="1:13">
      <c r="A21" s="92"/>
      <c r="B21" s="93"/>
      <c r="C21" s="94">
        <f>B21/$B$10/24</f>
        <v>0</v>
      </c>
      <c r="D21" s="95"/>
      <c r="E21" s="96"/>
      <c r="G21" t="s">
        <v>71</v>
      </c>
      <c r="H21" s="224">
        <f t="shared" si="1"/>
        <v>2.2179487179487181</v>
      </c>
      <c r="I21" s="224">
        <f t="shared" si="1"/>
        <v>1.1923076923076923</v>
      </c>
      <c r="J21" s="224">
        <f t="shared" si="1"/>
        <v>0.84935897435897434</v>
      </c>
      <c r="K21" s="224">
        <f t="shared" si="1"/>
        <v>0</v>
      </c>
      <c r="L21" s="224">
        <f t="shared" si="1"/>
        <v>1.5</v>
      </c>
      <c r="M21" s="224">
        <f t="shared" si="1"/>
        <v>2.8397435897435899</v>
      </c>
    </row>
    <row r="22" spans="1:13">
      <c r="A22" s="92"/>
      <c r="B22" s="93"/>
      <c r="C22" s="94">
        <f t="shared" ref="C22:C29" si="2">B22/$B$10/24</f>
        <v>0</v>
      </c>
      <c r="D22" s="98"/>
      <c r="E22" s="99"/>
      <c r="F22" t="s">
        <v>87</v>
      </c>
      <c r="G22" t="s">
        <v>75</v>
      </c>
      <c r="H22" s="224">
        <f t="shared" si="1"/>
        <v>3.6730769230769234</v>
      </c>
      <c r="I22" s="224">
        <f t="shared" si="1"/>
        <v>2.6217948717948718</v>
      </c>
      <c r="J22" s="224">
        <f t="shared" si="1"/>
        <v>2.2596153846153846</v>
      </c>
      <c r="K22" s="224">
        <f t="shared" si="1"/>
        <v>1.5</v>
      </c>
      <c r="L22" s="224">
        <f t="shared" si="1"/>
        <v>0</v>
      </c>
      <c r="M22" s="224">
        <f t="shared" si="1"/>
        <v>1.9903846153846152</v>
      </c>
    </row>
    <row r="23" spans="1:13">
      <c r="A23" s="128" t="s">
        <v>85</v>
      </c>
      <c r="B23" s="93"/>
      <c r="C23" s="94">
        <f t="shared" si="2"/>
        <v>0</v>
      </c>
      <c r="D23" s="98">
        <f>B46/6000+F23</f>
        <v>5.333333333333333</v>
      </c>
      <c r="E23" s="99">
        <v>70000</v>
      </c>
      <c r="F23">
        <v>1</v>
      </c>
      <c r="H23" s="132"/>
      <c r="I23" s="91"/>
      <c r="J23" s="91"/>
    </row>
    <row r="24" spans="1:13">
      <c r="A24" s="128" t="s">
        <v>72</v>
      </c>
      <c r="B24" s="93">
        <v>141</v>
      </c>
      <c r="C24" s="94">
        <f t="shared" si="2"/>
        <v>0.45192307692307693</v>
      </c>
      <c r="D24" s="98">
        <v>2</v>
      </c>
      <c r="E24" s="99">
        <v>40000</v>
      </c>
      <c r="F24">
        <v>1</v>
      </c>
      <c r="G24" s="132"/>
      <c r="H24" s="132"/>
      <c r="I24" s="91"/>
      <c r="J24" s="91"/>
    </row>
    <row r="25" spans="1:13">
      <c r="A25" s="128" t="s">
        <v>71</v>
      </c>
      <c r="B25" s="93">
        <v>692</v>
      </c>
      <c r="C25" s="94">
        <f t="shared" si="2"/>
        <v>2.2179487179487181</v>
      </c>
      <c r="D25" s="98">
        <f>B46/6000/3+F25</f>
        <v>2.4444444444444446</v>
      </c>
      <c r="E25" s="99">
        <v>70000</v>
      </c>
      <c r="F25">
        <v>1</v>
      </c>
      <c r="G25" s="132"/>
      <c r="H25" s="132"/>
      <c r="I25" s="91"/>
      <c r="J25" s="91"/>
    </row>
    <row r="26" spans="1:13">
      <c r="A26" s="128" t="s">
        <v>75</v>
      </c>
      <c r="B26" s="93">
        <v>468</v>
      </c>
      <c r="C26" s="94">
        <f t="shared" si="2"/>
        <v>1.5</v>
      </c>
      <c r="D26" s="98">
        <f>B46/6000/3+F26</f>
        <v>2.4444444444444446</v>
      </c>
      <c r="E26" s="99">
        <v>50000</v>
      </c>
      <c r="F26">
        <v>1</v>
      </c>
      <c r="G26" s="132"/>
      <c r="H26" s="132"/>
      <c r="I26" s="91"/>
      <c r="J26" s="91"/>
    </row>
    <row r="27" spans="1:13">
      <c r="A27" s="128" t="s">
        <v>84</v>
      </c>
      <c r="B27" s="93">
        <v>621</v>
      </c>
      <c r="C27" s="94">
        <f t="shared" si="2"/>
        <v>1.9903846153846152</v>
      </c>
      <c r="D27" s="98">
        <f>B46/6000/3+F27</f>
        <v>2.4444444444444446</v>
      </c>
      <c r="E27" s="217">
        <v>50000</v>
      </c>
      <c r="F27" s="132">
        <v>1</v>
      </c>
      <c r="G27" s="132"/>
      <c r="H27" s="132"/>
      <c r="I27" s="91"/>
      <c r="J27" s="91"/>
    </row>
    <row r="28" spans="1:13">
      <c r="A28" s="128" t="s">
        <v>85</v>
      </c>
      <c r="B28" s="93">
        <v>1698</v>
      </c>
      <c r="C28" s="94">
        <f t="shared" si="2"/>
        <v>5.4423076923076925</v>
      </c>
      <c r="D28" s="98"/>
      <c r="E28" s="99"/>
      <c r="G28" s="132"/>
      <c r="H28" s="132"/>
      <c r="I28" s="91"/>
      <c r="J28" s="91"/>
    </row>
    <row r="29" spans="1:13">
      <c r="A29" s="92"/>
      <c r="B29" s="93"/>
      <c r="C29" s="94">
        <f t="shared" si="2"/>
        <v>0</v>
      </c>
      <c r="D29" s="98"/>
      <c r="E29" s="99"/>
      <c r="G29" s="132"/>
      <c r="H29" s="132"/>
      <c r="I29" s="91"/>
      <c r="J29" s="91"/>
    </row>
    <row r="30" spans="1:13">
      <c r="A30" s="92"/>
      <c r="B30" s="93"/>
      <c r="C30" s="94">
        <f>B30/B10/24</f>
        <v>0</v>
      </c>
      <c r="D30" s="98"/>
      <c r="E30" s="99"/>
      <c r="G30" s="132"/>
      <c r="H30" s="132"/>
      <c r="I30" s="91"/>
      <c r="J30" s="91"/>
    </row>
    <row r="31" spans="1:13">
      <c r="A31" s="92"/>
      <c r="B31" s="93"/>
      <c r="C31" s="94">
        <f>B31/B10/24</f>
        <v>0</v>
      </c>
      <c r="D31" s="98"/>
      <c r="E31" s="99"/>
      <c r="G31" s="132"/>
      <c r="H31" s="132"/>
      <c r="I31" s="91"/>
      <c r="J31" s="91"/>
    </row>
    <row r="32" spans="1:13">
      <c r="A32" s="92"/>
      <c r="B32" s="93"/>
      <c r="C32" s="94">
        <f>B32/B10/24</f>
        <v>0</v>
      </c>
      <c r="D32" s="98"/>
      <c r="E32" s="99"/>
      <c r="I32" s="91"/>
      <c r="J32" s="91"/>
    </row>
    <row r="33" spans="1:17">
      <c r="A33" s="92"/>
      <c r="B33" s="100"/>
      <c r="C33" s="94">
        <f>B33/B10/24</f>
        <v>0</v>
      </c>
      <c r="D33" s="98"/>
      <c r="E33" s="101"/>
      <c r="I33" s="91"/>
      <c r="J33" s="91"/>
      <c r="L33" s="132"/>
      <c r="M33" s="132"/>
    </row>
    <row r="34" spans="1:17">
      <c r="A34" s="12" t="s">
        <v>40</v>
      </c>
      <c r="B34" s="102">
        <f>SUM(B20:B33)</f>
        <v>3620</v>
      </c>
      <c r="D34" s="35"/>
      <c r="E34" s="37"/>
    </row>
    <row r="35" spans="1:17">
      <c r="A35" s="12" t="s">
        <v>41</v>
      </c>
      <c r="B35" s="103"/>
      <c r="C35" s="104">
        <v>0.5</v>
      </c>
      <c r="D35" s="105">
        <v>1</v>
      </c>
      <c r="E35" s="37"/>
      <c r="J35" s="132"/>
    </row>
    <row r="36" spans="1:17" ht="13.5" thickBot="1">
      <c r="A36" s="106" t="s">
        <v>42</v>
      </c>
      <c r="B36" s="107"/>
      <c r="C36" s="108">
        <f>SUM(C21:C35)</f>
        <v>12.102564102564102</v>
      </c>
      <c r="D36" s="108">
        <f>SUM(D22:D35)</f>
        <v>15.666666666666668</v>
      </c>
      <c r="E36" s="109">
        <f>SUM(E20:E33)</f>
        <v>280000</v>
      </c>
      <c r="F36" s="68">
        <f>D36+C36</f>
        <v>27.76923076923077</v>
      </c>
      <c r="K36" s="132"/>
      <c r="L36" s="208"/>
      <c r="M36" s="208"/>
      <c r="N36" s="215"/>
    </row>
    <row r="37" spans="1:17">
      <c r="A37" s="110" t="s">
        <v>43</v>
      </c>
      <c r="B37" s="3"/>
      <c r="C37" s="4"/>
      <c r="D37" s="33"/>
      <c r="E37" s="111">
        <v>2500</v>
      </c>
      <c r="F37" s="11"/>
    </row>
    <row r="38" spans="1:17">
      <c r="A38" s="112" t="s">
        <v>88</v>
      </c>
      <c r="B38" s="35"/>
      <c r="D38" s="113"/>
      <c r="E38" s="67"/>
      <c r="F38" s="11"/>
      <c r="M38" s="231"/>
    </row>
    <row r="39" spans="1:17">
      <c r="A39" s="38" t="s">
        <v>51</v>
      </c>
      <c r="B39" s="35"/>
      <c r="D39" s="35"/>
      <c r="E39" s="67">
        <v>5000</v>
      </c>
      <c r="F39" s="11"/>
      <c r="M39" s="231"/>
      <c r="O39" s="208"/>
      <c r="P39" s="207"/>
      <c r="Q39" s="208"/>
    </row>
    <row r="40" spans="1:17">
      <c r="A40" s="38" t="s">
        <v>52</v>
      </c>
      <c r="B40" s="35"/>
      <c r="D40" s="114"/>
      <c r="E40" s="67"/>
      <c r="F40" s="11"/>
      <c r="M40" s="231"/>
      <c r="O40" s="208"/>
      <c r="P40" s="207"/>
      <c r="Q40" s="208"/>
    </row>
    <row r="41" spans="1:17" ht="13.5" thickBot="1">
      <c r="A41" s="27" t="s">
        <v>53</v>
      </c>
      <c r="B41" s="115"/>
      <c r="C41" s="116"/>
      <c r="D41" s="115"/>
      <c r="E41" s="117">
        <f>E6+E12+E13+E15+E17+E36+E37+E38+E39+E40</f>
        <v>990705.45113277133</v>
      </c>
      <c r="F41" s="118"/>
      <c r="O41" s="208"/>
      <c r="P41" s="207"/>
      <c r="Q41" s="208"/>
    </row>
    <row r="42" spans="1:17" ht="15.75">
      <c r="A42" s="119" t="s">
        <v>54</v>
      </c>
      <c r="B42" s="120"/>
      <c r="C42" s="121"/>
      <c r="D42" s="120"/>
      <c r="E42" s="122">
        <f>E59-E41</f>
        <v>349.54886722867377</v>
      </c>
      <c r="O42" s="208"/>
      <c r="P42" s="207"/>
      <c r="Q42" s="208"/>
    </row>
    <row r="43" spans="1:17" ht="13.5" thickBot="1">
      <c r="A43" s="123">
        <f ca="1">NOW()</f>
        <v>46205.416867939814</v>
      </c>
      <c r="B43" s="72"/>
      <c r="C43" s="63"/>
      <c r="D43" s="124" t="s">
        <v>55</v>
      </c>
      <c r="E43" s="65">
        <f>-(E41-E4-E59)/B4</f>
        <v>19262.587632337876</v>
      </c>
      <c r="O43" s="208"/>
      <c r="P43" s="207"/>
      <c r="Q43" s="208"/>
    </row>
    <row r="44" spans="1:17" ht="13.5" thickBot="1">
      <c r="A44" s="125"/>
      <c r="B44" s="35"/>
      <c r="D44" s="35"/>
      <c r="E44" s="35"/>
      <c r="P44" s="207"/>
    </row>
    <row r="45" spans="1:17" ht="15.75">
      <c r="A45" s="2" t="s">
        <v>1</v>
      </c>
      <c r="B45" s="3"/>
      <c r="C45" s="4"/>
      <c r="D45" s="3"/>
      <c r="E45" s="5"/>
    </row>
    <row r="46" spans="1:17">
      <c r="A46" s="213" t="s">
        <v>89</v>
      </c>
      <c r="B46" s="7">
        <v>26000</v>
      </c>
      <c r="D46" s="9">
        <v>38.6</v>
      </c>
      <c r="E46" s="10">
        <f>D46*B46</f>
        <v>1003600</v>
      </c>
      <c r="H46">
        <v>38000</v>
      </c>
      <c r="I46">
        <v>31000</v>
      </c>
    </row>
    <row r="47" spans="1:17">
      <c r="A47" s="12" t="s">
        <v>2</v>
      </c>
      <c r="B47" s="13"/>
      <c r="C47" s="8" t="s">
        <v>3</v>
      </c>
      <c r="D47" s="14">
        <v>1.2500000000000001E-2</v>
      </c>
      <c r="E47" s="10">
        <f>E46*D47</f>
        <v>12545</v>
      </c>
      <c r="H47">
        <v>28000</v>
      </c>
      <c r="I47">
        <v>20000</v>
      </c>
    </row>
    <row r="48" spans="1:17">
      <c r="A48" s="213" t="s">
        <v>90</v>
      </c>
      <c r="B48" s="7"/>
      <c r="D48" s="9"/>
      <c r="E48" s="10">
        <f>D48*B48</f>
        <v>0</v>
      </c>
    </row>
    <row r="49" spans="1:5">
      <c r="A49" s="12" t="s">
        <v>2</v>
      </c>
      <c r="B49" s="13"/>
      <c r="C49" s="8" t="s">
        <v>3</v>
      </c>
      <c r="D49" s="14"/>
      <c r="E49" s="10">
        <f>E48*D49</f>
        <v>0</v>
      </c>
    </row>
    <row r="50" spans="1:5">
      <c r="A50" s="213" t="s">
        <v>91</v>
      </c>
      <c r="B50" s="7"/>
      <c r="C50" s="8" t="s">
        <v>92</v>
      </c>
      <c r="D50" s="9"/>
      <c r="E50" s="10">
        <f>D50*B50</f>
        <v>0</v>
      </c>
    </row>
    <row r="51" spans="1:5">
      <c r="A51" s="12" t="s">
        <v>2</v>
      </c>
      <c r="B51" s="13"/>
      <c r="C51" s="8" t="s">
        <v>3</v>
      </c>
      <c r="D51" s="19"/>
      <c r="E51" s="10">
        <f>E50*D51</f>
        <v>0</v>
      </c>
    </row>
    <row r="52" spans="1:5">
      <c r="A52" s="214" t="s">
        <v>93</v>
      </c>
      <c r="B52" s="7"/>
      <c r="D52" s="20"/>
      <c r="E52" s="10">
        <f>D52*B52</f>
        <v>0</v>
      </c>
    </row>
    <row r="53" spans="1:5">
      <c r="A53" s="12" t="s">
        <v>2</v>
      </c>
      <c r="B53" s="13"/>
      <c r="C53" s="8" t="s">
        <v>3</v>
      </c>
      <c r="D53" s="19"/>
      <c r="E53" s="10">
        <f>E52*D53</f>
        <v>0</v>
      </c>
    </row>
    <row r="54" spans="1:5">
      <c r="A54" s="214" t="s">
        <v>94</v>
      </c>
      <c r="B54" s="7"/>
      <c r="D54" s="20"/>
      <c r="E54" s="10">
        <f>D54*B54</f>
        <v>0</v>
      </c>
    </row>
    <row r="55" spans="1:5">
      <c r="A55" s="12" t="s">
        <v>2</v>
      </c>
      <c r="B55" s="13"/>
      <c r="C55" s="8" t="s">
        <v>3</v>
      </c>
      <c r="D55" s="19"/>
      <c r="E55" s="10">
        <f>E54*D55</f>
        <v>0</v>
      </c>
    </row>
    <row r="56" spans="1:5">
      <c r="A56" s="21" t="s">
        <v>4</v>
      </c>
      <c r="B56" s="22"/>
      <c r="D56" s="23"/>
      <c r="E56" s="24">
        <f>E47++E51+E53+E49+E55</f>
        <v>12545</v>
      </c>
    </row>
    <row r="57" spans="1:5">
      <c r="A57" s="21" t="s">
        <v>5</v>
      </c>
      <c r="B57" s="22"/>
      <c r="D57" s="23"/>
      <c r="E57" s="24">
        <f>E46+E50+E52+E48+E54</f>
        <v>1003600</v>
      </c>
    </row>
    <row r="58" spans="1:5">
      <c r="A58" s="25"/>
      <c r="B58" s="22"/>
      <c r="D58" s="23"/>
      <c r="E58" s="26"/>
    </row>
    <row r="59" spans="1:5" ht="13.5" thickBot="1">
      <c r="A59" s="27" t="s">
        <v>6</v>
      </c>
      <c r="B59" s="28">
        <f>SUM(B46:B55)</f>
        <v>26000</v>
      </c>
      <c r="C59" s="29"/>
      <c r="D59" s="30"/>
      <c r="E59" s="31">
        <f>E57-E56</f>
        <v>991055</v>
      </c>
    </row>
  </sheetData>
  <mergeCells count="1">
    <mergeCell ref="B1:E1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tabSelected="1" zoomScale="132" workbookViewId="0">
      <selection activeCell="E43" sqref="E43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customWidth="1"/>
    <col min="5" max="5" width="15.28515625" style="126" customWidth="1"/>
    <col min="6" max="6" width="5.7109375" customWidth="1"/>
    <col min="7" max="7" width="16.7109375" customWidth="1"/>
    <col min="8" max="12" width="9.28515625" customWidth="1"/>
    <col min="13" max="13" width="12.85546875" bestFit="1" customWidth="1"/>
    <col min="14" max="15" width="11.42578125" customWidth="1"/>
    <col min="16" max="16" width="6.7109375" customWidth="1"/>
    <col min="17" max="17" width="12.7109375" customWidth="1"/>
    <col min="18" max="256" width="11.42578125" customWidth="1"/>
  </cols>
  <sheetData>
    <row r="1" spans="1:19" ht="27" customHeight="1" thickBot="1">
      <c r="A1" s="1" t="s">
        <v>0</v>
      </c>
      <c r="B1" s="280"/>
      <c r="C1" s="281"/>
      <c r="D1" s="281"/>
      <c r="E1" s="282"/>
    </row>
    <row r="2" spans="1:19" ht="15.75">
      <c r="A2" s="34" t="s">
        <v>7</v>
      </c>
      <c r="B2" s="35"/>
      <c r="D2" s="36"/>
      <c r="E2" s="37"/>
      <c r="I2" s="205"/>
    </row>
    <row r="3" spans="1:19">
      <c r="A3" s="38" t="s">
        <v>8</v>
      </c>
      <c r="B3" s="35"/>
      <c r="D3" s="36"/>
      <c r="E3" s="37"/>
      <c r="I3" s="206"/>
      <c r="K3" s="206"/>
    </row>
    <row r="4" spans="1:19">
      <c r="A4" s="38" t="s">
        <v>9</v>
      </c>
      <c r="B4" s="44">
        <f>C36+D36</f>
        <v>14.046794871794873</v>
      </c>
      <c r="C4" s="8" t="s">
        <v>3</v>
      </c>
      <c r="D4" s="45">
        <v>6500</v>
      </c>
      <c r="E4" s="37">
        <f>B4*D4</f>
        <v>91304.166666666672</v>
      </c>
      <c r="F4" s="11"/>
      <c r="I4" s="206"/>
    </row>
    <row r="5" spans="1:19">
      <c r="A5" s="38" t="s">
        <v>10</v>
      </c>
      <c r="B5" s="46"/>
      <c r="C5" s="47">
        <v>3.7499999999999999E-2</v>
      </c>
      <c r="D5" s="36">
        <f>D4*C5</f>
        <v>243.75</v>
      </c>
      <c r="E5" s="48">
        <f>D5*B4</f>
        <v>3423.9062500000005</v>
      </c>
      <c r="F5" s="11"/>
      <c r="I5" s="206"/>
    </row>
    <row r="6" spans="1:19" ht="13.5" thickBot="1">
      <c r="A6" s="38"/>
      <c r="B6" s="46"/>
      <c r="C6" s="49" t="s">
        <v>11</v>
      </c>
      <c r="D6" s="40">
        <f>D4-D5</f>
        <v>6256.25</v>
      </c>
      <c r="E6" s="50">
        <f>E4-E5</f>
        <v>87880.260416666672</v>
      </c>
      <c r="G6" s="207"/>
      <c r="I6" s="206"/>
    </row>
    <row r="7" spans="1:19">
      <c r="A7" s="51" t="s">
        <v>12</v>
      </c>
      <c r="B7" s="52" t="s">
        <v>13</v>
      </c>
      <c r="C7" s="4" t="s">
        <v>14</v>
      </c>
      <c r="D7" s="53" t="s">
        <v>15</v>
      </c>
      <c r="E7" s="5"/>
      <c r="I7" s="206"/>
    </row>
    <row r="8" spans="1:19">
      <c r="A8" s="38" t="s">
        <v>16</v>
      </c>
      <c r="B8" s="54">
        <v>18</v>
      </c>
      <c r="C8" s="55">
        <v>6</v>
      </c>
      <c r="D8" s="56">
        <v>2.5</v>
      </c>
      <c r="E8" s="37"/>
      <c r="F8" s="11"/>
      <c r="G8" s="11" t="s">
        <v>82</v>
      </c>
      <c r="H8" s="11" t="s">
        <v>72</v>
      </c>
      <c r="I8" s="206" t="s">
        <v>83</v>
      </c>
      <c r="J8" t="s">
        <v>29</v>
      </c>
      <c r="K8" s="11" t="s">
        <v>71</v>
      </c>
      <c r="L8" s="11" t="s">
        <v>75</v>
      </c>
      <c r="M8" s="11" t="s">
        <v>84</v>
      </c>
    </row>
    <row r="9" spans="1:19">
      <c r="A9" s="38" t="s">
        <v>17</v>
      </c>
      <c r="B9" s="54">
        <v>0.2</v>
      </c>
      <c r="C9" s="55">
        <v>0.5</v>
      </c>
      <c r="D9" s="56">
        <v>0.5</v>
      </c>
      <c r="E9" s="37"/>
      <c r="F9" s="11"/>
      <c r="G9" s="11" t="s">
        <v>85</v>
      </c>
      <c r="H9" s="11">
        <v>141</v>
      </c>
      <c r="I9" s="206">
        <v>478</v>
      </c>
      <c r="J9">
        <v>580</v>
      </c>
      <c r="K9" s="11">
        <v>825</v>
      </c>
      <c r="L9" s="11">
        <v>1262</v>
      </c>
      <c r="M9" s="11">
        <v>1698</v>
      </c>
    </row>
    <row r="10" spans="1:19">
      <c r="A10" s="38" t="s">
        <v>18</v>
      </c>
      <c r="B10" s="54">
        <v>13</v>
      </c>
      <c r="C10" s="57"/>
      <c r="D10" s="58"/>
      <c r="E10" s="37"/>
      <c r="G10" t="s">
        <v>72</v>
      </c>
      <c r="H10" s="208">
        <v>0</v>
      </c>
      <c r="I10" s="223">
        <v>351</v>
      </c>
      <c r="J10" s="208">
        <v>442</v>
      </c>
      <c r="K10" s="208">
        <v>692</v>
      </c>
      <c r="L10" s="208">
        <v>1146</v>
      </c>
      <c r="M10" s="208">
        <v>1561</v>
      </c>
    </row>
    <row r="11" spans="1:19">
      <c r="A11" s="38" t="s">
        <v>19</v>
      </c>
      <c r="B11" s="35"/>
      <c r="D11" s="36"/>
      <c r="E11" s="37"/>
      <c r="G11" t="s">
        <v>83</v>
      </c>
      <c r="H11" s="208">
        <v>351</v>
      </c>
      <c r="I11" s="223">
        <v>0</v>
      </c>
      <c r="J11" s="208">
        <v>125</v>
      </c>
      <c r="K11" s="208">
        <v>372</v>
      </c>
      <c r="L11" s="208">
        <v>818</v>
      </c>
      <c r="M11" s="208">
        <v>1236</v>
      </c>
    </row>
    <row r="12" spans="1:19">
      <c r="A12" s="12" t="s">
        <v>20</v>
      </c>
      <c r="B12" s="59">
        <f>(B8*C36) + (C8*D36)</f>
        <v>189.24230769230769</v>
      </c>
      <c r="C12" s="8" t="s">
        <v>3</v>
      </c>
      <c r="D12" s="45">
        <v>560</v>
      </c>
      <c r="E12" s="60">
        <f>B12*D12</f>
        <v>105975.69230769231</v>
      </c>
      <c r="F12" s="11"/>
      <c r="G12" t="s">
        <v>29</v>
      </c>
      <c r="H12" s="208">
        <v>442</v>
      </c>
      <c r="I12" s="223">
        <v>125</v>
      </c>
      <c r="J12" s="208">
        <v>0</v>
      </c>
      <c r="K12" s="208">
        <v>265</v>
      </c>
      <c r="L12" s="208">
        <v>706</v>
      </c>
      <c r="M12" s="208">
        <v>1124</v>
      </c>
      <c r="Q12">
        <v>14.1</v>
      </c>
      <c r="R12">
        <v>60800</v>
      </c>
      <c r="S12">
        <f>R12*Q12</f>
        <v>857280</v>
      </c>
    </row>
    <row r="13" spans="1:19" ht="13.5" thickBot="1">
      <c r="A13" s="61" t="s">
        <v>21</v>
      </c>
      <c r="B13" s="62">
        <f>(B9*C36)+(C9*D36)</f>
        <v>4.3993589743589743</v>
      </c>
      <c r="C13" s="63" t="s">
        <v>3</v>
      </c>
      <c r="D13" s="64">
        <v>750</v>
      </c>
      <c r="E13" s="65">
        <f>B13*D13</f>
        <v>3299.5192307692305</v>
      </c>
      <c r="F13" s="11"/>
      <c r="G13" t="s">
        <v>71</v>
      </c>
      <c r="H13" s="208">
        <v>692</v>
      </c>
      <c r="I13" s="208">
        <v>372</v>
      </c>
      <c r="J13" s="208">
        <v>265</v>
      </c>
      <c r="K13" s="208">
        <v>0</v>
      </c>
      <c r="L13" s="208">
        <v>468</v>
      </c>
      <c r="M13" s="208">
        <v>886</v>
      </c>
      <c r="S13">
        <v>421000</v>
      </c>
    </row>
    <row r="14" spans="1:19">
      <c r="A14" s="32"/>
      <c r="B14" s="3"/>
      <c r="C14" s="4"/>
      <c r="D14" s="33"/>
      <c r="E14" s="5"/>
      <c r="F14" s="66"/>
      <c r="G14" t="s">
        <v>75</v>
      </c>
      <c r="H14" s="208">
        <v>1146</v>
      </c>
      <c r="I14" s="223">
        <v>818</v>
      </c>
      <c r="J14" s="208">
        <v>705</v>
      </c>
      <c r="K14" s="208">
        <v>468</v>
      </c>
      <c r="L14" s="208">
        <v>0</v>
      </c>
      <c r="M14" s="208">
        <v>621</v>
      </c>
      <c r="Q14">
        <f>S14/R14</f>
        <v>21.024342105263159</v>
      </c>
      <c r="R14">
        <f>R12</f>
        <v>60800</v>
      </c>
      <c r="S14">
        <f>SUM(S12:S13)</f>
        <v>1278280</v>
      </c>
    </row>
    <row r="15" spans="1:19">
      <c r="A15" s="38" t="s">
        <v>22</v>
      </c>
      <c r="B15" s="35"/>
      <c r="D15" s="36"/>
      <c r="E15" s="67">
        <v>5000</v>
      </c>
      <c r="F15" s="66"/>
      <c r="G15" s="68"/>
      <c r="H15" s="208"/>
      <c r="I15" s="223"/>
      <c r="J15" s="208"/>
      <c r="K15" s="208"/>
      <c r="L15" s="208"/>
      <c r="Q15">
        <v>16.850000000000001</v>
      </c>
    </row>
    <row r="16" spans="1:19">
      <c r="A16" s="38"/>
      <c r="B16" s="35"/>
      <c r="D16" s="36"/>
      <c r="E16" s="37"/>
      <c r="F16" s="11"/>
      <c r="G16" s="11" t="s">
        <v>86</v>
      </c>
      <c r="H16" s="11" t="s">
        <v>72</v>
      </c>
      <c r="I16" s="206" t="s">
        <v>83</v>
      </c>
      <c r="J16" t="s">
        <v>29</v>
      </c>
      <c r="K16" s="11" t="s">
        <v>71</v>
      </c>
      <c r="L16" s="11" t="s">
        <v>75</v>
      </c>
      <c r="M16" s="11" t="s">
        <v>84</v>
      </c>
      <c r="Q16">
        <f>Q14-Q15</f>
        <v>4.1743421052631575</v>
      </c>
      <c r="R16">
        <f>R14</f>
        <v>60800</v>
      </c>
      <c r="S16">
        <f>R16*Q16</f>
        <v>253799.99999999997</v>
      </c>
    </row>
    <row r="17" spans="1:19">
      <c r="A17" s="69" t="s">
        <v>23</v>
      </c>
      <c r="B17" s="35"/>
      <c r="D17" s="18">
        <v>1500</v>
      </c>
      <c r="E17" s="70">
        <f>((D17*12)/365)*B4</f>
        <v>692.7186512118019</v>
      </c>
      <c r="F17" s="11"/>
      <c r="G17" s="11" t="s">
        <v>85</v>
      </c>
      <c r="H17" s="224">
        <f t="shared" ref="H17:M17" si="0">H9/13/24</f>
        <v>0.45192307692307693</v>
      </c>
      <c r="I17" s="224">
        <f t="shared" si="0"/>
        <v>1.5320512820512819</v>
      </c>
      <c r="J17" s="224">
        <f t="shared" si="0"/>
        <v>1.8589743589743588</v>
      </c>
      <c r="K17" s="224">
        <f t="shared" si="0"/>
        <v>2.6442307692307692</v>
      </c>
      <c r="L17" s="224">
        <f t="shared" si="0"/>
        <v>4.0448717948717947</v>
      </c>
      <c r="M17" s="224">
        <f t="shared" si="0"/>
        <v>5.4423076923076925</v>
      </c>
      <c r="S17">
        <v>10000</v>
      </c>
    </row>
    <row r="18" spans="1:19" ht="13.5" thickBot="1">
      <c r="A18" s="71"/>
      <c r="B18" s="72"/>
      <c r="C18" s="63"/>
      <c r="D18" s="73"/>
      <c r="E18" s="74"/>
      <c r="G18" t="s">
        <v>72</v>
      </c>
      <c r="H18" s="224">
        <f t="shared" ref="H18:M18" si="1">H10/13/24</f>
        <v>0</v>
      </c>
      <c r="I18" s="224">
        <f t="shared" si="1"/>
        <v>1.125</v>
      </c>
      <c r="J18" s="224">
        <f t="shared" si="1"/>
        <v>1.4166666666666667</v>
      </c>
      <c r="K18" s="224">
        <f t="shared" si="1"/>
        <v>2.2179487179487181</v>
      </c>
      <c r="L18" s="224">
        <f t="shared" si="1"/>
        <v>3.6730769230769234</v>
      </c>
      <c r="M18" s="224">
        <f t="shared" si="1"/>
        <v>5.0032051282051286</v>
      </c>
      <c r="S18">
        <f>S16/S17</f>
        <v>25.379999999999995</v>
      </c>
    </row>
    <row r="19" spans="1:19">
      <c r="A19" s="75" t="s">
        <v>24</v>
      </c>
      <c r="B19" s="76" t="s">
        <v>25</v>
      </c>
      <c r="C19" s="77" t="s">
        <v>26</v>
      </c>
      <c r="D19" s="78" t="s">
        <v>27</v>
      </c>
      <c r="E19" s="5"/>
      <c r="G19" t="s">
        <v>83</v>
      </c>
      <c r="H19" s="224">
        <f t="shared" ref="H19:M19" si="2">H11/13/24</f>
        <v>1.125</v>
      </c>
      <c r="I19" s="224">
        <f t="shared" si="2"/>
        <v>0</v>
      </c>
      <c r="J19" s="224">
        <f t="shared" si="2"/>
        <v>0.40064102564102561</v>
      </c>
      <c r="K19" s="224">
        <f t="shared" si="2"/>
        <v>1.1923076923076923</v>
      </c>
      <c r="L19" s="224">
        <f t="shared" si="2"/>
        <v>2.6217948717948718</v>
      </c>
      <c r="M19" s="224">
        <f t="shared" si="2"/>
        <v>3.9615384615384617</v>
      </c>
      <c r="S19">
        <v>11.5</v>
      </c>
    </row>
    <row r="20" spans="1:19">
      <c r="A20" s="82"/>
      <c r="B20" s="87"/>
      <c r="C20" s="88"/>
      <c r="D20" s="89"/>
      <c r="E20" s="90"/>
      <c r="G20" t="s">
        <v>29</v>
      </c>
      <c r="H20" s="224">
        <f t="shared" ref="H20:M20" si="3">H12/13/24</f>
        <v>1.4166666666666667</v>
      </c>
      <c r="I20" s="224">
        <f t="shared" si="3"/>
        <v>0.40064102564102561</v>
      </c>
      <c r="J20" s="224">
        <f t="shared" si="3"/>
        <v>0</v>
      </c>
      <c r="K20" s="224">
        <f t="shared" si="3"/>
        <v>0.84935897435897434</v>
      </c>
      <c r="L20" s="224">
        <f t="shared" si="3"/>
        <v>2.2628205128205128</v>
      </c>
      <c r="M20" s="224">
        <f t="shared" si="3"/>
        <v>3.6025641025641026</v>
      </c>
      <c r="S20">
        <f>S18-S19</f>
        <v>13.879999999999995</v>
      </c>
    </row>
    <row r="21" spans="1:19">
      <c r="A21" s="92"/>
      <c r="B21" s="93"/>
      <c r="C21" s="94">
        <f>B21/$B$10/24</f>
        <v>0</v>
      </c>
      <c r="D21" s="95"/>
      <c r="E21" s="96"/>
      <c r="G21" t="s">
        <v>71</v>
      </c>
      <c r="H21" s="224">
        <f t="shared" ref="H21:M22" si="4">H13/13/24</f>
        <v>2.2179487179487181</v>
      </c>
      <c r="I21" s="224">
        <f t="shared" si="4"/>
        <v>1.1923076923076923</v>
      </c>
      <c r="J21" s="224">
        <f t="shared" si="4"/>
        <v>0.84935897435897434</v>
      </c>
      <c r="K21" s="224">
        <f t="shared" si="4"/>
        <v>0</v>
      </c>
      <c r="L21" s="224">
        <f t="shared" si="4"/>
        <v>1.5</v>
      </c>
      <c r="M21" s="224">
        <f t="shared" si="4"/>
        <v>2.8397435897435899</v>
      </c>
    </row>
    <row r="22" spans="1:19">
      <c r="A22" s="92"/>
      <c r="B22" s="93"/>
      <c r="C22" s="94">
        <f t="shared" ref="C22:C29" si="5">B22/$B$10/24</f>
        <v>0</v>
      </c>
      <c r="D22" s="98"/>
      <c r="E22" s="99"/>
      <c r="F22" t="s">
        <v>87</v>
      </c>
      <c r="G22" t="s">
        <v>75</v>
      </c>
      <c r="H22" s="224">
        <f t="shared" si="4"/>
        <v>3.6730769230769234</v>
      </c>
      <c r="I22" s="224">
        <f t="shared" si="4"/>
        <v>2.6217948717948718</v>
      </c>
      <c r="J22" s="224">
        <f t="shared" si="4"/>
        <v>2.2596153846153846</v>
      </c>
      <c r="K22" s="224">
        <f t="shared" si="4"/>
        <v>1.5</v>
      </c>
      <c r="L22" s="224">
        <f>L14/13/24</f>
        <v>0</v>
      </c>
      <c r="M22" s="224">
        <f>M14/13/24</f>
        <v>1.9903846153846152</v>
      </c>
    </row>
    <row r="23" spans="1:19">
      <c r="A23" s="128" t="s">
        <v>85</v>
      </c>
      <c r="B23" s="93"/>
      <c r="C23" s="94">
        <f t="shared" si="5"/>
        <v>0</v>
      </c>
      <c r="D23" s="98">
        <f>B46/6000+F23</f>
        <v>1.9</v>
      </c>
      <c r="E23" s="99">
        <v>60000</v>
      </c>
      <c r="F23">
        <v>0.5</v>
      </c>
      <c r="H23" s="132"/>
      <c r="I23" s="91"/>
      <c r="J23" s="91"/>
    </row>
    <row r="24" spans="1:19">
      <c r="A24" s="128" t="s">
        <v>71</v>
      </c>
      <c r="B24" s="93">
        <v>825</v>
      </c>
      <c r="C24" s="94">
        <f t="shared" si="5"/>
        <v>2.6442307692307692</v>
      </c>
      <c r="D24" s="98">
        <f>B46/6000/2+F24</f>
        <v>1.2</v>
      </c>
      <c r="E24" s="99">
        <v>45000</v>
      </c>
      <c r="F24">
        <v>0.5</v>
      </c>
      <c r="G24" s="132"/>
      <c r="H24" s="132"/>
      <c r="I24" s="91"/>
      <c r="J24" s="91"/>
    </row>
    <row r="25" spans="1:19">
      <c r="A25" s="128" t="s">
        <v>75</v>
      </c>
      <c r="B25" s="93">
        <v>486</v>
      </c>
      <c r="C25" s="94">
        <f t="shared" si="5"/>
        <v>1.5576923076923077</v>
      </c>
      <c r="D25" s="98">
        <f>B46/6000/2+F25</f>
        <v>1.2</v>
      </c>
      <c r="E25" s="99">
        <v>45000</v>
      </c>
      <c r="F25">
        <v>0.5</v>
      </c>
      <c r="G25" s="132"/>
      <c r="H25" s="132"/>
      <c r="I25" s="91"/>
      <c r="J25" s="91"/>
    </row>
    <row r="26" spans="1:19">
      <c r="A26" s="128" t="s">
        <v>85</v>
      </c>
      <c r="B26" s="93">
        <v>1262</v>
      </c>
      <c r="C26" s="94">
        <f t="shared" si="5"/>
        <v>4.0448717948717947</v>
      </c>
      <c r="D26" s="98"/>
      <c r="E26" s="99"/>
      <c r="G26" s="132"/>
      <c r="H26" s="132"/>
      <c r="I26" s="91"/>
      <c r="J26" s="91"/>
    </row>
    <row r="27" spans="1:19">
      <c r="A27" s="128"/>
      <c r="B27" s="93"/>
      <c r="C27" s="94">
        <f t="shared" si="5"/>
        <v>0</v>
      </c>
      <c r="D27" s="98"/>
      <c r="E27" s="217"/>
      <c r="F27" s="132"/>
      <c r="G27" s="132"/>
      <c r="H27" s="132"/>
      <c r="I27" s="91"/>
      <c r="J27" s="91"/>
      <c r="N27">
        <v>56.7</v>
      </c>
      <c r="O27">
        <v>56.7</v>
      </c>
    </row>
    <row r="28" spans="1:19">
      <c r="A28" s="128"/>
      <c r="B28" s="93"/>
      <c r="C28" s="94">
        <f t="shared" si="5"/>
        <v>0</v>
      </c>
      <c r="D28" s="98"/>
      <c r="E28" s="99"/>
      <c r="G28" s="132"/>
      <c r="H28" s="132"/>
      <c r="I28" s="91"/>
      <c r="J28" s="91"/>
      <c r="N28">
        <v>53.7</v>
      </c>
      <c r="O28">
        <v>53.7</v>
      </c>
    </row>
    <row r="29" spans="1:19">
      <c r="A29" s="92"/>
      <c r="B29" s="93"/>
      <c r="C29" s="94">
        <f t="shared" si="5"/>
        <v>0</v>
      </c>
      <c r="D29" s="98"/>
      <c r="E29" s="99"/>
      <c r="G29" s="132"/>
      <c r="H29" s="132"/>
      <c r="I29" s="91"/>
      <c r="J29" s="91"/>
      <c r="N29">
        <f>N28-N27</f>
        <v>-3</v>
      </c>
      <c r="O29">
        <f>O28-O27</f>
        <v>-3</v>
      </c>
    </row>
    <row r="30" spans="1:19">
      <c r="A30" s="92"/>
      <c r="B30" s="93"/>
      <c r="C30" s="94">
        <f>B30/B10/24</f>
        <v>0</v>
      </c>
      <c r="D30" s="98"/>
      <c r="E30" s="99"/>
      <c r="G30" s="132"/>
      <c r="H30" s="132"/>
      <c r="I30" s="91"/>
      <c r="J30" s="91"/>
      <c r="N30">
        <f>1-N29/N27</f>
        <v>1.052910052910053</v>
      </c>
      <c r="O30">
        <f>O29/O27</f>
        <v>-5.2910052910052907E-2</v>
      </c>
    </row>
    <row r="31" spans="1:19">
      <c r="A31" s="92"/>
      <c r="B31" s="93"/>
      <c r="C31" s="94">
        <f>B31/B10/24</f>
        <v>0</v>
      </c>
      <c r="D31" s="98"/>
      <c r="E31" s="99"/>
      <c r="G31" s="132"/>
      <c r="H31" s="132"/>
      <c r="I31" s="91"/>
      <c r="J31" s="91"/>
    </row>
    <row r="32" spans="1:19">
      <c r="A32" s="92"/>
      <c r="B32" s="93"/>
      <c r="C32" s="94">
        <f>B32/B10/24</f>
        <v>0</v>
      </c>
      <c r="D32" s="98"/>
      <c r="E32" s="99"/>
      <c r="I32" s="91"/>
      <c r="J32" s="91"/>
    </row>
    <row r="33" spans="1:17">
      <c r="A33" s="92"/>
      <c r="B33" s="100"/>
      <c r="C33" s="94">
        <f>B33/B10/24</f>
        <v>0</v>
      </c>
      <c r="D33" s="98"/>
      <c r="E33" s="101"/>
      <c r="I33" s="91"/>
      <c r="J33" s="91"/>
    </row>
    <row r="34" spans="1:17">
      <c r="A34" s="12" t="s">
        <v>40</v>
      </c>
      <c r="B34" s="102">
        <f>SUM(B20:B33)</f>
        <v>2573</v>
      </c>
      <c r="D34" s="35"/>
      <c r="E34" s="37"/>
    </row>
    <row r="35" spans="1:17">
      <c r="A35" s="12" t="s">
        <v>41</v>
      </c>
      <c r="B35" s="103"/>
      <c r="C35" s="104">
        <v>0.5</v>
      </c>
      <c r="D35" s="105">
        <v>1</v>
      </c>
      <c r="E35" s="37"/>
    </row>
    <row r="36" spans="1:17" ht="13.5" thickBot="1">
      <c r="A36" s="106" t="s">
        <v>42</v>
      </c>
      <c r="B36" s="107"/>
      <c r="C36" s="108">
        <f>SUM(C21:C35)</f>
        <v>8.7467948717948723</v>
      </c>
      <c r="D36" s="108">
        <f>SUM(D22:D35)</f>
        <v>5.3</v>
      </c>
      <c r="E36" s="109">
        <f>SUM(E20:E33)</f>
        <v>150000</v>
      </c>
      <c r="F36" s="68">
        <f>D36+C36</f>
        <v>14.046794871794873</v>
      </c>
    </row>
    <row r="37" spans="1:17">
      <c r="A37" s="110" t="s">
        <v>43</v>
      </c>
      <c r="B37" s="3"/>
      <c r="C37" s="4"/>
      <c r="D37" s="33"/>
      <c r="E37" s="111">
        <v>2500</v>
      </c>
      <c r="F37" s="11"/>
    </row>
    <row r="38" spans="1:17">
      <c r="A38" s="112" t="s">
        <v>88</v>
      </c>
      <c r="B38" s="35"/>
      <c r="D38" s="113"/>
      <c r="E38" s="67"/>
      <c r="F38" s="11"/>
    </row>
    <row r="39" spans="1:17">
      <c r="A39" s="38" t="s">
        <v>51</v>
      </c>
      <c r="B39" s="35"/>
      <c r="D39" s="35"/>
      <c r="E39" s="67">
        <v>5000</v>
      </c>
      <c r="F39" s="11"/>
      <c r="O39" s="208"/>
      <c r="P39" s="207"/>
      <c r="Q39" s="208"/>
    </row>
    <row r="40" spans="1:17">
      <c r="A40" s="38" t="s">
        <v>52</v>
      </c>
      <c r="B40" s="35"/>
      <c r="D40" s="114"/>
      <c r="E40" s="67"/>
      <c r="F40" s="11"/>
      <c r="O40" s="208"/>
      <c r="P40" s="207"/>
      <c r="Q40" s="208"/>
    </row>
    <row r="41" spans="1:17" ht="13.5" thickBot="1">
      <c r="A41" s="27" t="s">
        <v>53</v>
      </c>
      <c r="B41" s="115"/>
      <c r="C41" s="116"/>
      <c r="D41" s="115"/>
      <c r="E41" s="117">
        <f>E6+E12+E13+E15+E17+E36+E37+E38+E39+E40</f>
        <v>360348.19060634001</v>
      </c>
      <c r="F41" s="118"/>
      <c r="O41" s="208"/>
      <c r="P41" s="207"/>
      <c r="Q41" s="208"/>
    </row>
    <row r="42" spans="1:17" ht="15.75">
      <c r="A42" s="119" t="s">
        <v>54</v>
      </c>
      <c r="B42" s="120"/>
      <c r="C42" s="121"/>
      <c r="D42" s="120"/>
      <c r="E42" s="122">
        <f>E59-E41</f>
        <v>37811.809393659991</v>
      </c>
      <c r="O42" s="208"/>
      <c r="P42" s="207"/>
      <c r="Q42" s="208"/>
    </row>
    <row r="43" spans="1:17" ht="13.5" thickBot="1">
      <c r="A43" s="123">
        <f ca="1">NOW()</f>
        <v>46205.416867939814</v>
      </c>
      <c r="B43" s="72"/>
      <c r="C43" s="63"/>
      <c r="D43" s="124" t="s">
        <v>55</v>
      </c>
      <c r="E43" s="65">
        <f>-(E41-E4-E59)/B4</f>
        <v>9191.8460573225748</v>
      </c>
      <c r="O43" s="208"/>
      <c r="P43" s="207"/>
      <c r="Q43" s="208"/>
    </row>
    <row r="44" spans="1:17" ht="13.5" thickBot="1">
      <c r="A44" s="125"/>
      <c r="B44" s="35"/>
      <c r="D44" s="35"/>
      <c r="E44" s="35"/>
      <c r="P44" s="207"/>
    </row>
    <row r="45" spans="1:17" ht="15.75">
      <c r="A45" s="2" t="s">
        <v>1</v>
      </c>
      <c r="B45" s="3"/>
      <c r="C45" s="4"/>
      <c r="D45" s="3"/>
      <c r="E45" s="5"/>
    </row>
    <row r="46" spans="1:17">
      <c r="A46" s="213" t="s">
        <v>89</v>
      </c>
      <c r="B46" s="7">
        <v>8400</v>
      </c>
      <c r="D46" s="9">
        <v>48</v>
      </c>
      <c r="E46" s="10">
        <f>D46*B46</f>
        <v>403200</v>
      </c>
      <c r="H46">
        <v>38000</v>
      </c>
      <c r="I46">
        <v>31000</v>
      </c>
    </row>
    <row r="47" spans="1:17">
      <c r="A47" s="12" t="s">
        <v>2</v>
      </c>
      <c r="B47" s="13"/>
      <c r="C47" s="8" t="s">
        <v>3</v>
      </c>
      <c r="D47" s="14">
        <v>1.2500000000000001E-2</v>
      </c>
      <c r="E47" s="10">
        <f>E46*D47</f>
        <v>5040</v>
      </c>
      <c r="H47">
        <v>28000</v>
      </c>
      <c r="I47">
        <v>20000</v>
      </c>
    </row>
    <row r="48" spans="1:17">
      <c r="A48" s="213" t="s">
        <v>90</v>
      </c>
      <c r="B48" s="7"/>
      <c r="D48" s="9"/>
      <c r="E48" s="10">
        <f>D48*B48</f>
        <v>0</v>
      </c>
    </row>
    <row r="49" spans="1:5">
      <c r="A49" s="12" t="s">
        <v>2</v>
      </c>
      <c r="B49" s="13"/>
      <c r="C49" s="8" t="s">
        <v>3</v>
      </c>
      <c r="D49" s="14"/>
      <c r="E49" s="10">
        <f>E48*D49</f>
        <v>0</v>
      </c>
    </row>
    <row r="50" spans="1:5">
      <c r="A50" s="213" t="s">
        <v>91</v>
      </c>
      <c r="B50" s="7"/>
      <c r="C50" s="8" t="s">
        <v>92</v>
      </c>
      <c r="D50" s="9"/>
      <c r="E50" s="10">
        <f>D50*B50</f>
        <v>0</v>
      </c>
    </row>
    <row r="51" spans="1:5">
      <c r="A51" s="12" t="s">
        <v>2</v>
      </c>
      <c r="B51" s="13"/>
      <c r="C51" s="8" t="s">
        <v>3</v>
      </c>
      <c r="D51" s="19"/>
      <c r="E51" s="10">
        <f>E50*D51</f>
        <v>0</v>
      </c>
    </row>
    <row r="52" spans="1:5">
      <c r="A52" s="214" t="s">
        <v>93</v>
      </c>
      <c r="B52" s="7"/>
      <c r="D52" s="20"/>
      <c r="E52" s="10">
        <f>D52*B52</f>
        <v>0</v>
      </c>
    </row>
    <row r="53" spans="1:5">
      <c r="A53" s="12" t="s">
        <v>2</v>
      </c>
      <c r="B53" s="13"/>
      <c r="C53" s="8" t="s">
        <v>3</v>
      </c>
      <c r="D53" s="19"/>
      <c r="E53" s="10">
        <f>E52*D53</f>
        <v>0</v>
      </c>
    </row>
    <row r="54" spans="1:5">
      <c r="A54" s="214" t="s">
        <v>94</v>
      </c>
      <c r="B54" s="7"/>
      <c r="D54" s="20"/>
      <c r="E54" s="10">
        <f>D54*B54</f>
        <v>0</v>
      </c>
    </row>
    <row r="55" spans="1:5">
      <c r="A55" s="12" t="s">
        <v>2</v>
      </c>
      <c r="B55" s="13"/>
      <c r="C55" s="8" t="s">
        <v>3</v>
      </c>
      <c r="D55" s="19"/>
      <c r="E55" s="10">
        <f>E54*D55</f>
        <v>0</v>
      </c>
    </row>
    <row r="56" spans="1:5">
      <c r="A56" s="21" t="s">
        <v>4</v>
      </c>
      <c r="B56" s="22"/>
      <c r="D56" s="23"/>
      <c r="E56" s="24">
        <f>E47++E51+E53+E49+E55</f>
        <v>5040</v>
      </c>
    </row>
    <row r="57" spans="1:5">
      <c r="A57" s="21" t="s">
        <v>5</v>
      </c>
      <c r="B57" s="22"/>
      <c r="D57" s="23"/>
      <c r="E57" s="24">
        <f>E46+E50+E52+E48+E54</f>
        <v>403200</v>
      </c>
    </row>
    <row r="58" spans="1:5">
      <c r="A58" s="25"/>
      <c r="B58" s="22"/>
      <c r="D58" s="23"/>
      <c r="E58" s="26"/>
    </row>
    <row r="59" spans="1:5" ht="13.5" thickBot="1">
      <c r="A59" s="27" t="s">
        <v>6</v>
      </c>
      <c r="B59" s="28">
        <f>SUM(B46:B55)</f>
        <v>8400</v>
      </c>
      <c r="C59" s="29"/>
      <c r="D59" s="30"/>
      <c r="E59" s="31">
        <f>E57-E56</f>
        <v>398160</v>
      </c>
    </row>
  </sheetData>
  <mergeCells count="1">
    <mergeCell ref="B1:E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9"/>
  <sheetViews>
    <sheetView zoomScale="150" zoomScaleNormal="85" workbookViewId="0">
      <selection activeCell="A3" sqref="A3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customWidth="1"/>
    <col min="5" max="5" width="15.28515625" style="126" customWidth="1"/>
    <col min="6" max="6" width="5.7109375" customWidth="1"/>
    <col min="7" max="8" width="16.7109375" customWidth="1"/>
    <col min="9" max="9" width="15.28515625" customWidth="1"/>
    <col min="10" max="10" width="12.28515625" customWidth="1"/>
    <col min="11" max="12" width="11.42578125" customWidth="1"/>
    <col min="13" max="13" width="4.7109375" customWidth="1"/>
    <col min="14" max="15" width="11.42578125" customWidth="1"/>
    <col min="16" max="16" width="6.7109375" customWidth="1"/>
    <col min="17" max="17" width="12.7109375" customWidth="1"/>
    <col min="18" max="256" width="11.42578125" customWidth="1"/>
  </cols>
  <sheetData>
    <row r="1" spans="1:11" ht="27" customHeight="1" thickBot="1">
      <c r="A1" s="1" t="s">
        <v>0</v>
      </c>
      <c r="B1" s="280"/>
      <c r="C1" s="281"/>
      <c r="D1" s="281"/>
      <c r="E1" s="282"/>
    </row>
    <row r="2" spans="1:11" ht="15.75">
      <c r="A2" s="34" t="s">
        <v>7</v>
      </c>
      <c r="B2" s="35"/>
      <c r="D2" s="36"/>
      <c r="E2" s="37"/>
      <c r="I2" s="205"/>
    </row>
    <row r="3" spans="1:11">
      <c r="A3" s="38" t="s">
        <v>8</v>
      </c>
      <c r="B3" s="218" t="s">
        <v>95</v>
      </c>
      <c r="D3" s="36"/>
      <c r="E3" s="37"/>
      <c r="I3" s="206"/>
      <c r="K3" s="206"/>
    </row>
    <row r="4" spans="1:11">
      <c r="A4" s="38" t="s">
        <v>9</v>
      </c>
      <c r="B4" s="44">
        <f>C36+D36</f>
        <v>20.615555555555556</v>
      </c>
      <c r="C4" s="8" t="s">
        <v>3</v>
      </c>
      <c r="D4" s="45">
        <v>13000</v>
      </c>
      <c r="E4" s="37">
        <f>B4*D4</f>
        <v>268002.22222222225</v>
      </c>
      <c r="F4" s="11"/>
      <c r="I4" s="206"/>
    </row>
    <row r="5" spans="1:11">
      <c r="A5" s="38" t="s">
        <v>10</v>
      </c>
      <c r="B5" s="46"/>
      <c r="C5" s="47">
        <v>3.7499999999999999E-2</v>
      </c>
      <c r="D5" s="36">
        <f>D4*C5</f>
        <v>487.5</v>
      </c>
      <c r="E5" s="48">
        <f>D5*B4</f>
        <v>10050.083333333334</v>
      </c>
      <c r="F5" s="11"/>
      <c r="I5" s="206"/>
    </row>
    <row r="6" spans="1:11" ht="13.5" thickBot="1">
      <c r="A6" s="38"/>
      <c r="B6" s="46"/>
      <c r="C6" s="49" t="s">
        <v>11</v>
      </c>
      <c r="D6" s="40">
        <f>D4-D5</f>
        <v>12512.5</v>
      </c>
      <c r="E6" s="50">
        <f>E4-E5</f>
        <v>257952.13888888891</v>
      </c>
      <c r="G6" s="207"/>
      <c r="I6" s="206"/>
    </row>
    <row r="7" spans="1:11">
      <c r="A7" s="51" t="s">
        <v>12</v>
      </c>
      <c r="B7" s="52" t="s">
        <v>13</v>
      </c>
      <c r="C7" s="4" t="s">
        <v>14</v>
      </c>
      <c r="D7" s="53" t="s">
        <v>15</v>
      </c>
      <c r="E7" s="5"/>
      <c r="I7" s="206"/>
    </row>
    <row r="8" spans="1:11">
      <c r="A8" s="38" t="s">
        <v>16</v>
      </c>
      <c r="B8" s="54">
        <v>15</v>
      </c>
      <c r="C8" s="55">
        <v>6</v>
      </c>
      <c r="D8" s="56">
        <v>2.5</v>
      </c>
      <c r="E8" s="37"/>
      <c r="F8" s="11"/>
      <c r="G8" s="11"/>
      <c r="H8" s="11"/>
      <c r="I8" s="206"/>
    </row>
    <row r="9" spans="1:11">
      <c r="A9" s="38" t="s">
        <v>17</v>
      </c>
      <c r="B9" s="54">
        <v>0.2</v>
      </c>
      <c r="C9" s="55">
        <v>0.5</v>
      </c>
      <c r="D9" s="56">
        <v>0.5</v>
      </c>
      <c r="E9" s="37"/>
      <c r="F9" s="11"/>
      <c r="G9" s="11"/>
      <c r="H9" s="11">
        <v>37</v>
      </c>
      <c r="I9" s="206"/>
    </row>
    <row r="10" spans="1:11">
      <c r="A10" s="38" t="s">
        <v>18</v>
      </c>
      <c r="B10" s="54">
        <v>12.5</v>
      </c>
      <c r="C10" s="57"/>
      <c r="D10" s="58"/>
      <c r="E10" s="37"/>
      <c r="H10" s="216">
        <v>1.2500000000000001E-2</v>
      </c>
      <c r="I10" s="206"/>
    </row>
    <row r="11" spans="1:11">
      <c r="A11" s="38" t="s">
        <v>19</v>
      </c>
      <c r="B11" s="35"/>
      <c r="D11" s="36"/>
      <c r="E11" s="37"/>
      <c r="H11">
        <f>H9*H10</f>
        <v>0.46250000000000002</v>
      </c>
      <c r="I11" s="206"/>
    </row>
    <row r="12" spans="1:11">
      <c r="A12" s="12" t="s">
        <v>20</v>
      </c>
      <c r="B12" s="59">
        <f>(B8*C36) + (C8*D36)</f>
        <v>211.23333333333335</v>
      </c>
      <c r="C12" s="8" t="s">
        <v>3</v>
      </c>
      <c r="D12" s="45">
        <v>500</v>
      </c>
      <c r="E12" s="60">
        <f>B12*D12</f>
        <v>105616.66666666667</v>
      </c>
      <c r="F12" s="11"/>
      <c r="I12" s="206"/>
    </row>
    <row r="13" spans="1:11" ht="13.5" thickBot="1">
      <c r="A13" s="61" t="s">
        <v>21</v>
      </c>
      <c r="B13" s="62">
        <f>(B9*C36)+(C9*D36)</f>
        <v>7.3897777777777778</v>
      </c>
      <c r="C13" s="63" t="s">
        <v>3</v>
      </c>
      <c r="D13" s="64">
        <v>750</v>
      </c>
      <c r="E13" s="65">
        <f>B13*D13</f>
        <v>5542.333333333333</v>
      </c>
      <c r="F13" s="11"/>
      <c r="I13" s="206"/>
    </row>
    <row r="14" spans="1:11">
      <c r="A14" s="32"/>
      <c r="B14" s="3"/>
      <c r="C14" s="4"/>
      <c r="D14" s="33"/>
      <c r="E14" s="5"/>
      <c r="F14" s="66"/>
      <c r="I14" s="206"/>
    </row>
    <row r="15" spans="1:11">
      <c r="A15" s="38" t="s">
        <v>22</v>
      </c>
      <c r="B15" s="35"/>
      <c r="D15" s="36"/>
      <c r="E15" s="67">
        <v>5000</v>
      </c>
      <c r="F15" s="66"/>
      <c r="G15" s="68"/>
      <c r="H15" s="68"/>
      <c r="I15" s="206"/>
    </row>
    <row r="16" spans="1:11">
      <c r="A16" s="38"/>
      <c r="B16" s="35"/>
      <c r="D16" s="36"/>
      <c r="E16" s="37"/>
      <c r="F16" s="11"/>
      <c r="I16" s="206"/>
    </row>
    <row r="17" spans="1:10" ht="15.75">
      <c r="A17" s="69" t="s">
        <v>23</v>
      </c>
      <c r="B17" s="35"/>
      <c r="D17" s="18">
        <v>1500</v>
      </c>
      <c r="E17" s="70">
        <f>((D17*12)/365)*B4</f>
        <v>1016.6575342465753</v>
      </c>
      <c r="F17" s="11"/>
      <c r="I17" s="205"/>
    </row>
    <row r="18" spans="1:10" ht="13.5" thickBot="1">
      <c r="A18" s="71"/>
      <c r="B18" s="72"/>
      <c r="C18" s="63"/>
      <c r="D18" s="73"/>
      <c r="E18" s="74"/>
      <c r="I18" s="206"/>
    </row>
    <row r="19" spans="1:10">
      <c r="A19" s="75" t="s">
        <v>24</v>
      </c>
      <c r="B19" s="76" t="s">
        <v>25</v>
      </c>
      <c r="C19" s="77" t="s">
        <v>26</v>
      </c>
      <c r="D19" s="78" t="s">
        <v>27</v>
      </c>
      <c r="E19" s="5"/>
    </row>
    <row r="20" spans="1:10">
      <c r="A20" s="82"/>
      <c r="B20" s="87"/>
      <c r="C20" s="88"/>
      <c r="D20" s="89"/>
      <c r="E20" s="90"/>
      <c r="G20">
        <v>37.5</v>
      </c>
      <c r="H20">
        <v>15000</v>
      </c>
      <c r="I20" s="208">
        <f>H20*G20</f>
        <v>562500</v>
      </c>
      <c r="J20" s="91"/>
    </row>
    <row r="21" spans="1:10">
      <c r="A21" s="92"/>
      <c r="B21" s="93"/>
      <c r="C21" s="94">
        <f>B21/$B$10/24</f>
        <v>0</v>
      </c>
      <c r="D21" s="95"/>
      <c r="E21" s="96"/>
      <c r="G21">
        <v>40</v>
      </c>
      <c r="H21">
        <v>8000</v>
      </c>
      <c r="I21" s="208">
        <f>H21*G21</f>
        <v>320000</v>
      </c>
    </row>
    <row r="22" spans="1:10">
      <c r="A22" s="92"/>
      <c r="B22" s="93"/>
      <c r="C22" s="94">
        <f t="shared" ref="C22:C29" si="0">B22/$B$10/24</f>
        <v>0</v>
      </c>
      <c r="D22" s="98"/>
      <c r="E22" s="99"/>
      <c r="G22">
        <f>I22/H22</f>
        <v>34.642857142857146</v>
      </c>
      <c r="H22" s="215">
        <f>H20-H21</f>
        <v>7000</v>
      </c>
      <c r="I22" s="215">
        <f>I20-I21</f>
        <v>242500</v>
      </c>
      <c r="J22" s="91"/>
    </row>
    <row r="23" spans="1:10">
      <c r="A23" s="128" t="s">
        <v>96</v>
      </c>
      <c r="B23" s="93"/>
      <c r="C23" s="94">
        <f t="shared" si="0"/>
        <v>0</v>
      </c>
      <c r="D23" s="98"/>
      <c r="E23" s="99"/>
      <c r="H23" s="132"/>
      <c r="I23" s="91"/>
      <c r="J23" s="91"/>
    </row>
    <row r="24" spans="1:10">
      <c r="A24" s="128" t="s">
        <v>97</v>
      </c>
      <c r="B24" s="93">
        <v>367</v>
      </c>
      <c r="C24" s="94">
        <f t="shared" si="0"/>
        <v>1.2233333333333334</v>
      </c>
      <c r="D24" s="98">
        <f>B46/150/24+0.25</f>
        <v>2.4722222222222223</v>
      </c>
      <c r="E24" s="99">
        <v>23000</v>
      </c>
      <c r="F24">
        <v>8000</v>
      </c>
      <c r="G24" s="132" t="s">
        <v>98</v>
      </c>
      <c r="H24" s="132"/>
      <c r="I24" s="91"/>
      <c r="J24" s="91"/>
    </row>
    <row r="25" spans="1:10">
      <c r="A25" s="128" t="s">
        <v>29</v>
      </c>
      <c r="B25" s="93">
        <v>503</v>
      </c>
      <c r="C25" s="94">
        <f t="shared" si="0"/>
        <v>1.6766666666666667</v>
      </c>
      <c r="D25" s="98">
        <f>D24</f>
        <v>2.4722222222222223</v>
      </c>
      <c r="E25" s="99">
        <v>17000</v>
      </c>
      <c r="G25" s="132"/>
      <c r="H25" s="132"/>
      <c r="I25" s="91"/>
      <c r="J25" s="91"/>
    </row>
    <row r="26" spans="1:10">
      <c r="A26" s="128" t="s">
        <v>97</v>
      </c>
      <c r="B26" s="93">
        <v>503</v>
      </c>
      <c r="C26" s="94">
        <f t="shared" si="0"/>
        <v>1.6766666666666667</v>
      </c>
      <c r="D26" s="98">
        <f>D25</f>
        <v>2.4722222222222223</v>
      </c>
      <c r="E26" s="99">
        <v>25000</v>
      </c>
      <c r="G26" s="132"/>
      <c r="H26" s="132"/>
      <c r="I26" s="91"/>
      <c r="J26" s="91"/>
    </row>
    <row r="27" spans="1:10">
      <c r="A27" s="128" t="s">
        <v>99</v>
      </c>
      <c r="B27" s="93">
        <v>1395</v>
      </c>
      <c r="C27" s="94">
        <f t="shared" si="0"/>
        <v>4.6499999999999995</v>
      </c>
      <c r="D27" s="98">
        <f>D26</f>
        <v>2.4722222222222223</v>
      </c>
      <c r="E27" s="217">
        <v>25000</v>
      </c>
      <c r="F27" s="132" t="s">
        <v>100</v>
      </c>
      <c r="G27" s="132"/>
      <c r="H27" s="132"/>
      <c r="I27" s="91"/>
      <c r="J27" s="91"/>
    </row>
    <row r="28" spans="1:10">
      <c r="A28" s="128" t="s">
        <v>97</v>
      </c>
      <c r="B28" s="93"/>
      <c r="C28" s="94">
        <f t="shared" si="0"/>
        <v>0</v>
      </c>
      <c r="D28" s="98"/>
      <c r="E28" s="99"/>
      <c r="G28" s="132"/>
      <c r="H28" s="132"/>
      <c r="I28" s="91"/>
      <c r="J28" s="91"/>
    </row>
    <row r="29" spans="1:10">
      <c r="A29" s="92"/>
      <c r="B29" s="93"/>
      <c r="C29" s="94">
        <f t="shared" si="0"/>
        <v>0</v>
      </c>
      <c r="D29" s="98"/>
      <c r="E29" s="99"/>
      <c r="G29" s="132"/>
      <c r="H29" s="132"/>
      <c r="I29" s="91"/>
      <c r="J29" s="91"/>
    </row>
    <row r="30" spans="1:10">
      <c r="A30" s="92"/>
      <c r="B30" s="93"/>
      <c r="C30" s="94">
        <f>B30/B10/24</f>
        <v>0</v>
      </c>
      <c r="D30" s="98"/>
      <c r="E30" s="99"/>
      <c r="G30" s="132"/>
      <c r="H30" s="132"/>
      <c r="I30" s="91"/>
      <c r="J30" s="91"/>
    </row>
    <row r="31" spans="1:10">
      <c r="A31" s="92"/>
      <c r="B31" s="93"/>
      <c r="C31" s="94">
        <f>B31/B10/24</f>
        <v>0</v>
      </c>
      <c r="D31" s="98"/>
      <c r="E31" s="99"/>
      <c r="G31" s="132"/>
      <c r="H31" s="132"/>
      <c r="I31" s="91"/>
      <c r="J31" s="91"/>
    </row>
    <row r="32" spans="1:10">
      <c r="A32" s="92"/>
      <c r="B32" s="93"/>
      <c r="C32" s="94">
        <f>B32/B10/24</f>
        <v>0</v>
      </c>
      <c r="D32" s="98"/>
      <c r="E32" s="99"/>
      <c r="I32" s="91"/>
      <c r="J32" s="91"/>
    </row>
    <row r="33" spans="1:17">
      <c r="A33" s="92"/>
      <c r="B33" s="100"/>
      <c r="C33" s="94">
        <f>B33/B10/24</f>
        <v>0</v>
      </c>
      <c r="D33" s="98"/>
      <c r="E33" s="101"/>
      <c r="I33" s="91"/>
      <c r="J33" s="91"/>
    </row>
    <row r="34" spans="1:17">
      <c r="A34" s="12" t="s">
        <v>40</v>
      </c>
      <c r="B34" s="102">
        <f>SUM(B20:B33)</f>
        <v>2768</v>
      </c>
      <c r="D34" s="35"/>
      <c r="E34" s="37"/>
    </row>
    <row r="35" spans="1:17">
      <c r="A35" s="12" t="s">
        <v>41</v>
      </c>
      <c r="B35" s="103"/>
      <c r="C35" s="104">
        <v>0.5</v>
      </c>
      <c r="D35" s="105">
        <v>1</v>
      </c>
      <c r="E35" s="37"/>
    </row>
    <row r="36" spans="1:17" ht="13.5" thickBot="1">
      <c r="A36" s="106" t="s">
        <v>42</v>
      </c>
      <c r="B36" s="107"/>
      <c r="C36" s="108">
        <f>SUM(C21:C35)</f>
        <v>9.7266666666666666</v>
      </c>
      <c r="D36" s="108">
        <f>SUM(D22:D35)</f>
        <v>10.888888888888889</v>
      </c>
      <c r="E36" s="109">
        <f>SUM(E20:E33)</f>
        <v>90000</v>
      </c>
      <c r="F36" s="68">
        <f>D36+C36</f>
        <v>20.615555555555556</v>
      </c>
    </row>
    <row r="37" spans="1:17">
      <c r="A37" s="110" t="s">
        <v>43</v>
      </c>
      <c r="B37" s="3"/>
      <c r="C37" s="4"/>
      <c r="D37" s="33"/>
      <c r="E37" s="111">
        <v>2500</v>
      </c>
      <c r="F37" s="11"/>
    </row>
    <row r="38" spans="1:17">
      <c r="A38" s="112" t="s">
        <v>88</v>
      </c>
      <c r="B38" s="35"/>
      <c r="D38" s="113"/>
      <c r="E38" s="67"/>
      <c r="F38" s="11"/>
    </row>
    <row r="39" spans="1:17">
      <c r="A39" s="38" t="s">
        <v>51</v>
      </c>
      <c r="B39" s="35"/>
      <c r="D39" s="35"/>
      <c r="E39" s="67">
        <v>5000</v>
      </c>
      <c r="F39" s="11"/>
      <c r="O39" s="208"/>
      <c r="P39" s="207"/>
      <c r="Q39" s="208"/>
    </row>
    <row r="40" spans="1:17">
      <c r="A40" s="38" t="s">
        <v>52</v>
      </c>
      <c r="B40" s="35"/>
      <c r="D40" s="114"/>
      <c r="E40" s="67"/>
      <c r="F40" s="11"/>
      <c r="O40" s="208"/>
      <c r="P40" s="207"/>
      <c r="Q40" s="208"/>
    </row>
    <row r="41" spans="1:17" ht="13.5" thickBot="1">
      <c r="A41" s="27" t="s">
        <v>53</v>
      </c>
      <c r="B41" s="115"/>
      <c r="C41" s="116"/>
      <c r="D41" s="115"/>
      <c r="E41" s="117">
        <f>E6+E12+E13+E15+E17+E36+E37+E38+E39+E40</f>
        <v>472627.79642313544</v>
      </c>
      <c r="F41" s="118"/>
      <c r="O41" s="208"/>
      <c r="P41" s="207"/>
      <c r="Q41" s="208"/>
    </row>
    <row r="42" spans="1:17" ht="15.75">
      <c r="A42" s="119" t="s">
        <v>54</v>
      </c>
      <c r="B42" s="120"/>
      <c r="C42" s="121"/>
      <c r="D42" s="120"/>
      <c r="E42" s="122">
        <f>E59-E41</f>
        <v>-4627.7964231354417</v>
      </c>
      <c r="O42" s="208"/>
      <c r="P42" s="207"/>
      <c r="Q42" s="208"/>
    </row>
    <row r="43" spans="1:17" ht="13.5" thickBot="1">
      <c r="A43" s="123">
        <f ca="1">NOW()</f>
        <v>46205.416867939814</v>
      </c>
      <c r="B43" s="72"/>
      <c r="C43" s="63"/>
      <c r="D43" s="124" t="s">
        <v>55</v>
      </c>
      <c r="E43" s="65">
        <f>-(E41-E4-E59)/B4</f>
        <v>12775.519199050239</v>
      </c>
      <c r="O43" s="208"/>
      <c r="P43" s="207"/>
      <c r="Q43" s="208"/>
    </row>
    <row r="44" spans="1:17" ht="13.5" thickBot="1">
      <c r="A44" s="125"/>
      <c r="B44" s="35"/>
      <c r="D44" s="35"/>
      <c r="E44" s="35"/>
      <c r="P44" s="207"/>
    </row>
    <row r="45" spans="1:17" ht="15.75">
      <c r="A45" s="2" t="s">
        <v>1</v>
      </c>
      <c r="B45" s="3"/>
      <c r="C45" s="4"/>
      <c r="D45" s="3"/>
      <c r="E45" s="5"/>
    </row>
    <row r="46" spans="1:17">
      <c r="A46" s="213" t="s">
        <v>89</v>
      </c>
      <c r="B46" s="7">
        <v>8000</v>
      </c>
      <c r="D46" s="9">
        <v>30</v>
      </c>
      <c r="E46" s="10">
        <f>D46*B46</f>
        <v>240000</v>
      </c>
    </row>
    <row r="47" spans="1:17">
      <c r="A47" s="12" t="s">
        <v>2</v>
      </c>
      <c r="B47" s="13"/>
      <c r="C47" s="8" t="s">
        <v>3</v>
      </c>
      <c r="D47" s="14">
        <v>2.5000000000000001E-2</v>
      </c>
      <c r="E47" s="10">
        <f>E46*D47</f>
        <v>6000</v>
      </c>
    </row>
    <row r="48" spans="1:17">
      <c r="A48" s="213" t="s">
        <v>90</v>
      </c>
      <c r="B48" s="7">
        <f>B46</f>
        <v>8000</v>
      </c>
      <c r="D48" s="9">
        <f>D46</f>
        <v>30</v>
      </c>
      <c r="E48" s="10">
        <f>D48*B48</f>
        <v>240000</v>
      </c>
    </row>
    <row r="49" spans="1:5">
      <c r="A49" s="12" t="s">
        <v>2</v>
      </c>
      <c r="B49" s="13"/>
      <c r="C49" s="8" t="s">
        <v>3</v>
      </c>
      <c r="D49" s="14">
        <v>2.5000000000000001E-2</v>
      </c>
      <c r="E49" s="10">
        <f>E48*D49</f>
        <v>6000</v>
      </c>
    </row>
    <row r="50" spans="1:5">
      <c r="A50" s="213" t="s">
        <v>91</v>
      </c>
      <c r="B50" s="7"/>
      <c r="C50" s="8" t="s">
        <v>92</v>
      </c>
      <c r="D50" s="9">
        <v>40</v>
      </c>
      <c r="E50" s="10">
        <f>D50*B50</f>
        <v>0</v>
      </c>
    </row>
    <row r="51" spans="1:5">
      <c r="A51" s="12" t="s">
        <v>2</v>
      </c>
      <c r="B51" s="13"/>
      <c r="C51" s="8" t="s">
        <v>3</v>
      </c>
      <c r="D51" s="19">
        <v>2.5000000000000001E-2</v>
      </c>
      <c r="E51" s="10">
        <f>E50*D51</f>
        <v>0</v>
      </c>
    </row>
    <row r="52" spans="1:5">
      <c r="A52" s="214" t="s">
        <v>93</v>
      </c>
      <c r="B52" s="7"/>
      <c r="D52" s="20">
        <v>70</v>
      </c>
      <c r="E52" s="10">
        <f>D52*B52</f>
        <v>0</v>
      </c>
    </row>
    <row r="53" spans="1:5">
      <c r="A53" s="12" t="s">
        <v>2</v>
      </c>
      <c r="B53" s="13"/>
      <c r="C53" s="8" t="s">
        <v>3</v>
      </c>
      <c r="D53" s="19">
        <v>2.5000000000000001E-2</v>
      </c>
      <c r="E53" s="10">
        <f>E52*D53</f>
        <v>0</v>
      </c>
    </row>
    <row r="54" spans="1:5">
      <c r="A54" s="214" t="s">
        <v>94</v>
      </c>
      <c r="B54" s="7"/>
      <c r="D54" s="20">
        <v>45</v>
      </c>
      <c r="E54" s="10">
        <f>D54*B54</f>
        <v>0</v>
      </c>
    </row>
    <row r="55" spans="1:5">
      <c r="A55" s="12" t="s">
        <v>2</v>
      </c>
      <c r="B55" s="13"/>
      <c r="C55" s="8" t="s">
        <v>3</v>
      </c>
      <c r="D55" s="19">
        <v>2.5000000000000001E-2</v>
      </c>
      <c r="E55" s="10">
        <f>E54*D55</f>
        <v>0</v>
      </c>
    </row>
    <row r="56" spans="1:5">
      <c r="A56" s="21" t="s">
        <v>4</v>
      </c>
      <c r="B56" s="22"/>
      <c r="D56" s="23"/>
      <c r="E56" s="24">
        <f>E47++E51+E53+E49+E55</f>
        <v>12000</v>
      </c>
    </row>
    <row r="57" spans="1:5">
      <c r="A57" s="21" t="s">
        <v>5</v>
      </c>
      <c r="B57" s="22"/>
      <c r="D57" s="23"/>
      <c r="E57" s="24">
        <f>E46+E50+E52+E48+E54</f>
        <v>480000</v>
      </c>
    </row>
    <row r="58" spans="1:5">
      <c r="A58" s="25"/>
      <c r="B58" s="22"/>
      <c r="D58" s="23"/>
      <c r="E58" s="26"/>
    </row>
    <row r="59" spans="1:5" ht="13.5" thickBot="1">
      <c r="A59" s="27" t="s">
        <v>6</v>
      </c>
      <c r="B59" s="28">
        <f>SUM(B46:B55)</f>
        <v>16000</v>
      </c>
      <c r="C59" s="29"/>
      <c r="D59" s="30"/>
      <c r="E59" s="31">
        <f>E57-E56</f>
        <v>468000</v>
      </c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9"/>
  <sheetViews>
    <sheetView zoomScale="85" zoomScaleNormal="85" workbookViewId="0">
      <selection sqref="A1:IV65536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customWidth="1"/>
    <col min="5" max="5" width="15.28515625" style="126" customWidth="1"/>
    <col min="6" max="6" width="5.7109375" customWidth="1"/>
    <col min="7" max="8" width="16.7109375" customWidth="1"/>
    <col min="9" max="9" width="15.28515625" customWidth="1"/>
    <col min="10" max="10" width="12.28515625" customWidth="1"/>
    <col min="11" max="12" width="11.42578125" customWidth="1"/>
    <col min="13" max="13" width="4.7109375" customWidth="1"/>
    <col min="14" max="15" width="11.42578125" customWidth="1"/>
    <col min="16" max="16" width="6.7109375" customWidth="1"/>
    <col min="17" max="17" width="12.7109375" customWidth="1"/>
    <col min="18" max="256" width="11.42578125" customWidth="1"/>
  </cols>
  <sheetData>
    <row r="1" spans="1:11" ht="27" customHeight="1" thickBot="1">
      <c r="A1" s="1" t="s">
        <v>0</v>
      </c>
      <c r="B1" s="280"/>
      <c r="C1" s="281"/>
      <c r="D1" s="281"/>
      <c r="E1" s="282"/>
    </row>
    <row r="2" spans="1:11" ht="15.75">
      <c r="A2" s="34" t="s">
        <v>7</v>
      </c>
      <c r="B2" s="35"/>
      <c r="D2" s="36"/>
      <c r="E2" s="37"/>
      <c r="I2" s="205"/>
    </row>
    <row r="3" spans="1:11">
      <c r="A3" s="38" t="s">
        <v>8</v>
      </c>
      <c r="B3" s="35"/>
      <c r="D3" s="36"/>
      <c r="E3" s="37"/>
      <c r="I3" s="206"/>
      <c r="K3" s="206"/>
    </row>
    <row r="4" spans="1:11">
      <c r="A4" s="38" t="s">
        <v>9</v>
      </c>
      <c r="B4" s="44">
        <f>C36+D36</f>
        <v>20.260683760683762</v>
      </c>
      <c r="C4" s="8" t="s">
        <v>3</v>
      </c>
      <c r="D4" s="45">
        <v>10000</v>
      </c>
      <c r="E4" s="37">
        <f>B4*D4</f>
        <v>202606.83760683762</v>
      </c>
      <c r="F4" s="11"/>
      <c r="I4" s="206"/>
    </row>
    <row r="5" spans="1:11">
      <c r="A5" s="38" t="s">
        <v>10</v>
      </c>
      <c r="B5" s="46"/>
      <c r="C5" s="47">
        <v>3.7499999999999999E-2</v>
      </c>
      <c r="D5" s="36">
        <f>D4*C5</f>
        <v>375</v>
      </c>
      <c r="E5" s="48">
        <f>D5*B4</f>
        <v>7597.7564102564102</v>
      </c>
      <c r="F5" s="11"/>
      <c r="I5" s="206"/>
    </row>
    <row r="6" spans="1:11" ht="13.5" thickBot="1">
      <c r="A6" s="38"/>
      <c r="B6" s="46"/>
      <c r="C6" s="49" t="s">
        <v>11</v>
      </c>
      <c r="D6" s="40">
        <f>D4-D5</f>
        <v>9625</v>
      </c>
      <c r="E6" s="50">
        <f>E4-E5</f>
        <v>195009.08119658122</v>
      </c>
      <c r="G6" s="207"/>
      <c r="I6" s="206"/>
    </row>
    <row r="7" spans="1:11">
      <c r="A7" s="51" t="s">
        <v>12</v>
      </c>
      <c r="B7" s="52" t="s">
        <v>13</v>
      </c>
      <c r="C7" s="4" t="s">
        <v>14</v>
      </c>
      <c r="D7" s="53" t="s">
        <v>15</v>
      </c>
      <c r="E7" s="5"/>
      <c r="I7" s="206"/>
    </row>
    <row r="8" spans="1:11">
      <c r="A8" s="38" t="s">
        <v>16</v>
      </c>
      <c r="B8" s="54">
        <v>18</v>
      </c>
      <c r="C8" s="55">
        <v>6</v>
      </c>
      <c r="D8" s="56">
        <v>2.5</v>
      </c>
      <c r="E8" s="37"/>
      <c r="F8" s="11"/>
      <c r="G8" s="11"/>
      <c r="H8" s="11"/>
      <c r="I8" s="206"/>
    </row>
    <row r="9" spans="1:11">
      <c r="A9" s="38" t="s">
        <v>17</v>
      </c>
      <c r="B9" s="54">
        <v>0.2</v>
      </c>
      <c r="C9" s="55">
        <v>0.5</v>
      </c>
      <c r="D9" s="56">
        <v>0.5</v>
      </c>
      <c r="E9" s="37"/>
      <c r="F9" s="11"/>
      <c r="G9" s="11"/>
      <c r="H9" s="11">
        <v>37</v>
      </c>
      <c r="I9" s="206"/>
    </row>
    <row r="10" spans="1:11">
      <c r="A10" s="38" t="s">
        <v>18</v>
      </c>
      <c r="B10" s="54">
        <v>13</v>
      </c>
      <c r="C10" s="57"/>
      <c r="D10" s="58"/>
      <c r="E10" s="37"/>
      <c r="H10" s="216">
        <v>1.2500000000000001E-2</v>
      </c>
      <c r="I10" s="206"/>
    </row>
    <row r="11" spans="1:11">
      <c r="A11" s="38" t="s">
        <v>19</v>
      </c>
      <c r="B11" s="35"/>
      <c r="D11" s="36"/>
      <c r="E11" s="37"/>
      <c r="H11">
        <f>H9*H10</f>
        <v>0.46250000000000002</v>
      </c>
      <c r="I11" s="206"/>
    </row>
    <row r="12" spans="1:11">
      <c r="A12" s="12" t="s">
        <v>20</v>
      </c>
      <c r="B12" s="59">
        <f>(B8*C36) + (C8*D36)</f>
        <v>234.02564102564105</v>
      </c>
      <c r="C12" s="8" t="s">
        <v>3</v>
      </c>
      <c r="D12" s="45">
        <v>500</v>
      </c>
      <c r="E12" s="60">
        <f>B12*D12</f>
        <v>117012.82051282053</v>
      </c>
      <c r="F12" s="11"/>
      <c r="I12" s="206"/>
    </row>
    <row r="13" spans="1:11" ht="13.5" thickBot="1">
      <c r="A13" s="61" t="s">
        <v>21</v>
      </c>
      <c r="B13" s="62">
        <f>(B9*C36)+(C9*D36)</f>
        <v>7.3188034188034194</v>
      </c>
      <c r="C13" s="63" t="s">
        <v>3</v>
      </c>
      <c r="D13" s="64">
        <v>750</v>
      </c>
      <c r="E13" s="65">
        <f>B13*D13</f>
        <v>5489.1025641025644</v>
      </c>
      <c r="F13" s="11"/>
      <c r="I13" s="206"/>
    </row>
    <row r="14" spans="1:11">
      <c r="A14" s="32"/>
      <c r="B14" s="3"/>
      <c r="C14" s="4"/>
      <c r="D14" s="33"/>
      <c r="E14" s="5"/>
      <c r="F14" s="66"/>
      <c r="I14" s="206"/>
    </row>
    <row r="15" spans="1:11">
      <c r="A15" s="38" t="s">
        <v>22</v>
      </c>
      <c r="B15" s="35"/>
      <c r="D15" s="36"/>
      <c r="E15" s="67">
        <v>5000</v>
      </c>
      <c r="F15" s="66"/>
      <c r="G15" s="68"/>
      <c r="H15" s="68"/>
      <c r="I15" s="206"/>
    </row>
    <row r="16" spans="1:11">
      <c r="A16" s="38"/>
      <c r="B16" s="35"/>
      <c r="D16" s="36"/>
      <c r="E16" s="37"/>
      <c r="F16" s="11"/>
      <c r="I16" s="206"/>
    </row>
    <row r="17" spans="1:10" ht="15.75">
      <c r="A17" s="69" t="s">
        <v>23</v>
      </c>
      <c r="B17" s="35"/>
      <c r="D17" s="18">
        <v>1500</v>
      </c>
      <c r="E17" s="70">
        <f>((D17*12)/365)*B4</f>
        <v>999.15700737618545</v>
      </c>
      <c r="F17" s="11"/>
      <c r="I17" s="205"/>
    </row>
    <row r="18" spans="1:10" ht="13.5" thickBot="1">
      <c r="A18" s="71"/>
      <c r="B18" s="72"/>
      <c r="C18" s="63"/>
      <c r="D18" s="73"/>
      <c r="E18" s="74"/>
      <c r="I18" s="206"/>
    </row>
    <row r="19" spans="1:10">
      <c r="A19" s="75" t="s">
        <v>24</v>
      </c>
      <c r="B19" s="76" t="s">
        <v>25</v>
      </c>
      <c r="C19" s="77" t="s">
        <v>26</v>
      </c>
      <c r="D19" s="78" t="s">
        <v>27</v>
      </c>
      <c r="E19" s="5"/>
    </row>
    <row r="20" spans="1:10">
      <c r="A20" s="82"/>
      <c r="B20" s="87"/>
      <c r="C20" s="88"/>
      <c r="D20" s="89"/>
      <c r="E20" s="90"/>
      <c r="G20">
        <v>37.5</v>
      </c>
      <c r="H20">
        <v>15000</v>
      </c>
      <c r="I20" s="208">
        <f>H20*G20</f>
        <v>562500</v>
      </c>
      <c r="J20" s="91"/>
    </row>
    <row r="21" spans="1:10">
      <c r="A21" s="92"/>
      <c r="B21" s="93"/>
      <c r="C21" s="94">
        <f>B21/$B$10/24</f>
        <v>0</v>
      </c>
      <c r="D21" s="95"/>
      <c r="E21" s="96"/>
      <c r="G21">
        <v>40</v>
      </c>
      <c r="H21">
        <v>8000</v>
      </c>
      <c r="I21" s="208">
        <f>H21*G21</f>
        <v>320000</v>
      </c>
    </row>
    <row r="22" spans="1:10">
      <c r="A22" s="92"/>
      <c r="B22" s="93"/>
      <c r="C22" s="94">
        <f t="shared" ref="C22:C29" si="0">B22/$B$10/24</f>
        <v>0</v>
      </c>
      <c r="D22" s="98"/>
      <c r="E22" s="99"/>
      <c r="G22">
        <f>I22/H22</f>
        <v>34.642857142857146</v>
      </c>
      <c r="H22" s="215">
        <f>H20-H21</f>
        <v>7000</v>
      </c>
      <c r="I22" s="215">
        <f>I20-I21</f>
        <v>242500</v>
      </c>
      <c r="J22" s="91"/>
    </row>
    <row r="23" spans="1:10">
      <c r="A23" s="128" t="s">
        <v>96</v>
      </c>
      <c r="B23" s="93"/>
      <c r="C23" s="94">
        <f t="shared" si="0"/>
        <v>0</v>
      </c>
      <c r="D23" s="98"/>
      <c r="E23" s="99"/>
      <c r="H23" s="132"/>
      <c r="I23" s="91"/>
      <c r="J23" s="91"/>
    </row>
    <row r="24" spans="1:10">
      <c r="A24" s="128" t="s">
        <v>97</v>
      </c>
      <c r="B24" s="93">
        <v>367</v>
      </c>
      <c r="C24" s="94">
        <f t="shared" si="0"/>
        <v>1.1762820512820513</v>
      </c>
      <c r="D24" s="98">
        <f>B46/150/24+0.25</f>
        <v>2.4722222222222223</v>
      </c>
      <c r="E24" s="99">
        <v>23000</v>
      </c>
      <c r="F24">
        <v>8000</v>
      </c>
      <c r="G24" s="132" t="s">
        <v>98</v>
      </c>
      <c r="H24" s="132"/>
      <c r="I24" s="91"/>
      <c r="J24" s="91"/>
    </row>
    <row r="25" spans="1:10">
      <c r="A25" s="128" t="s">
        <v>29</v>
      </c>
      <c r="B25" s="93">
        <v>503</v>
      </c>
      <c r="C25" s="94">
        <f t="shared" si="0"/>
        <v>1.6121794871794872</v>
      </c>
      <c r="D25" s="98">
        <f>D24</f>
        <v>2.4722222222222223</v>
      </c>
      <c r="E25" s="99">
        <v>17000</v>
      </c>
      <c r="G25" s="132"/>
      <c r="H25" s="132"/>
      <c r="I25" s="91"/>
      <c r="J25" s="91"/>
    </row>
    <row r="26" spans="1:10">
      <c r="A26" s="128" t="s">
        <v>97</v>
      </c>
      <c r="B26" s="93">
        <v>503</v>
      </c>
      <c r="C26" s="94">
        <f t="shared" si="0"/>
        <v>1.6121794871794872</v>
      </c>
      <c r="D26" s="98">
        <f>D25</f>
        <v>2.4722222222222223</v>
      </c>
      <c r="E26" s="99">
        <v>25000</v>
      </c>
      <c r="G26" s="132"/>
      <c r="H26" s="132"/>
      <c r="I26" s="91"/>
      <c r="J26" s="91"/>
    </row>
    <row r="27" spans="1:10">
      <c r="A27" s="128" t="s">
        <v>99</v>
      </c>
      <c r="B27" s="93">
        <v>1395</v>
      </c>
      <c r="C27" s="94">
        <f t="shared" si="0"/>
        <v>4.4711538461538458</v>
      </c>
      <c r="D27" s="98">
        <f>D26</f>
        <v>2.4722222222222223</v>
      </c>
      <c r="E27" s="217">
        <v>25000</v>
      </c>
      <c r="F27" s="132" t="s">
        <v>100</v>
      </c>
      <c r="G27" s="132"/>
      <c r="H27" s="132"/>
      <c r="I27" s="91"/>
      <c r="J27" s="91"/>
    </row>
    <row r="28" spans="1:10">
      <c r="A28" s="128" t="s">
        <v>97</v>
      </c>
      <c r="B28" s="93"/>
      <c r="C28" s="94">
        <f t="shared" si="0"/>
        <v>0</v>
      </c>
      <c r="D28" s="98"/>
      <c r="E28" s="99"/>
      <c r="G28" s="132"/>
      <c r="H28" s="132"/>
      <c r="I28" s="91"/>
      <c r="J28" s="91"/>
    </row>
    <row r="29" spans="1:10">
      <c r="A29" s="92"/>
      <c r="B29" s="93"/>
      <c r="C29" s="94">
        <f t="shared" si="0"/>
        <v>0</v>
      </c>
      <c r="D29" s="98"/>
      <c r="E29" s="99"/>
      <c r="G29" s="132"/>
      <c r="H29" s="132"/>
      <c r="I29" s="91"/>
      <c r="J29" s="91"/>
    </row>
    <row r="30" spans="1:10">
      <c r="A30" s="92"/>
      <c r="B30" s="93"/>
      <c r="C30" s="94">
        <f>B30/B10/24</f>
        <v>0</v>
      </c>
      <c r="D30" s="98"/>
      <c r="E30" s="99"/>
      <c r="G30" s="132"/>
      <c r="H30" s="132"/>
      <c r="I30" s="91"/>
      <c r="J30" s="91"/>
    </row>
    <row r="31" spans="1:10">
      <c r="A31" s="92"/>
      <c r="B31" s="93"/>
      <c r="C31" s="94">
        <f>B31/B10/24</f>
        <v>0</v>
      </c>
      <c r="D31" s="98"/>
      <c r="E31" s="99"/>
      <c r="G31" s="132"/>
      <c r="H31" s="132"/>
      <c r="I31" s="91"/>
      <c r="J31" s="91"/>
    </row>
    <row r="32" spans="1:10">
      <c r="A32" s="92"/>
      <c r="B32" s="93"/>
      <c r="C32" s="94">
        <f>B32/B10/24</f>
        <v>0</v>
      </c>
      <c r="D32" s="98"/>
      <c r="E32" s="99"/>
      <c r="I32" s="91"/>
      <c r="J32" s="91"/>
    </row>
    <row r="33" spans="1:17">
      <c r="A33" s="92"/>
      <c r="B33" s="100"/>
      <c r="C33" s="94">
        <f>B33/B10/24</f>
        <v>0</v>
      </c>
      <c r="D33" s="98"/>
      <c r="E33" s="101"/>
      <c r="I33" s="91"/>
      <c r="J33" s="91"/>
    </row>
    <row r="34" spans="1:17">
      <c r="A34" s="12" t="s">
        <v>40</v>
      </c>
      <c r="B34" s="102">
        <f>SUM(B20:B33)</f>
        <v>2768</v>
      </c>
      <c r="D34" s="35"/>
      <c r="E34" s="37"/>
    </row>
    <row r="35" spans="1:17">
      <c r="A35" s="12" t="s">
        <v>41</v>
      </c>
      <c r="B35" s="103"/>
      <c r="C35" s="104">
        <v>0.5</v>
      </c>
      <c r="D35" s="105">
        <v>1</v>
      </c>
      <c r="E35" s="37"/>
    </row>
    <row r="36" spans="1:17" ht="13.5" thickBot="1">
      <c r="A36" s="106" t="s">
        <v>42</v>
      </c>
      <c r="B36" s="107"/>
      <c r="C36" s="108">
        <f>SUM(C21:C35)</f>
        <v>9.3717948717948723</v>
      </c>
      <c r="D36" s="108">
        <f>SUM(D22:D35)</f>
        <v>10.888888888888889</v>
      </c>
      <c r="E36" s="109">
        <f>SUM(E20:E33)</f>
        <v>90000</v>
      </c>
      <c r="F36" s="68">
        <f>D36+C36</f>
        <v>20.260683760683762</v>
      </c>
    </row>
    <row r="37" spans="1:17">
      <c r="A37" s="110" t="s">
        <v>43</v>
      </c>
      <c r="B37" s="3"/>
      <c r="C37" s="4"/>
      <c r="D37" s="33"/>
      <c r="E37" s="111">
        <v>2500</v>
      </c>
      <c r="F37" s="11"/>
    </row>
    <row r="38" spans="1:17">
      <c r="A38" s="112" t="s">
        <v>88</v>
      </c>
      <c r="B38" s="35"/>
      <c r="D38" s="113"/>
      <c r="E38" s="67"/>
      <c r="F38" s="11"/>
    </row>
    <row r="39" spans="1:17">
      <c r="A39" s="38" t="s">
        <v>51</v>
      </c>
      <c r="B39" s="35"/>
      <c r="D39" s="35"/>
      <c r="E39" s="67">
        <v>5000</v>
      </c>
      <c r="F39" s="11"/>
      <c r="O39" s="208"/>
      <c r="P39" s="207"/>
      <c r="Q39" s="208"/>
    </row>
    <row r="40" spans="1:17">
      <c r="A40" s="38" t="s">
        <v>52</v>
      </c>
      <c r="B40" s="35"/>
      <c r="D40" s="114"/>
      <c r="E40" s="67"/>
      <c r="F40" s="11"/>
      <c r="O40" s="208"/>
      <c r="P40" s="207"/>
      <c r="Q40" s="208"/>
    </row>
    <row r="41" spans="1:17" ht="13.5" thickBot="1">
      <c r="A41" s="27" t="s">
        <v>53</v>
      </c>
      <c r="B41" s="115"/>
      <c r="C41" s="116"/>
      <c r="D41" s="115"/>
      <c r="E41" s="117">
        <f>E6+E12+E13+E15+E17+E36+E37+E38+E39+E40</f>
        <v>421010.16128088051</v>
      </c>
      <c r="F41" s="118"/>
      <c r="O41" s="208"/>
      <c r="P41" s="207"/>
      <c r="Q41" s="208"/>
    </row>
    <row r="42" spans="1:17" ht="15.75">
      <c r="A42" s="119" t="s">
        <v>54</v>
      </c>
      <c r="B42" s="120"/>
      <c r="C42" s="121"/>
      <c r="D42" s="120"/>
      <c r="E42" s="122">
        <f>E59-E41</f>
        <v>46989.838719119492</v>
      </c>
      <c r="O42" s="208"/>
      <c r="P42" s="207"/>
      <c r="Q42" s="208"/>
    </row>
    <row r="43" spans="1:17" ht="13.5" thickBot="1">
      <c r="A43" s="123">
        <f ca="1">NOW()</f>
        <v>46205.416867939814</v>
      </c>
      <c r="B43" s="72"/>
      <c r="C43" s="63"/>
      <c r="D43" s="124" t="s">
        <v>55</v>
      </c>
      <c r="E43" s="65">
        <f>-(E41-E4-E59)/B4</f>
        <v>12319.262235873015</v>
      </c>
      <c r="O43" s="208"/>
      <c r="P43" s="207"/>
      <c r="Q43" s="208"/>
    </row>
    <row r="44" spans="1:17" ht="13.5" thickBot="1">
      <c r="A44" s="125"/>
      <c r="B44" s="35"/>
      <c r="D44" s="35"/>
      <c r="E44" s="35"/>
      <c r="P44" s="207"/>
    </row>
    <row r="45" spans="1:17" ht="15.75">
      <c r="A45" s="2" t="s">
        <v>1</v>
      </c>
      <c r="B45" s="3"/>
      <c r="C45" s="4"/>
      <c r="D45" s="3"/>
      <c r="E45" s="5"/>
    </row>
    <row r="46" spans="1:17">
      <c r="A46" s="213" t="s">
        <v>89</v>
      </c>
      <c r="B46" s="7">
        <v>8000</v>
      </c>
      <c r="D46" s="9">
        <v>30</v>
      </c>
      <c r="E46" s="10">
        <f>D46*B46</f>
        <v>240000</v>
      </c>
    </row>
    <row r="47" spans="1:17">
      <c r="A47" s="12" t="s">
        <v>2</v>
      </c>
      <c r="B47" s="13"/>
      <c r="C47" s="8" t="s">
        <v>3</v>
      </c>
      <c r="D47" s="14">
        <v>2.5000000000000001E-2</v>
      </c>
      <c r="E47" s="10">
        <f>E46*D47</f>
        <v>6000</v>
      </c>
    </row>
    <row r="48" spans="1:17">
      <c r="A48" s="213" t="s">
        <v>90</v>
      </c>
      <c r="B48" s="7">
        <f>B46</f>
        <v>8000</v>
      </c>
      <c r="D48" s="9">
        <f>D46</f>
        <v>30</v>
      </c>
      <c r="E48" s="10">
        <f>D48*B48</f>
        <v>240000</v>
      </c>
    </row>
    <row r="49" spans="1:5">
      <c r="A49" s="12" t="s">
        <v>2</v>
      </c>
      <c r="B49" s="13"/>
      <c r="C49" s="8" t="s">
        <v>3</v>
      </c>
      <c r="D49" s="14">
        <v>2.5000000000000001E-2</v>
      </c>
      <c r="E49" s="10">
        <f>E48*D49</f>
        <v>6000</v>
      </c>
    </row>
    <row r="50" spans="1:5">
      <c r="A50" s="213" t="s">
        <v>91</v>
      </c>
      <c r="B50" s="7"/>
      <c r="C50" s="8" t="s">
        <v>92</v>
      </c>
      <c r="D50" s="9">
        <v>40</v>
      </c>
      <c r="E50" s="10">
        <f>D50*B50</f>
        <v>0</v>
      </c>
    </row>
    <row r="51" spans="1:5">
      <c r="A51" s="12" t="s">
        <v>2</v>
      </c>
      <c r="B51" s="13"/>
      <c r="C51" s="8" t="s">
        <v>3</v>
      </c>
      <c r="D51" s="19">
        <v>2.5000000000000001E-2</v>
      </c>
      <c r="E51" s="10">
        <f>E50*D51</f>
        <v>0</v>
      </c>
    </row>
    <row r="52" spans="1:5">
      <c r="A52" s="214" t="s">
        <v>93</v>
      </c>
      <c r="B52" s="7"/>
      <c r="D52" s="20">
        <v>70</v>
      </c>
      <c r="E52" s="10">
        <f>D52*B52</f>
        <v>0</v>
      </c>
    </row>
    <row r="53" spans="1:5">
      <c r="A53" s="12" t="s">
        <v>2</v>
      </c>
      <c r="B53" s="13"/>
      <c r="C53" s="8" t="s">
        <v>3</v>
      </c>
      <c r="D53" s="19">
        <v>2.5000000000000001E-2</v>
      </c>
      <c r="E53" s="10">
        <f>E52*D53</f>
        <v>0</v>
      </c>
    </row>
    <row r="54" spans="1:5">
      <c r="A54" s="214" t="s">
        <v>94</v>
      </c>
      <c r="B54" s="7"/>
      <c r="D54" s="20">
        <v>45</v>
      </c>
      <c r="E54" s="10">
        <f>D54*B54</f>
        <v>0</v>
      </c>
    </row>
    <row r="55" spans="1:5">
      <c r="A55" s="12" t="s">
        <v>2</v>
      </c>
      <c r="B55" s="13"/>
      <c r="C55" s="8" t="s">
        <v>3</v>
      </c>
      <c r="D55" s="19">
        <v>2.5000000000000001E-2</v>
      </c>
      <c r="E55" s="10">
        <f>E54*D55</f>
        <v>0</v>
      </c>
    </row>
    <row r="56" spans="1:5">
      <c r="A56" s="21" t="s">
        <v>4</v>
      </c>
      <c r="B56" s="22"/>
      <c r="D56" s="23"/>
      <c r="E56" s="24">
        <f>E47++E51+E53+E49+E55</f>
        <v>12000</v>
      </c>
    </row>
    <row r="57" spans="1:5">
      <c r="A57" s="21" t="s">
        <v>5</v>
      </c>
      <c r="B57" s="22"/>
      <c r="D57" s="23"/>
      <c r="E57" s="24">
        <f>E46+E50+E52+E48+E54</f>
        <v>480000</v>
      </c>
    </row>
    <row r="58" spans="1:5">
      <c r="A58" s="25"/>
      <c r="B58" s="22"/>
      <c r="D58" s="23"/>
      <c r="E58" s="26"/>
    </row>
    <row r="59" spans="1:5" ht="13.5" thickBot="1">
      <c r="A59" s="27" t="s">
        <v>6</v>
      </c>
      <c r="B59" s="28">
        <f>SUM(B46:B55)</f>
        <v>16000</v>
      </c>
      <c r="C59" s="29"/>
      <c r="D59" s="30"/>
      <c r="E59" s="31">
        <f>E57-E56</f>
        <v>468000</v>
      </c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49"/>
  <sheetViews>
    <sheetView zoomScale="70" zoomScaleNormal="70" workbookViewId="0">
      <selection activeCell="E34" sqref="E34"/>
    </sheetView>
  </sheetViews>
  <sheetFormatPr defaultRowHeight="12.75"/>
  <cols>
    <col min="1" max="1" width="9.5703125" customWidth="1"/>
    <col min="2" max="2" width="23.7109375" bestFit="1" customWidth="1"/>
    <col min="3" max="3" width="13.5703125" bestFit="1" customWidth="1"/>
    <col min="4" max="4" width="8.42578125" customWidth="1"/>
    <col min="5" max="5" width="15.28515625" bestFit="1" customWidth="1"/>
    <col min="6" max="6" width="10.28515625" customWidth="1"/>
    <col min="7" max="7" width="11.42578125" customWidth="1"/>
    <col min="8" max="8" width="20" style="8" bestFit="1" customWidth="1"/>
    <col min="9" max="9" width="3.5703125" customWidth="1"/>
    <col min="10" max="10" width="26.42578125" bestFit="1" customWidth="1"/>
    <col min="11" max="11" width="14.28515625" style="8" bestFit="1" customWidth="1"/>
    <col min="12" max="12" width="14.7109375" style="8" bestFit="1" customWidth="1"/>
    <col min="13" max="13" width="15.28515625" bestFit="1" customWidth="1"/>
    <col min="14" max="14" width="15.5703125" bestFit="1" customWidth="1"/>
    <col min="15" max="256" width="11.42578125" customWidth="1"/>
  </cols>
  <sheetData>
    <row r="3" spans="1:14">
      <c r="B3" s="285" t="s">
        <v>101</v>
      </c>
      <c r="C3" s="285"/>
      <c r="E3" s="285" t="s">
        <v>102</v>
      </c>
      <c r="F3" s="285"/>
      <c r="G3" s="285"/>
      <c r="H3" s="285"/>
      <c r="J3" s="285" t="s">
        <v>103</v>
      </c>
      <c r="K3" s="285"/>
      <c r="L3" s="285"/>
    </row>
    <row r="4" spans="1:14" ht="13.5" thickBot="1">
      <c r="K4"/>
      <c r="L4"/>
    </row>
    <row r="5" spans="1:14">
      <c r="B5" s="134" t="s">
        <v>104</v>
      </c>
      <c r="C5" s="142">
        <v>48000</v>
      </c>
      <c r="E5" s="148"/>
      <c r="F5" s="149" t="s">
        <v>105</v>
      </c>
      <c r="G5" s="149" t="s">
        <v>106</v>
      </c>
      <c r="H5" s="188" t="s">
        <v>107</v>
      </c>
      <c r="J5" s="134" t="s">
        <v>108</v>
      </c>
      <c r="K5" s="149" t="s">
        <v>82</v>
      </c>
      <c r="L5" s="149" t="s">
        <v>109</v>
      </c>
      <c r="M5" s="149" t="s">
        <v>110</v>
      </c>
      <c r="N5" s="168" t="s">
        <v>111</v>
      </c>
    </row>
    <row r="6" spans="1:14">
      <c r="B6" s="135" t="s">
        <v>112</v>
      </c>
      <c r="C6" s="143">
        <v>19.75</v>
      </c>
      <c r="E6" s="135" t="s">
        <v>113</v>
      </c>
      <c r="F6" s="150">
        <v>6000</v>
      </c>
      <c r="G6" s="151" t="s">
        <v>114</v>
      </c>
      <c r="H6" s="152">
        <v>4</v>
      </c>
      <c r="J6" s="156" t="s">
        <v>115</v>
      </c>
      <c r="K6" s="160"/>
      <c r="L6" s="161">
        <f>K6/C32/24</f>
        <v>0</v>
      </c>
      <c r="M6" s="162"/>
      <c r="N6" s="163"/>
    </row>
    <row r="7" spans="1:14">
      <c r="A7" s="11"/>
      <c r="B7" s="135" t="s">
        <v>116</v>
      </c>
      <c r="C7" s="136">
        <f>C6*C5</f>
        <v>948000</v>
      </c>
      <c r="E7" s="135" t="s">
        <v>117</v>
      </c>
      <c r="F7" s="150">
        <v>7500</v>
      </c>
      <c r="G7" s="151" t="s">
        <v>118</v>
      </c>
      <c r="H7" s="152">
        <v>1</v>
      </c>
      <c r="J7" s="156" t="s">
        <v>30</v>
      </c>
      <c r="K7" s="160">
        <v>4554</v>
      </c>
      <c r="L7" s="161">
        <f>K7/$C$23/24</f>
        <v>15.18</v>
      </c>
      <c r="M7" s="162">
        <f>H14</f>
        <v>7.875</v>
      </c>
      <c r="N7" s="163">
        <v>90000</v>
      </c>
    </row>
    <row r="8" spans="1:14">
      <c r="A8" s="11"/>
      <c r="B8" s="135" t="s">
        <v>119</v>
      </c>
      <c r="C8" s="136">
        <f>C7*1.25%</f>
        <v>11850</v>
      </c>
      <c r="E8" s="135" t="s">
        <v>120</v>
      </c>
      <c r="F8" s="150">
        <v>7500</v>
      </c>
      <c r="G8" s="151" t="s">
        <v>118</v>
      </c>
      <c r="H8" s="152">
        <v>0.5</v>
      </c>
      <c r="J8" s="156" t="s">
        <v>32</v>
      </c>
      <c r="K8" s="160">
        <v>4267</v>
      </c>
      <c r="L8" s="161">
        <f>K8/$C$23/24</f>
        <v>14.223333333333334</v>
      </c>
      <c r="M8" s="162">
        <f>H15</f>
        <v>1.4</v>
      </c>
      <c r="N8" s="163">
        <v>35000</v>
      </c>
    </row>
    <row r="9" spans="1:14" ht="13.5" thickBot="1">
      <c r="B9" s="169" t="s">
        <v>121</v>
      </c>
      <c r="C9" s="179">
        <f>C7-C8</f>
        <v>936150</v>
      </c>
      <c r="E9" s="137" t="s">
        <v>122</v>
      </c>
      <c r="F9" s="153">
        <v>7500</v>
      </c>
      <c r="G9" s="154" t="s">
        <v>118</v>
      </c>
      <c r="H9" s="155">
        <v>0.5</v>
      </c>
      <c r="J9" s="156" t="s">
        <v>72</v>
      </c>
      <c r="K9" s="160">
        <v>956</v>
      </c>
      <c r="L9" s="161">
        <f>K9/$C$23/24</f>
        <v>3.186666666666667</v>
      </c>
      <c r="M9" s="162">
        <f>H16</f>
        <v>5.0166666666666666</v>
      </c>
      <c r="N9" s="163">
        <v>33000</v>
      </c>
    </row>
    <row r="10" spans="1:14">
      <c r="J10" s="147"/>
      <c r="K10" s="133"/>
      <c r="L10" s="133"/>
      <c r="M10" s="133"/>
      <c r="N10" s="164"/>
    </row>
    <row r="11" spans="1:14">
      <c r="B11" s="285" t="s">
        <v>123</v>
      </c>
      <c r="C11" s="285"/>
      <c r="E11" s="285" t="s">
        <v>124</v>
      </c>
      <c r="F11" s="285"/>
      <c r="G11" s="285"/>
      <c r="H11" s="285"/>
      <c r="J11" s="135" t="s">
        <v>125</v>
      </c>
      <c r="K11" s="138"/>
      <c r="L11" s="150"/>
      <c r="M11" s="167">
        <f>SUM(M7:M10)</f>
        <v>14.291666666666668</v>
      </c>
      <c r="N11" s="141"/>
    </row>
    <row r="12" spans="1:14" ht="13.5" thickBot="1">
      <c r="J12" s="135" t="s">
        <v>126</v>
      </c>
      <c r="K12" s="138"/>
      <c r="L12" s="150">
        <v>1</v>
      </c>
      <c r="M12" s="150">
        <f>SUM(H6:H9)</f>
        <v>6</v>
      </c>
      <c r="N12" s="141"/>
    </row>
    <row r="13" spans="1:14" ht="13.5" thickBot="1">
      <c r="B13" s="134" t="s">
        <v>127</v>
      </c>
      <c r="C13" s="139">
        <v>8988</v>
      </c>
      <c r="E13" s="148"/>
      <c r="F13" s="149" t="s">
        <v>104</v>
      </c>
      <c r="G13" s="149" t="s">
        <v>128</v>
      </c>
      <c r="H13" s="188" t="s">
        <v>129</v>
      </c>
      <c r="J13" s="171" t="s">
        <v>130</v>
      </c>
      <c r="K13" s="182"/>
      <c r="L13" s="183">
        <f>SUM(L6:L12)</f>
        <v>33.590000000000003</v>
      </c>
      <c r="M13" s="183"/>
      <c r="N13" s="184">
        <f>SUM(N6:N12)</f>
        <v>158000</v>
      </c>
    </row>
    <row r="14" spans="1:14">
      <c r="B14" s="135" t="s">
        <v>131</v>
      </c>
      <c r="C14" s="140">
        <v>3.7499999999999999E-2</v>
      </c>
      <c r="D14" s="132"/>
      <c r="E14" s="135" t="s">
        <v>30</v>
      </c>
      <c r="F14" s="138">
        <f>F19</f>
        <v>45000</v>
      </c>
      <c r="G14" s="138">
        <f>F14*1.05</f>
        <v>47250</v>
      </c>
      <c r="H14" s="200">
        <f>(G14/F6)</f>
        <v>7.875</v>
      </c>
    </row>
    <row r="15" spans="1:14" ht="13.5" thickBot="1">
      <c r="A15" s="68"/>
      <c r="B15" s="135" t="s">
        <v>132</v>
      </c>
      <c r="C15" s="141">
        <f>C13-(C13*C14)</f>
        <v>8650.9500000000007</v>
      </c>
      <c r="E15" s="135" t="s">
        <v>32</v>
      </c>
      <c r="F15" s="138">
        <v>10000</v>
      </c>
      <c r="G15" s="138">
        <f>F15*1.05</f>
        <v>10500</v>
      </c>
      <c r="H15" s="200">
        <f>(G15/F7)</f>
        <v>1.4</v>
      </c>
    </row>
    <row r="16" spans="1:14">
      <c r="B16" s="135" t="s">
        <v>133</v>
      </c>
      <c r="C16" s="159">
        <f>L13+M11+M12</f>
        <v>53.881666666666675</v>
      </c>
      <c r="E16" s="135" t="s">
        <v>72</v>
      </c>
      <c r="F16" s="138">
        <v>35000</v>
      </c>
      <c r="G16" s="138">
        <f>F16*1.075</f>
        <v>37625</v>
      </c>
      <c r="H16" s="200">
        <f>(G16/F8)</f>
        <v>5.0166666666666666</v>
      </c>
      <c r="J16" s="134" t="s">
        <v>134</v>
      </c>
      <c r="K16" s="173">
        <f>C18</f>
        <v>466127.60425000009</v>
      </c>
      <c r="L16" s="185">
        <f>K16/$K$20</f>
        <v>0.32276045487471333</v>
      </c>
      <c r="M16" s="189" t="s">
        <v>55</v>
      </c>
    </row>
    <row r="17" spans="1:13">
      <c r="B17" s="135" t="s">
        <v>135</v>
      </c>
      <c r="C17" s="166">
        <f>C13*C16</f>
        <v>484288.4200000001</v>
      </c>
      <c r="E17" s="147"/>
      <c r="F17" s="138"/>
      <c r="G17" s="138"/>
      <c r="H17" s="152"/>
      <c r="J17" s="135" t="s">
        <v>136</v>
      </c>
      <c r="K17" s="165">
        <f>E38</f>
        <v>813562.96250000002</v>
      </c>
      <c r="L17" s="186">
        <f>K17/$K$20</f>
        <v>0.56333490969328126</v>
      </c>
      <c r="M17" s="283">
        <f>(K20-C17-C9)/C16</f>
        <v>440.82056512728639</v>
      </c>
    </row>
    <row r="18" spans="1:13" ht="13.5" thickBot="1">
      <c r="B18" s="169" t="s">
        <v>137</v>
      </c>
      <c r="C18" s="170">
        <f>C15*C16</f>
        <v>466127.60425000009</v>
      </c>
      <c r="E18" s="147"/>
      <c r="F18" s="138"/>
      <c r="G18" s="138"/>
      <c r="H18" s="152"/>
      <c r="J18" s="135" t="s">
        <v>111</v>
      </c>
      <c r="K18" s="165">
        <f>N13</f>
        <v>158000</v>
      </c>
      <c r="L18" s="186">
        <f>K18/$K$20</f>
        <v>0.10940384436630303</v>
      </c>
      <c r="M18" s="283"/>
    </row>
    <row r="19" spans="1:13" ht="13.5" thickBot="1">
      <c r="E19" s="169" t="s">
        <v>138</v>
      </c>
      <c r="F19" s="180">
        <f>SUM(F15:F18)</f>
        <v>45000</v>
      </c>
      <c r="G19" s="180">
        <f>SUM(G15:G18)</f>
        <v>48125</v>
      </c>
      <c r="H19" s="201">
        <f>SUM(H14:H18)</f>
        <v>14.291666666666668</v>
      </c>
      <c r="J19" s="135" t="s">
        <v>139</v>
      </c>
      <c r="K19" s="165">
        <f>C44</f>
        <v>6500</v>
      </c>
      <c r="L19" s="186">
        <f>K19/$K$20</f>
        <v>4.5007910657023399E-3</v>
      </c>
      <c r="M19" s="283"/>
    </row>
    <row r="20" spans="1:13" ht="13.5" thickBot="1">
      <c r="B20" s="288" t="s">
        <v>140</v>
      </c>
      <c r="C20" s="288"/>
      <c r="J20" s="171" t="s">
        <v>138</v>
      </c>
      <c r="K20" s="174">
        <f>SUM(K16:K19)</f>
        <v>1444190.5667500002</v>
      </c>
      <c r="L20" s="187">
        <f>SUM(L16:L19)</f>
        <v>0.99999999999999989</v>
      </c>
      <c r="M20" s="284"/>
    </row>
    <row r="21" spans="1:13" s="81" customFormat="1" ht="13.5" thickBot="1">
      <c r="H21" s="144"/>
    </row>
    <row r="22" spans="1:13" s="81" customFormat="1" ht="12.75" customHeight="1">
      <c r="A22" s="86"/>
      <c r="B22" s="145"/>
      <c r="C22" s="192" t="s">
        <v>141</v>
      </c>
      <c r="D22" s="192"/>
      <c r="E22" s="146"/>
      <c r="H22" s="144"/>
      <c r="J22" s="196" t="s">
        <v>142</v>
      </c>
      <c r="K22" s="197"/>
      <c r="L22" s="189"/>
    </row>
    <row r="23" spans="1:13">
      <c r="A23" s="91"/>
      <c r="B23" s="158" t="s">
        <v>143</v>
      </c>
      <c r="C23" s="193">
        <v>12.5</v>
      </c>
      <c r="D23" s="193" t="s">
        <v>144</v>
      </c>
      <c r="E23" s="157"/>
      <c r="J23" s="198" t="s">
        <v>145</v>
      </c>
      <c r="K23" s="199"/>
      <c r="L23" s="190">
        <f>C9</f>
        <v>936150</v>
      </c>
    </row>
    <row r="24" spans="1:13">
      <c r="A24" s="91"/>
      <c r="B24" s="158"/>
      <c r="C24" s="193" t="s">
        <v>104</v>
      </c>
      <c r="D24" s="193" t="s">
        <v>146</v>
      </c>
      <c r="E24" s="157" t="s">
        <v>147</v>
      </c>
      <c r="J24" s="198" t="s">
        <v>148</v>
      </c>
      <c r="K24" s="199"/>
      <c r="L24" s="191">
        <f>K20</f>
        <v>1444190.5667500002</v>
      </c>
    </row>
    <row r="25" spans="1:13" ht="13.5" thickBot="1">
      <c r="A25" s="91"/>
      <c r="B25" s="135" t="s">
        <v>149</v>
      </c>
      <c r="C25" s="194">
        <v>33</v>
      </c>
      <c r="D25" s="194">
        <f>L13</f>
        <v>33.590000000000003</v>
      </c>
      <c r="E25" s="166">
        <f>C25*D25</f>
        <v>1108.47</v>
      </c>
      <c r="J25" s="278" t="s">
        <v>138</v>
      </c>
      <c r="K25" s="279"/>
      <c r="L25" s="179">
        <f>L23-L24</f>
        <v>-508040.56675000023</v>
      </c>
    </row>
    <row r="26" spans="1:13">
      <c r="A26" s="91"/>
      <c r="B26" s="135" t="s">
        <v>150</v>
      </c>
      <c r="C26" s="194">
        <v>6</v>
      </c>
      <c r="D26" s="194">
        <f>M11</f>
        <v>14.291666666666668</v>
      </c>
      <c r="E26" s="166">
        <f>C26*D26</f>
        <v>85.75</v>
      </c>
      <c r="H26" s="204" t="e">
        <f>#REF!+L25</f>
        <v>#REF!</v>
      </c>
      <c r="K26"/>
      <c r="L26"/>
    </row>
    <row r="27" spans="1:13">
      <c r="A27" s="91"/>
      <c r="B27" s="135" t="s">
        <v>151</v>
      </c>
      <c r="C27" s="194">
        <v>0.2</v>
      </c>
      <c r="D27" s="194">
        <f>M12</f>
        <v>6</v>
      </c>
      <c r="E27" s="166">
        <f>C27*D27</f>
        <v>1.2000000000000002</v>
      </c>
      <c r="J27" s="285" t="s">
        <v>152</v>
      </c>
      <c r="K27" s="285"/>
      <c r="L27" s="285"/>
    </row>
    <row r="28" spans="1:13" ht="13.5" thickBot="1">
      <c r="A28" s="91"/>
      <c r="B28" s="135" t="s">
        <v>153</v>
      </c>
      <c r="C28" s="194"/>
      <c r="D28" s="194"/>
      <c r="E28" s="166">
        <f>SUM(E25:E27)</f>
        <v>1195.42</v>
      </c>
      <c r="K28"/>
      <c r="L28"/>
    </row>
    <row r="29" spans="1:13">
      <c r="A29" s="91"/>
      <c r="B29" s="147"/>
      <c r="C29" s="194"/>
      <c r="D29" s="194"/>
      <c r="E29" s="166"/>
      <c r="J29" s="286" t="s">
        <v>154</v>
      </c>
      <c r="K29" s="287"/>
      <c r="L29" s="175">
        <f>K20/C5</f>
        <v>30.08730347395834</v>
      </c>
    </row>
    <row r="30" spans="1:13">
      <c r="A30" s="91"/>
      <c r="B30" s="135" t="s">
        <v>155</v>
      </c>
      <c r="C30" s="194">
        <v>0</v>
      </c>
      <c r="D30" s="194">
        <f>D25</f>
        <v>33.590000000000003</v>
      </c>
      <c r="E30" s="166">
        <f>C30*D30</f>
        <v>0</v>
      </c>
      <c r="J30" s="293" t="s">
        <v>156</v>
      </c>
      <c r="K30" s="294"/>
      <c r="L30" s="178">
        <f>(L29-C6)*C5</f>
        <v>496190.56675000029</v>
      </c>
    </row>
    <row r="31" spans="1:13">
      <c r="A31" s="91"/>
      <c r="B31" s="135" t="s">
        <v>157</v>
      </c>
      <c r="C31" s="194">
        <v>0.5</v>
      </c>
      <c r="D31" s="194">
        <f>D26</f>
        <v>14.291666666666668</v>
      </c>
      <c r="E31" s="166">
        <f>C31*D31</f>
        <v>7.1458333333333339</v>
      </c>
      <c r="J31" s="21"/>
      <c r="K31"/>
      <c r="L31" s="176"/>
    </row>
    <row r="32" spans="1:13">
      <c r="A32" s="91"/>
      <c r="B32" s="135" t="s">
        <v>158</v>
      </c>
      <c r="C32" s="194">
        <v>0.5</v>
      </c>
      <c r="D32" s="194">
        <f>D27</f>
        <v>6</v>
      </c>
      <c r="E32" s="166">
        <f>C32*D32</f>
        <v>3</v>
      </c>
      <c r="J32" s="289" t="s">
        <v>159</v>
      </c>
      <c r="K32" s="290"/>
      <c r="L32" s="159">
        <v>30</v>
      </c>
    </row>
    <row r="33" spans="1:12" ht="13.5" thickBot="1">
      <c r="A33" s="91"/>
      <c r="B33" s="135" t="s">
        <v>160</v>
      </c>
      <c r="C33" s="194"/>
      <c r="D33" s="194"/>
      <c r="E33" s="166">
        <f>SUM(E30:E32)</f>
        <v>10.145833333333334</v>
      </c>
      <c r="J33" s="291" t="s">
        <v>161</v>
      </c>
      <c r="K33" s="292"/>
      <c r="L33" s="177">
        <f>(L32-C6)*C5</f>
        <v>492000</v>
      </c>
    </row>
    <row r="34" spans="1:12">
      <c r="A34" s="91"/>
      <c r="B34" s="147"/>
      <c r="C34" s="194"/>
      <c r="D34" s="194"/>
      <c r="E34" s="166"/>
    </row>
    <row r="35" spans="1:12">
      <c r="A35" s="91"/>
      <c r="B35" s="202" t="s">
        <v>162</v>
      </c>
      <c r="C35" s="203">
        <v>670</v>
      </c>
      <c r="D35" s="194">
        <f>E28</f>
        <v>1195.42</v>
      </c>
      <c r="E35" s="166">
        <f>D35*C35</f>
        <v>800931.4</v>
      </c>
    </row>
    <row r="36" spans="1:12">
      <c r="A36" s="91"/>
      <c r="B36" s="202" t="s">
        <v>163</v>
      </c>
      <c r="C36" s="203">
        <v>1245</v>
      </c>
      <c r="D36" s="194">
        <f>E33</f>
        <v>10.145833333333334</v>
      </c>
      <c r="E36" s="166">
        <f>D36*C36</f>
        <v>12631.5625</v>
      </c>
    </row>
    <row r="37" spans="1:12">
      <c r="A37" s="91"/>
      <c r="B37" s="147"/>
      <c r="C37" s="150"/>
      <c r="D37" s="150"/>
      <c r="E37" s="141"/>
    </row>
    <row r="38" spans="1:12" ht="13.5" thickBot="1">
      <c r="B38" s="171" t="s">
        <v>164</v>
      </c>
      <c r="C38" s="195"/>
      <c r="D38" s="195"/>
      <c r="E38" s="172">
        <f>E35+E36</f>
        <v>813562.96250000002</v>
      </c>
    </row>
    <row r="40" spans="1:12">
      <c r="B40" s="285" t="s">
        <v>165</v>
      </c>
      <c r="C40" s="285"/>
    </row>
    <row r="41" spans="1:12" ht="13.5" thickBot="1">
      <c r="K41"/>
    </row>
    <row r="42" spans="1:12">
      <c r="B42" s="134" t="s">
        <v>166</v>
      </c>
      <c r="C42" s="139">
        <v>4500</v>
      </c>
      <c r="D42" s="132"/>
      <c r="K42"/>
    </row>
    <row r="43" spans="1:12">
      <c r="B43" s="135" t="s">
        <v>167</v>
      </c>
      <c r="C43" s="141">
        <v>2000</v>
      </c>
      <c r="K43"/>
    </row>
    <row r="44" spans="1:12" ht="13.5" thickBot="1">
      <c r="B44" s="171" t="s">
        <v>138</v>
      </c>
      <c r="C44" s="181">
        <f>SUM(C42:C43)</f>
        <v>6500</v>
      </c>
      <c r="K44"/>
    </row>
    <row r="45" spans="1:12">
      <c r="K45"/>
    </row>
    <row r="46" spans="1:12">
      <c r="K46"/>
    </row>
    <row r="47" spans="1:12">
      <c r="K47"/>
    </row>
    <row r="48" spans="1:12">
      <c r="K48"/>
    </row>
    <row r="49" spans="11:11">
      <c r="K49"/>
    </row>
  </sheetData>
  <mergeCells count="13">
    <mergeCell ref="B3:C3"/>
    <mergeCell ref="B11:C11"/>
    <mergeCell ref="B20:C20"/>
    <mergeCell ref="B40:C40"/>
    <mergeCell ref="J3:L3"/>
    <mergeCell ref="J32:K32"/>
    <mergeCell ref="J33:K33"/>
    <mergeCell ref="J30:K30"/>
    <mergeCell ref="M17:M20"/>
    <mergeCell ref="E3:H3"/>
    <mergeCell ref="E11:H11"/>
    <mergeCell ref="J27:L27"/>
    <mergeCell ref="J29:K29"/>
  </mergeCells>
  <pageMargins left="0.39370078740157483" right="0.39370078740157483" top="0.55118110236220474" bottom="0.59055118110236227" header="0.35433070866141736" footer="0.51181102362204722"/>
  <pageSetup paperSize="9" scale="7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0"/>
  <sheetViews>
    <sheetView zoomScale="85" zoomScaleNormal="85" workbookViewId="0">
      <selection activeCell="F5" sqref="F5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6" width="5.7109375" bestFit="1" customWidth="1"/>
    <col min="7" max="8" width="16.7109375" customWidth="1"/>
    <col min="9" max="9" width="15.28515625" bestFit="1" customWidth="1"/>
    <col min="10" max="10" width="12.28515625" customWidth="1"/>
    <col min="11" max="12" width="11.42578125" customWidth="1"/>
    <col min="13" max="13" width="4.7109375" bestFit="1" customWidth="1"/>
    <col min="14" max="15" width="11.42578125" customWidth="1"/>
    <col min="16" max="16" width="6.7109375" bestFit="1" customWidth="1"/>
    <col min="17" max="17" width="12.7109375" bestFit="1" customWidth="1"/>
    <col min="18" max="256" width="11.42578125" customWidth="1"/>
  </cols>
  <sheetData>
    <row r="1" spans="1:11" ht="27" customHeight="1" thickBot="1">
      <c r="A1" s="1" t="s">
        <v>0</v>
      </c>
      <c r="B1" s="280"/>
      <c r="C1" s="281"/>
      <c r="D1" s="281"/>
      <c r="E1" s="282"/>
    </row>
    <row r="2" spans="1:11" ht="15.75">
      <c r="A2" s="34" t="s">
        <v>7</v>
      </c>
      <c r="B2" s="35"/>
      <c r="D2" s="36"/>
      <c r="E2" s="37"/>
      <c r="I2" s="205"/>
    </row>
    <row r="3" spans="1:11">
      <c r="A3" s="38" t="s">
        <v>8</v>
      </c>
      <c r="B3" s="35"/>
      <c r="D3" s="36"/>
      <c r="E3" s="37"/>
      <c r="I3" s="206" t="s">
        <v>168</v>
      </c>
      <c r="K3" s="206" t="s">
        <v>169</v>
      </c>
    </row>
    <row r="4" spans="1:11">
      <c r="A4" s="38" t="s">
        <v>9</v>
      </c>
      <c r="B4" s="44">
        <f>C35+D35</f>
        <v>44.83653846153846</v>
      </c>
      <c r="C4" s="8" t="s">
        <v>3</v>
      </c>
      <c r="D4" s="45">
        <v>15000</v>
      </c>
      <c r="E4" s="37">
        <f>B4*D4</f>
        <v>672548.07692307688</v>
      </c>
      <c r="F4" s="11"/>
      <c r="I4" s="206" t="s">
        <v>170</v>
      </c>
    </row>
    <row r="5" spans="1:11">
      <c r="A5" s="38" t="s">
        <v>10</v>
      </c>
      <c r="B5" s="46"/>
      <c r="C5" s="47">
        <v>3.7499999999999999E-2</v>
      </c>
      <c r="D5" s="36">
        <f>D4*C5</f>
        <v>562.5</v>
      </c>
      <c r="E5" s="48">
        <f>D5*B4</f>
        <v>25220.552884615383</v>
      </c>
      <c r="F5" s="11"/>
      <c r="I5" s="206" t="s">
        <v>171</v>
      </c>
    </row>
    <row r="6" spans="1:11" ht="13.5" thickBot="1">
      <c r="A6" s="38"/>
      <c r="B6" s="46"/>
      <c r="C6" s="49" t="s">
        <v>11</v>
      </c>
      <c r="D6" s="40">
        <f>D4-D5</f>
        <v>14437.5</v>
      </c>
      <c r="E6" s="50">
        <f>E4-E5</f>
        <v>647327.5240384615</v>
      </c>
      <c r="I6" s="206" t="s">
        <v>172</v>
      </c>
    </row>
    <row r="7" spans="1:11">
      <c r="A7" s="51" t="s">
        <v>12</v>
      </c>
      <c r="B7" s="52" t="s">
        <v>13</v>
      </c>
      <c r="C7" s="4" t="s">
        <v>14</v>
      </c>
      <c r="D7" s="53" t="s">
        <v>15</v>
      </c>
      <c r="E7" s="5"/>
      <c r="I7" s="206" t="s">
        <v>173</v>
      </c>
    </row>
    <row r="8" spans="1:11">
      <c r="A8" s="38" t="s">
        <v>16</v>
      </c>
      <c r="B8" s="54">
        <v>28</v>
      </c>
      <c r="C8" s="55">
        <v>6</v>
      </c>
      <c r="D8" s="56">
        <v>2.5</v>
      </c>
      <c r="E8" s="37"/>
      <c r="F8" s="11"/>
      <c r="G8" s="11"/>
      <c r="H8" s="11"/>
      <c r="I8" s="206" t="s">
        <v>174</v>
      </c>
    </row>
    <row r="9" spans="1:11">
      <c r="A9" s="38" t="s">
        <v>17</v>
      </c>
      <c r="B9" s="54">
        <v>0.2</v>
      </c>
      <c r="C9" s="55">
        <v>0.5</v>
      </c>
      <c r="D9" s="56">
        <v>0.5</v>
      </c>
      <c r="E9" s="37"/>
      <c r="F9" s="11"/>
      <c r="G9" s="11"/>
      <c r="H9" s="11"/>
      <c r="I9" s="206" t="s">
        <v>175</v>
      </c>
    </row>
    <row r="10" spans="1:11">
      <c r="A10" s="38" t="s">
        <v>18</v>
      </c>
      <c r="B10" s="54">
        <v>13</v>
      </c>
      <c r="C10" s="57"/>
      <c r="D10" s="58"/>
      <c r="E10" s="37"/>
      <c r="I10" s="206" t="s">
        <v>176</v>
      </c>
    </row>
    <row r="11" spans="1:11">
      <c r="A11" s="38" t="s">
        <v>19</v>
      </c>
      <c r="B11" s="35"/>
      <c r="D11" s="36"/>
      <c r="E11" s="37"/>
      <c r="I11" s="206" t="s">
        <v>177</v>
      </c>
    </row>
    <row r="12" spans="1:11">
      <c r="A12" s="12" t="s">
        <v>20</v>
      </c>
      <c r="B12" s="59">
        <f>(B8*C35) + (C8*D35)</f>
        <v>940.08974358974342</v>
      </c>
      <c r="C12" s="8" t="s">
        <v>3</v>
      </c>
      <c r="D12" s="45">
        <v>360</v>
      </c>
      <c r="E12" s="60">
        <f>B12*D12</f>
        <v>338432.30769230763</v>
      </c>
      <c r="F12" s="11"/>
      <c r="I12" s="206" t="s">
        <v>178</v>
      </c>
    </row>
    <row r="13" spans="1:11" ht="13.5" thickBot="1">
      <c r="A13" s="61" t="s">
        <v>21</v>
      </c>
      <c r="B13" s="62">
        <f>(B9*C35)+(C9*D35)</f>
        <v>13.267307692307693</v>
      </c>
      <c r="C13" s="63" t="s">
        <v>3</v>
      </c>
      <c r="D13" s="64">
        <v>750</v>
      </c>
      <c r="E13" s="65">
        <f>B13*D13</f>
        <v>9950.4807692307695</v>
      </c>
      <c r="F13" s="11"/>
      <c r="I13" s="206" t="s">
        <v>179</v>
      </c>
    </row>
    <row r="14" spans="1:11">
      <c r="A14" s="32"/>
      <c r="B14" s="3"/>
      <c r="C14" s="4"/>
      <c r="D14" s="33"/>
      <c r="E14" s="5"/>
      <c r="F14" s="66"/>
      <c r="I14" s="206" t="s">
        <v>180</v>
      </c>
    </row>
    <row r="15" spans="1:11">
      <c r="A15" s="38" t="s">
        <v>22</v>
      </c>
      <c r="B15" s="35"/>
      <c r="D15" s="36"/>
      <c r="E15" s="67">
        <v>5000</v>
      </c>
      <c r="F15" s="66"/>
      <c r="G15" s="68"/>
      <c r="H15" s="68"/>
      <c r="I15" s="206" t="s">
        <v>181</v>
      </c>
    </row>
    <row r="16" spans="1:11">
      <c r="A16" s="38"/>
      <c r="B16" s="35"/>
      <c r="D16" s="36"/>
      <c r="E16" s="37"/>
      <c r="F16" s="11"/>
      <c r="I16" s="206" t="s">
        <v>182</v>
      </c>
    </row>
    <row r="17" spans="1:10" ht="15.75">
      <c r="A17" s="69" t="s">
        <v>23</v>
      </c>
      <c r="B17" s="35"/>
      <c r="D17" s="18">
        <v>1500</v>
      </c>
      <c r="E17" s="70">
        <f>((D17*12)/365)*B4</f>
        <v>2211.1169652265539</v>
      </c>
      <c r="F17" s="11"/>
      <c r="I17" s="205"/>
    </row>
    <row r="18" spans="1:10" ht="13.5" thickBot="1">
      <c r="A18" s="71"/>
      <c r="B18" s="72"/>
      <c r="C18" s="63"/>
      <c r="D18" s="73"/>
      <c r="E18" s="74"/>
      <c r="I18" s="206"/>
    </row>
    <row r="19" spans="1:10">
      <c r="A19" s="75" t="s">
        <v>24</v>
      </c>
      <c r="B19" s="76" t="s">
        <v>25</v>
      </c>
      <c r="C19" s="77" t="s">
        <v>26</v>
      </c>
      <c r="D19" s="78" t="s">
        <v>27</v>
      </c>
      <c r="E19" s="5"/>
    </row>
    <row r="20" spans="1:10">
      <c r="A20" s="82"/>
      <c r="B20" s="87"/>
      <c r="C20" s="88"/>
      <c r="D20" s="89"/>
      <c r="E20" s="90"/>
      <c r="I20" s="91"/>
      <c r="J20" s="91" t="s">
        <v>28</v>
      </c>
    </row>
    <row r="21" spans="1:10">
      <c r="A21" s="92"/>
      <c r="B21" s="93"/>
      <c r="C21" s="94">
        <f>B21/B10/24</f>
        <v>0</v>
      </c>
      <c r="D21" s="95"/>
      <c r="E21" s="96"/>
      <c r="I21" s="91"/>
      <c r="J21" s="97">
        <v>42738</v>
      </c>
    </row>
    <row r="22" spans="1:10">
      <c r="A22" s="92"/>
      <c r="B22" s="93"/>
      <c r="C22" s="94">
        <f>B22/B10/24</f>
        <v>0</v>
      </c>
      <c r="D22" s="98"/>
      <c r="E22" s="99"/>
      <c r="I22" s="91">
        <f t="shared" ref="I22:I32" si="0">J21+C21</f>
        <v>42738</v>
      </c>
      <c r="J22" s="91">
        <f t="shared" ref="J22:J32" si="1">I22+D22</f>
        <v>42738</v>
      </c>
    </row>
    <row r="23" spans="1:10">
      <c r="A23" s="92" t="s">
        <v>183</v>
      </c>
      <c r="B23" s="93"/>
      <c r="C23" s="94">
        <f>B23/B10/24</f>
        <v>0</v>
      </c>
      <c r="D23" s="98"/>
      <c r="E23" s="99"/>
      <c r="H23" s="132" t="s">
        <v>184</v>
      </c>
      <c r="I23" s="91">
        <f t="shared" si="0"/>
        <v>42738</v>
      </c>
      <c r="J23" s="91">
        <f t="shared" si="1"/>
        <v>42738</v>
      </c>
    </row>
    <row r="24" spans="1:10">
      <c r="A24" s="92" t="s">
        <v>185</v>
      </c>
      <c r="B24" s="93">
        <v>4278</v>
      </c>
      <c r="C24" s="94">
        <f>B24/B10/24</f>
        <v>13.711538461538462</v>
      </c>
      <c r="D24" s="98"/>
      <c r="E24" s="99"/>
      <c r="F24">
        <v>8000</v>
      </c>
      <c r="G24" s="132" t="s">
        <v>98</v>
      </c>
      <c r="H24" s="132">
        <v>3</v>
      </c>
      <c r="I24" s="91">
        <f>J23+C23</f>
        <v>42738</v>
      </c>
      <c r="J24" s="91">
        <f t="shared" si="1"/>
        <v>42738</v>
      </c>
    </row>
    <row r="25" spans="1:10">
      <c r="A25" s="92" t="s">
        <v>186</v>
      </c>
      <c r="B25" s="93">
        <v>232</v>
      </c>
      <c r="C25" s="94">
        <f>B25/B10/24</f>
        <v>0.74358974358974361</v>
      </c>
      <c r="D25" s="98">
        <f>40000/F24+H24</f>
        <v>8</v>
      </c>
      <c r="E25" s="99">
        <v>190000</v>
      </c>
      <c r="G25" s="132"/>
      <c r="H25" s="132"/>
      <c r="I25" s="91">
        <f>J24+C24</f>
        <v>42751.711538461539</v>
      </c>
      <c r="J25" s="91">
        <f t="shared" si="1"/>
        <v>42759.711538461539</v>
      </c>
    </row>
    <row r="26" spans="1:10">
      <c r="A26" s="92" t="s">
        <v>187</v>
      </c>
      <c r="B26" s="93"/>
      <c r="C26" s="94">
        <f>B26/B10/24</f>
        <v>0</v>
      </c>
      <c r="D26" s="98"/>
      <c r="E26" s="99">
        <v>20000</v>
      </c>
      <c r="F26">
        <v>7500</v>
      </c>
      <c r="G26" s="132" t="s">
        <v>188</v>
      </c>
      <c r="H26" s="132">
        <v>0.5</v>
      </c>
      <c r="I26" s="91">
        <f t="shared" si="0"/>
        <v>42760.455128205125</v>
      </c>
      <c r="J26" s="91">
        <f t="shared" si="1"/>
        <v>42760.455128205125</v>
      </c>
    </row>
    <row r="27" spans="1:10">
      <c r="A27" s="92" t="s">
        <v>29</v>
      </c>
      <c r="B27" s="93">
        <v>4248</v>
      </c>
      <c r="C27" s="94">
        <f>B27/B10/24</f>
        <v>13.615384615384615</v>
      </c>
      <c r="D27" s="98">
        <f>30000/7500</f>
        <v>4</v>
      </c>
      <c r="E27" s="99">
        <v>33000</v>
      </c>
      <c r="F27">
        <v>7500</v>
      </c>
      <c r="G27" s="132" t="s">
        <v>188</v>
      </c>
      <c r="H27" s="132">
        <v>0.5</v>
      </c>
      <c r="I27" s="91">
        <f t="shared" si="0"/>
        <v>42760.455128205125</v>
      </c>
      <c r="J27" s="91">
        <f t="shared" si="1"/>
        <v>42764.455128205125</v>
      </c>
    </row>
    <row r="28" spans="1:10">
      <c r="A28" s="92" t="s">
        <v>72</v>
      </c>
      <c r="B28" s="93">
        <v>447</v>
      </c>
      <c r="C28" s="94">
        <f>B28/B10/24</f>
        <v>1.4326923076923077</v>
      </c>
      <c r="D28" s="98">
        <f>10000/7500</f>
        <v>1.3333333333333333</v>
      </c>
      <c r="E28" s="99">
        <v>33000</v>
      </c>
      <c r="F28">
        <v>7500</v>
      </c>
      <c r="G28" s="132" t="s">
        <v>188</v>
      </c>
      <c r="H28" s="132">
        <v>0.5</v>
      </c>
      <c r="I28" s="91">
        <f t="shared" si="0"/>
        <v>42778.070512820508</v>
      </c>
      <c r="J28" s="91">
        <f t="shared" si="1"/>
        <v>42779.403846153844</v>
      </c>
    </row>
    <row r="29" spans="1:10">
      <c r="A29" s="92"/>
      <c r="B29" s="93"/>
      <c r="C29" s="94">
        <f>B29/B10/24</f>
        <v>0</v>
      </c>
      <c r="D29" s="98"/>
      <c r="E29" s="99"/>
      <c r="F29">
        <v>7500</v>
      </c>
      <c r="G29" s="132" t="s">
        <v>188</v>
      </c>
      <c r="H29" s="132">
        <v>0.5</v>
      </c>
      <c r="I29" s="91">
        <f t="shared" si="0"/>
        <v>42780.836538461539</v>
      </c>
      <c r="J29" s="91">
        <f t="shared" si="1"/>
        <v>42780.836538461539</v>
      </c>
    </row>
    <row r="30" spans="1:10">
      <c r="A30" s="92"/>
      <c r="B30" s="93"/>
      <c r="C30" s="94">
        <f>B30/B10/24</f>
        <v>0</v>
      </c>
      <c r="D30" s="98"/>
      <c r="E30" s="99"/>
      <c r="F30">
        <v>4500</v>
      </c>
      <c r="G30" s="132" t="s">
        <v>188</v>
      </c>
      <c r="H30" s="132">
        <v>0.5</v>
      </c>
      <c r="I30" s="91">
        <f t="shared" si="0"/>
        <v>42780.836538461539</v>
      </c>
      <c r="J30" s="91">
        <f t="shared" si="1"/>
        <v>42780.836538461539</v>
      </c>
    </row>
    <row r="31" spans="1:10">
      <c r="A31" s="92"/>
      <c r="B31" s="93"/>
      <c r="C31" s="94">
        <f>B31/B10/24</f>
        <v>0</v>
      </c>
      <c r="D31" s="98"/>
      <c r="E31" s="99"/>
      <c r="I31" s="91">
        <f t="shared" si="0"/>
        <v>42780.836538461539</v>
      </c>
      <c r="J31" s="91">
        <f t="shared" si="1"/>
        <v>42780.836538461539</v>
      </c>
    </row>
    <row r="32" spans="1:10">
      <c r="A32" s="92"/>
      <c r="B32" s="100"/>
      <c r="C32" s="94">
        <f>B32/B10/24</f>
        <v>0</v>
      </c>
      <c r="D32" s="98"/>
      <c r="E32" s="101"/>
      <c r="I32" s="91">
        <f t="shared" si="0"/>
        <v>42780.836538461539</v>
      </c>
      <c r="J32" s="91">
        <f t="shared" si="1"/>
        <v>42780.836538461539</v>
      </c>
    </row>
    <row r="33" spans="1:18">
      <c r="A33" s="12" t="s">
        <v>40</v>
      </c>
      <c r="B33" s="102">
        <f>SUM(B20:B32)</f>
        <v>9205</v>
      </c>
      <c r="D33" s="35"/>
      <c r="E33" s="37"/>
    </row>
    <row r="34" spans="1:18">
      <c r="A34" s="12" t="s">
        <v>41</v>
      </c>
      <c r="B34" s="103"/>
      <c r="C34" s="104">
        <v>1</v>
      </c>
      <c r="D34" s="105">
        <v>1</v>
      </c>
      <c r="E34" s="37"/>
    </row>
    <row r="35" spans="1:18" ht="13.5" thickBot="1">
      <c r="A35" s="106" t="s">
        <v>42</v>
      </c>
      <c r="B35" s="107"/>
      <c r="C35" s="108">
        <f>SUM(C21:C34)</f>
        <v>30.503205128205124</v>
      </c>
      <c r="D35" s="108">
        <f>SUM(D22:D34)</f>
        <v>14.333333333333334</v>
      </c>
      <c r="E35" s="109">
        <f>SUM(E20:E32)</f>
        <v>276000</v>
      </c>
      <c r="H35">
        <f>30+24</f>
        <v>54</v>
      </c>
    </row>
    <row r="36" spans="1:18">
      <c r="A36" s="110" t="s">
        <v>43</v>
      </c>
      <c r="B36" s="3"/>
      <c r="C36" s="4"/>
      <c r="D36" s="33"/>
      <c r="E36" s="111">
        <v>2500</v>
      </c>
      <c r="F36" s="11"/>
    </row>
    <row r="37" spans="1:18">
      <c r="A37" s="112" t="s">
        <v>88</v>
      </c>
      <c r="B37" s="35"/>
      <c r="D37" s="113"/>
      <c r="E37" s="67"/>
      <c r="F37" s="11"/>
    </row>
    <row r="38" spans="1:18">
      <c r="A38" s="38" t="s">
        <v>51</v>
      </c>
      <c r="B38" s="35"/>
      <c r="D38" s="35"/>
      <c r="E38" s="67">
        <v>5000</v>
      </c>
      <c r="F38" s="11"/>
      <c r="O38" s="208">
        <v>49500</v>
      </c>
      <c r="P38" s="207">
        <v>34.74</v>
      </c>
      <c r="Q38" s="208">
        <f>P38*O38</f>
        <v>1719630</v>
      </c>
    </row>
    <row r="39" spans="1:18">
      <c r="A39" s="38" t="s">
        <v>52</v>
      </c>
      <c r="B39" s="35"/>
      <c r="D39" s="114"/>
      <c r="E39" s="67"/>
      <c r="F39" s="11"/>
      <c r="O39" s="208"/>
      <c r="P39" s="207"/>
      <c r="Q39" s="208">
        <v>-60000</v>
      </c>
      <c r="R39" t="s">
        <v>99</v>
      </c>
    </row>
    <row r="40" spans="1:18" ht="13.5" thickBot="1">
      <c r="A40" s="27" t="s">
        <v>53</v>
      </c>
      <c r="B40" s="115"/>
      <c r="C40" s="116"/>
      <c r="D40" s="115"/>
      <c r="E40" s="117">
        <f>E6+E12+E13+E15+E17+E35+E36+E37+E38+E39</f>
        <v>1286421.4294652264</v>
      </c>
      <c r="F40" s="118"/>
      <c r="O40" s="208"/>
      <c r="P40" s="207"/>
      <c r="Q40" s="208">
        <f>-(276/12/24)*25000</f>
        <v>-23958.333333333336</v>
      </c>
      <c r="R40" t="s">
        <v>189</v>
      </c>
    </row>
    <row r="41" spans="1:18" ht="15.75">
      <c r="A41" s="119" t="s">
        <v>54</v>
      </c>
      <c r="B41" s="120"/>
      <c r="C41" s="121"/>
      <c r="D41" s="120"/>
      <c r="E41" s="122">
        <f>E54-E40</f>
        <v>-26421.429465226363</v>
      </c>
      <c r="L41">
        <v>48500</v>
      </c>
      <c r="O41" s="208"/>
      <c r="P41" s="207"/>
      <c r="Q41" s="208">
        <f>-((49500/7500)-(49500/10000)+0.5)*25000</f>
        <v>-53749.999999999985</v>
      </c>
      <c r="R41" t="s">
        <v>190</v>
      </c>
    </row>
    <row r="42" spans="1:18" ht="13.5" thickBot="1">
      <c r="A42" s="123">
        <f ca="1">NOW()</f>
        <v>46205.416867939814</v>
      </c>
      <c r="B42" s="72"/>
      <c r="C42" s="63"/>
      <c r="D42" s="124" t="s">
        <v>55</v>
      </c>
      <c r="E42" s="65">
        <f>-(E40-E4-E54)/B4</f>
        <v>14410.716563503422</v>
      </c>
      <c r="O42" s="208">
        <f>O38</f>
        <v>49500</v>
      </c>
      <c r="P42" s="207">
        <f>Q42/O42</f>
        <v>31.958013468013469</v>
      </c>
      <c r="Q42" s="208">
        <f>SUM(Q38:Q41)</f>
        <v>1581921.6666666667</v>
      </c>
    </row>
    <row r="43" spans="1:18" ht="13.5" thickBot="1">
      <c r="A43" s="125"/>
      <c r="B43" s="35"/>
      <c r="D43" s="35"/>
      <c r="E43" s="35"/>
      <c r="P43" s="207">
        <f>P42-P38</f>
        <v>-2.7819865319865329</v>
      </c>
    </row>
    <row r="44" spans="1:18" ht="15.75">
      <c r="A44" s="2" t="s">
        <v>1</v>
      </c>
      <c r="B44" s="3"/>
      <c r="C44" s="4"/>
      <c r="D44" s="3"/>
      <c r="E44" s="5"/>
    </row>
    <row r="45" spans="1:18">
      <c r="A45" s="6"/>
      <c r="B45" s="7">
        <v>42000</v>
      </c>
      <c r="D45" s="9">
        <v>30</v>
      </c>
      <c r="E45" s="10">
        <f>D45*B45</f>
        <v>1260000</v>
      </c>
      <c r="H45">
        <v>362000</v>
      </c>
    </row>
    <row r="46" spans="1:18">
      <c r="A46" s="12" t="s">
        <v>2</v>
      </c>
      <c r="B46" s="13"/>
      <c r="C46" s="8" t="s">
        <v>3</v>
      </c>
      <c r="D46" s="14"/>
      <c r="E46" s="10">
        <f>E45*D46</f>
        <v>0</v>
      </c>
      <c r="G46">
        <v>49500</v>
      </c>
      <c r="H46">
        <v>34.75</v>
      </c>
      <c r="I46" t="s">
        <v>191</v>
      </c>
      <c r="J46">
        <f>G46*H46</f>
        <v>1720125</v>
      </c>
    </row>
    <row r="47" spans="1:18">
      <c r="A47" s="6"/>
      <c r="B47" s="7"/>
      <c r="C47" s="8" t="s">
        <v>92</v>
      </c>
      <c r="D47" s="18"/>
      <c r="E47" s="10">
        <f>D47*B47</f>
        <v>0</v>
      </c>
    </row>
    <row r="48" spans="1:18">
      <c r="A48" s="12" t="s">
        <v>2</v>
      </c>
      <c r="B48" s="13"/>
      <c r="C48" s="8" t="s">
        <v>3</v>
      </c>
      <c r="D48" s="19"/>
      <c r="E48" s="10">
        <f>E47*D48</f>
        <v>0</v>
      </c>
      <c r="G48">
        <v>30000</v>
      </c>
      <c r="H48">
        <v>36</v>
      </c>
      <c r="I48" t="s">
        <v>192</v>
      </c>
    </row>
    <row r="49" spans="1:13">
      <c r="A49" s="15"/>
      <c r="B49" s="7"/>
      <c r="D49" s="20"/>
      <c r="E49" s="10">
        <f>D49*B49</f>
        <v>0</v>
      </c>
    </row>
    <row r="50" spans="1:13">
      <c r="A50" s="12" t="s">
        <v>2</v>
      </c>
      <c r="B50" s="13"/>
      <c r="C50" s="8" t="s">
        <v>3</v>
      </c>
      <c r="D50" s="19"/>
      <c r="E50" s="10">
        <f>E49*D50</f>
        <v>0</v>
      </c>
    </row>
    <row r="51" spans="1:13">
      <c r="A51" s="21" t="s">
        <v>4</v>
      </c>
      <c r="B51" s="22"/>
      <c r="D51" s="23"/>
      <c r="E51" s="24">
        <f>E46++E48+E50</f>
        <v>0</v>
      </c>
    </row>
    <row r="52" spans="1:13">
      <c r="A52" s="21" t="s">
        <v>5</v>
      </c>
      <c r="B52" s="22"/>
      <c r="D52" s="23"/>
      <c r="E52" s="24">
        <f>E45+E47+E49</f>
        <v>1260000</v>
      </c>
    </row>
    <row r="53" spans="1:13">
      <c r="A53" s="25"/>
      <c r="B53" s="22"/>
      <c r="D53" s="23"/>
      <c r="E53" s="26"/>
      <c r="J53" t="s">
        <v>193</v>
      </c>
      <c r="K53" t="s">
        <v>194</v>
      </c>
      <c r="L53" t="s">
        <v>195</v>
      </c>
      <c r="M53" t="s">
        <v>196</v>
      </c>
    </row>
    <row r="54" spans="1:13" ht="13.5" thickBot="1">
      <c r="A54" s="27" t="s">
        <v>6</v>
      </c>
      <c r="B54" s="28">
        <f>SUM(B45:B50)</f>
        <v>42000</v>
      </c>
      <c r="C54" s="29"/>
      <c r="D54" s="30"/>
      <c r="E54" s="31">
        <f>E52-E51</f>
        <v>1260000</v>
      </c>
      <c r="I54" t="s">
        <v>73</v>
      </c>
      <c r="J54" s="209">
        <v>42738</v>
      </c>
      <c r="K54" s="209">
        <f>J54+8</f>
        <v>42746</v>
      </c>
    </row>
    <row r="55" spans="1:13">
      <c r="I55" t="s">
        <v>197</v>
      </c>
      <c r="J55" s="209">
        <f>K54+5.5</f>
        <v>42751.5</v>
      </c>
      <c r="K55" s="209">
        <f>J55+5</f>
        <v>42756.5</v>
      </c>
    </row>
    <row r="56" spans="1:13">
      <c r="I56" t="s">
        <v>29</v>
      </c>
      <c r="J56" s="209">
        <f>K55+4.5</f>
        <v>42761</v>
      </c>
      <c r="K56" s="209">
        <f>J56+3</f>
        <v>42764</v>
      </c>
      <c r="L56" s="209"/>
    </row>
    <row r="57" spans="1:13">
      <c r="I57" s="210" t="s">
        <v>72</v>
      </c>
      <c r="J57" s="211">
        <f>K56+1.5</f>
        <v>42765.5</v>
      </c>
      <c r="K57" s="211">
        <f>J57+4</f>
        <v>42769.5</v>
      </c>
      <c r="L57" s="212">
        <v>42767</v>
      </c>
      <c r="M57">
        <f>L57-J57</f>
        <v>1.5</v>
      </c>
    </row>
    <row r="58" spans="1:13">
      <c r="I58" s="210" t="s">
        <v>71</v>
      </c>
      <c r="J58" s="211">
        <f>K57+2.2</f>
        <v>42771.7</v>
      </c>
      <c r="K58" s="211">
        <f>J58+2</f>
        <v>42773.7</v>
      </c>
      <c r="L58" s="212">
        <v>42781</v>
      </c>
      <c r="M58">
        <f>L58-J58</f>
        <v>9.3000000000029104</v>
      </c>
    </row>
    <row r="59" spans="1:13">
      <c r="I59" t="s">
        <v>32</v>
      </c>
      <c r="J59" s="209">
        <f>K58+1</f>
        <v>42774.7</v>
      </c>
      <c r="K59" s="209">
        <f>J59+3</f>
        <v>42777.7</v>
      </c>
    </row>
    <row r="60" spans="1:13">
      <c r="I60" t="s">
        <v>99</v>
      </c>
      <c r="J60" s="209">
        <f>K59+1</f>
        <v>42778.7</v>
      </c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76"/>
  <sheetViews>
    <sheetView workbookViewId="0">
      <selection activeCell="A136" sqref="A1:IV65536"/>
    </sheetView>
  </sheetViews>
  <sheetFormatPr defaultRowHeight="12.75"/>
  <cols>
    <col min="1" max="1" width="61" customWidth="1"/>
    <col min="2" max="2" width="11.42578125" customWidth="1"/>
    <col min="3" max="3" width="20.5703125" bestFit="1" customWidth="1"/>
    <col min="4" max="4" width="13.7109375" style="8" customWidth="1"/>
    <col min="5" max="5" width="11" bestFit="1" customWidth="1"/>
    <col min="6" max="6" width="11.42578125" bestFit="1" customWidth="1"/>
    <col min="7" max="7" width="9.85546875" style="208" bestFit="1" customWidth="1"/>
    <col min="8" max="256" width="11.42578125" customWidth="1"/>
  </cols>
  <sheetData>
    <row r="1" spans="1:4" ht="23.25">
      <c r="A1" s="236"/>
    </row>
    <row r="7" spans="1:4">
      <c r="C7" s="132"/>
      <c r="D7" s="237"/>
    </row>
    <row r="8" spans="1:4">
      <c r="C8" s="132"/>
      <c r="D8" s="237"/>
    </row>
    <row r="9" spans="1:4">
      <c r="C9" s="132"/>
      <c r="D9" s="237"/>
    </row>
    <row r="10" spans="1:4">
      <c r="C10" s="132"/>
      <c r="D10" s="237"/>
    </row>
    <row r="11" spans="1:4">
      <c r="C11" s="132"/>
      <c r="D11" s="237"/>
    </row>
    <row r="12" spans="1:4">
      <c r="C12" s="229"/>
      <c r="D12" s="238"/>
    </row>
    <row r="13" spans="1:4">
      <c r="C13" s="132"/>
      <c r="D13" s="237"/>
    </row>
    <row r="14" spans="1:4">
      <c r="C14" s="132"/>
      <c r="D14" s="239"/>
    </row>
    <row r="39" spans="1:10" ht="13.5">
      <c r="C39" s="132"/>
      <c r="D39" s="243"/>
      <c r="E39" s="244"/>
    </row>
    <row r="40" spans="1:10" ht="13.5">
      <c r="C40" s="132"/>
      <c r="D40" s="242"/>
      <c r="E40" s="244"/>
      <c r="G40" s="132"/>
      <c r="H40" s="208"/>
      <c r="J40" s="231"/>
    </row>
    <row r="41" spans="1:10" ht="13.5">
      <c r="C41" s="132"/>
      <c r="D41" s="242"/>
      <c r="E41" s="244"/>
      <c r="G41" s="132"/>
      <c r="H41" s="208"/>
      <c r="J41" s="231"/>
    </row>
    <row r="42" spans="1:10" ht="13.5">
      <c r="C42" s="132"/>
      <c r="D42" s="242"/>
      <c r="E42" s="244"/>
      <c r="G42" s="132"/>
      <c r="H42" s="208"/>
      <c r="J42" s="231"/>
    </row>
    <row r="43" spans="1:10">
      <c r="J43" s="231"/>
    </row>
    <row r="45" spans="1:10" ht="13.5">
      <c r="B45" s="208"/>
      <c r="C45" s="243"/>
      <c r="D45" s="243"/>
    </row>
    <row r="46" spans="1:10" ht="13.5">
      <c r="A46" s="222"/>
      <c r="C46" s="243"/>
      <c r="D46" s="243"/>
    </row>
    <row r="47" spans="1:10" ht="13.5">
      <c r="A47" s="222"/>
      <c r="C47" s="243"/>
      <c r="D47" s="243"/>
      <c r="E47" s="132"/>
      <c r="F47" s="132"/>
      <c r="G47" s="241"/>
    </row>
    <row r="48" spans="1:10" ht="13.5">
      <c r="A48" s="222"/>
      <c r="C48" s="246"/>
      <c r="D48" s="246"/>
      <c r="E48" s="208"/>
      <c r="H48" s="245"/>
    </row>
    <row r="49" spans="1:13" ht="13.5">
      <c r="A49" s="222"/>
      <c r="C49" s="243"/>
      <c r="D49" s="243"/>
      <c r="E49" s="208"/>
      <c r="H49" s="245"/>
    </row>
    <row r="50" spans="1:13" ht="13.5">
      <c r="C50" s="243"/>
      <c r="D50" s="243"/>
      <c r="E50" s="208"/>
      <c r="H50" s="245"/>
    </row>
    <row r="51" spans="1:13" ht="13.5">
      <c r="C51" s="243"/>
      <c r="D51" s="243"/>
    </row>
    <row r="52" spans="1:13" ht="13.5">
      <c r="C52" s="243"/>
      <c r="D52" s="243"/>
    </row>
    <row r="53" spans="1:13" ht="13.5">
      <c r="C53" s="243"/>
      <c r="D53" s="243"/>
    </row>
    <row r="54" spans="1:13" ht="13.5">
      <c r="C54" s="243"/>
      <c r="D54" s="243"/>
    </row>
    <row r="55" spans="1:13" ht="13.5">
      <c r="C55" s="243"/>
      <c r="D55" s="243"/>
    </row>
    <row r="56" spans="1:13" ht="13.5">
      <c r="D56" s="243"/>
    </row>
    <row r="58" spans="1:13">
      <c r="D58" s="240"/>
      <c r="E58" s="132"/>
      <c r="G58" s="241"/>
      <c r="H58" s="132"/>
      <c r="I58" s="132"/>
      <c r="J58" s="132"/>
      <c r="K58" s="241"/>
      <c r="L58" s="132"/>
      <c r="M58" s="132"/>
    </row>
    <row r="59" spans="1:13" ht="13.5">
      <c r="B59" s="222"/>
      <c r="C59" s="243"/>
      <c r="D59" s="243"/>
      <c r="E59" s="243"/>
      <c r="F59" s="243"/>
      <c r="G59" s="243"/>
      <c r="H59" s="243"/>
      <c r="I59" s="243"/>
      <c r="J59" s="243"/>
      <c r="K59" s="247"/>
      <c r="L59" s="243"/>
      <c r="M59" s="215"/>
    </row>
    <row r="60" spans="1:13" ht="13.5">
      <c r="B60" s="222"/>
      <c r="C60" s="243"/>
      <c r="D60" s="243"/>
      <c r="E60" s="243"/>
      <c r="F60" s="243"/>
      <c r="G60" s="243"/>
      <c r="H60" s="243"/>
      <c r="I60" s="243"/>
      <c r="J60" s="243"/>
      <c r="K60" s="247"/>
      <c r="L60" s="243"/>
      <c r="M60" s="215"/>
    </row>
    <row r="61" spans="1:13" ht="13.5">
      <c r="B61" s="222"/>
      <c r="C61" s="243"/>
      <c r="D61" s="243"/>
      <c r="E61" s="243"/>
      <c r="F61" s="243"/>
      <c r="H61" s="243"/>
      <c r="I61" s="243"/>
      <c r="K61" s="247"/>
      <c r="L61" s="243"/>
      <c r="M61" s="215"/>
    </row>
    <row r="62" spans="1:13" ht="13.5">
      <c r="B62" s="222"/>
      <c r="C62" s="243"/>
      <c r="D62" s="243"/>
      <c r="E62" s="243"/>
      <c r="F62" s="243"/>
      <c r="H62" s="243"/>
      <c r="I62" s="243"/>
      <c r="K62" s="247"/>
      <c r="L62" s="243"/>
      <c r="M62" s="215"/>
    </row>
    <row r="63" spans="1:13" ht="13.5">
      <c r="B63" s="222"/>
      <c r="C63" s="243"/>
      <c r="D63" s="243"/>
      <c r="E63" s="243"/>
      <c r="F63" s="243"/>
      <c r="H63" s="243"/>
      <c r="I63" s="243"/>
      <c r="K63" s="247"/>
      <c r="L63" s="243"/>
      <c r="M63" s="215"/>
    </row>
    <row r="64" spans="1:13" ht="13.5">
      <c r="B64" s="222"/>
      <c r="C64" s="243"/>
      <c r="D64" s="243"/>
      <c r="E64" s="243"/>
      <c r="F64" s="243"/>
      <c r="H64" s="243"/>
      <c r="I64" s="243"/>
      <c r="K64" s="247"/>
      <c r="L64" s="243"/>
      <c r="M64" s="215"/>
    </row>
    <row r="65" spans="2:13" ht="13.5">
      <c r="B65" s="222"/>
      <c r="C65" s="243"/>
      <c r="D65" s="243"/>
      <c r="E65" s="243"/>
      <c r="F65" s="243"/>
      <c r="H65" s="243"/>
      <c r="I65" s="243"/>
      <c r="J65" s="208"/>
      <c r="K65" s="247"/>
      <c r="L65" s="243"/>
      <c r="M65" s="215"/>
    </row>
    <row r="66" spans="2:13" ht="13.5">
      <c r="B66" s="222"/>
      <c r="C66" s="243"/>
      <c r="D66" s="243"/>
      <c r="E66" s="243"/>
      <c r="F66" s="243"/>
      <c r="H66" s="243"/>
      <c r="I66" s="243"/>
      <c r="J66" s="208"/>
      <c r="K66" s="247"/>
      <c r="L66" s="243"/>
      <c r="M66" s="215"/>
    </row>
    <row r="67" spans="2:13" ht="13.5">
      <c r="B67" s="222"/>
      <c r="C67" s="243"/>
      <c r="D67" s="243"/>
      <c r="E67" s="243"/>
      <c r="F67" s="243"/>
      <c r="H67" s="243"/>
      <c r="I67" s="243"/>
      <c r="J67" s="208"/>
      <c r="K67" s="247"/>
      <c r="L67" s="243"/>
      <c r="M67" s="215"/>
    </row>
    <row r="68" spans="2:13" ht="13.5">
      <c r="B68" s="222"/>
      <c r="C68" s="243"/>
      <c r="D68" s="243"/>
      <c r="E68" s="243"/>
      <c r="F68" s="243"/>
      <c r="H68" s="243"/>
      <c r="I68" s="243"/>
      <c r="J68" s="208"/>
      <c r="K68" s="247"/>
      <c r="L68" s="243"/>
      <c r="M68" s="215"/>
    </row>
    <row r="69" spans="2:13" ht="13.5">
      <c r="B69" s="222"/>
      <c r="C69" s="243"/>
      <c r="D69" s="243"/>
      <c r="E69" s="243"/>
      <c r="F69" s="243"/>
      <c r="H69" s="243"/>
      <c r="I69" s="243"/>
      <c r="J69" s="208"/>
      <c r="K69" s="247"/>
      <c r="L69" s="243"/>
      <c r="M69" s="215"/>
    </row>
    <row r="70" spans="2:13" ht="13.5">
      <c r="B70" s="222"/>
      <c r="C70" s="243"/>
      <c r="D70" s="243"/>
      <c r="E70" s="243"/>
      <c r="F70" s="243"/>
      <c r="H70" s="243"/>
      <c r="I70" s="243"/>
      <c r="J70" s="208"/>
      <c r="K70" s="247"/>
      <c r="L70" s="243"/>
      <c r="M70" s="215"/>
    </row>
    <row r="71" spans="2:13" ht="13.5">
      <c r="B71" s="222"/>
      <c r="C71" s="243"/>
      <c r="D71" s="243"/>
      <c r="E71" s="243"/>
      <c r="F71" s="243"/>
      <c r="H71" s="243"/>
      <c r="I71" s="243"/>
      <c r="J71" s="208"/>
      <c r="K71" s="247"/>
      <c r="L71" s="243"/>
      <c r="M71" s="215"/>
    </row>
    <row r="72" spans="2:13" ht="13.5">
      <c r="B72" s="222"/>
      <c r="C72" s="243"/>
      <c r="D72" s="243"/>
      <c r="E72" s="243"/>
      <c r="F72" s="243"/>
      <c r="H72" s="243"/>
      <c r="I72" s="243"/>
      <c r="J72" s="208"/>
      <c r="K72" s="247"/>
      <c r="L72" s="243"/>
      <c r="M72" s="215"/>
    </row>
    <row r="73" spans="2:13" ht="13.5">
      <c r="B73" s="222"/>
      <c r="C73" s="243"/>
      <c r="D73" s="243"/>
      <c r="E73" s="243"/>
      <c r="F73" s="243"/>
      <c r="H73" s="243"/>
      <c r="I73" s="243"/>
      <c r="J73" s="208"/>
      <c r="K73" s="247"/>
      <c r="L73" s="243"/>
      <c r="M73" s="215"/>
    </row>
    <row r="74" spans="2:13" ht="13.5">
      <c r="B74" s="222"/>
      <c r="C74" s="243"/>
      <c r="D74" s="243"/>
      <c r="E74" s="243"/>
      <c r="F74" s="243"/>
      <c r="H74" s="243"/>
      <c r="I74" s="243"/>
      <c r="J74" s="208"/>
      <c r="K74" s="247"/>
      <c r="L74" s="243"/>
      <c r="M74" s="215"/>
    </row>
    <row r="75" spans="2:13" ht="13.5">
      <c r="B75" s="222"/>
      <c r="C75" s="243"/>
      <c r="D75" s="243"/>
      <c r="E75" s="243"/>
      <c r="F75" s="243"/>
      <c r="H75" s="243"/>
      <c r="I75" s="243"/>
      <c r="J75" s="208"/>
      <c r="K75" s="247"/>
      <c r="L75" s="243"/>
      <c r="M75" s="215"/>
    </row>
    <row r="76" spans="2:13" ht="13.5">
      <c r="B76" s="222"/>
      <c r="C76" s="243"/>
      <c r="D76" s="243"/>
      <c r="E76" s="243"/>
      <c r="F76" s="243"/>
      <c r="H76" s="243"/>
      <c r="I76" s="243"/>
      <c r="J76" s="208"/>
      <c r="K76" s="247"/>
      <c r="L76" s="243"/>
      <c r="M76" s="215"/>
    </row>
    <row r="77" spans="2:13" ht="13.5">
      <c r="B77" s="222"/>
      <c r="C77" s="243"/>
      <c r="D77" s="243"/>
      <c r="E77" s="243"/>
      <c r="F77" s="243"/>
      <c r="H77" s="243"/>
      <c r="I77" s="243"/>
      <c r="J77" s="208"/>
      <c r="K77" s="247"/>
      <c r="L77" s="243"/>
      <c r="M77" s="215"/>
    </row>
    <row r="78" spans="2:13" ht="13.5">
      <c r="B78" s="222"/>
      <c r="C78" s="243"/>
      <c r="D78" s="243"/>
      <c r="E78" s="243"/>
      <c r="F78" s="243"/>
      <c r="H78" s="243"/>
      <c r="I78" s="243"/>
      <c r="J78" s="208"/>
      <c r="K78" s="247"/>
      <c r="L78" s="243"/>
      <c r="M78" s="215"/>
    </row>
    <row r="79" spans="2:13" ht="13.5">
      <c r="B79" s="222"/>
      <c r="C79" s="243"/>
      <c r="D79" s="243"/>
      <c r="E79" s="243"/>
      <c r="F79" s="243"/>
      <c r="H79" s="243"/>
      <c r="I79" s="243"/>
      <c r="J79" s="208"/>
      <c r="K79" s="247"/>
      <c r="L79" s="243"/>
      <c r="M79" s="215"/>
    </row>
    <row r="80" spans="2:13" ht="13.5">
      <c r="B80" s="222"/>
      <c r="C80" s="243"/>
      <c r="D80" s="243"/>
      <c r="E80" s="243"/>
      <c r="F80" s="243"/>
      <c r="H80" s="243"/>
      <c r="I80" s="243"/>
      <c r="J80" s="208"/>
      <c r="K80" s="247"/>
      <c r="L80" s="243"/>
      <c r="M80" s="215"/>
    </row>
    <row r="81" spans="2:13" ht="13.5">
      <c r="B81" s="222"/>
      <c r="C81" s="243"/>
      <c r="D81" s="243"/>
      <c r="E81" s="243"/>
      <c r="F81" s="243"/>
      <c r="H81" s="243"/>
      <c r="I81" s="243"/>
      <c r="J81" s="208"/>
      <c r="K81" s="247"/>
      <c r="L81" s="243"/>
      <c r="M81" s="215"/>
    </row>
    <row r="82" spans="2:13" ht="13.5">
      <c r="B82" s="222"/>
      <c r="C82" s="243"/>
      <c r="D82" s="243"/>
      <c r="E82" s="243"/>
      <c r="F82" s="243"/>
      <c r="H82" s="243"/>
      <c r="I82" s="243"/>
      <c r="J82" s="208"/>
      <c r="K82" s="247"/>
      <c r="L82" s="243"/>
      <c r="M82" s="215"/>
    </row>
    <row r="83" spans="2:13" ht="13.5">
      <c r="B83" s="222"/>
      <c r="C83" s="243"/>
      <c r="D83" s="243"/>
      <c r="E83" s="243"/>
      <c r="F83" s="243"/>
      <c r="H83" s="243"/>
      <c r="I83" s="243"/>
      <c r="J83" s="208"/>
      <c r="K83" s="247"/>
      <c r="L83" s="243"/>
      <c r="M83" s="215"/>
    </row>
    <row r="84" spans="2:13" ht="13.5">
      <c r="B84" s="222"/>
      <c r="C84" s="243"/>
      <c r="D84" s="243"/>
      <c r="E84" s="243"/>
      <c r="F84" s="243"/>
      <c r="H84" s="243"/>
      <c r="I84" s="243"/>
      <c r="J84" s="208"/>
      <c r="K84" s="247"/>
      <c r="L84" s="243"/>
      <c r="M84" s="215"/>
    </row>
    <row r="85" spans="2:13" ht="13.5">
      <c r="B85" s="222"/>
      <c r="C85" s="243"/>
      <c r="D85" s="243"/>
      <c r="E85" s="243"/>
      <c r="F85" s="243"/>
      <c r="H85" s="243"/>
      <c r="I85" s="243"/>
      <c r="J85" s="208"/>
      <c r="K85" s="247"/>
      <c r="L85" s="243"/>
      <c r="M85" s="215"/>
    </row>
    <row r="86" spans="2:13" ht="13.5">
      <c r="B86" s="222"/>
      <c r="C86" s="243"/>
      <c r="D86" s="243"/>
      <c r="E86" s="243"/>
      <c r="F86" s="243"/>
      <c r="H86" s="243"/>
      <c r="I86" s="243"/>
      <c r="J86" s="208"/>
      <c r="K86" s="247"/>
      <c r="L86" s="243"/>
      <c r="M86" s="215"/>
    </row>
    <row r="87" spans="2:13" ht="13.5">
      <c r="B87" s="222"/>
      <c r="C87" s="243"/>
      <c r="D87" s="243"/>
      <c r="E87" s="243"/>
      <c r="F87" s="243"/>
      <c r="H87" s="243"/>
      <c r="I87" s="243"/>
      <c r="J87" s="208"/>
      <c r="K87" s="247"/>
      <c r="L87" s="243"/>
      <c r="M87" s="215"/>
    </row>
    <row r="88" spans="2:13" ht="13.5">
      <c r="B88" s="222"/>
      <c r="C88" s="243"/>
      <c r="D88" s="243"/>
      <c r="E88" s="243"/>
      <c r="F88" s="243"/>
      <c r="H88" s="243"/>
      <c r="I88" s="243"/>
      <c r="J88" s="208"/>
      <c r="K88" s="247"/>
      <c r="L88" s="243"/>
      <c r="M88" s="215"/>
    </row>
    <row r="89" spans="2:13" ht="13.5">
      <c r="B89" s="222"/>
      <c r="C89" s="243"/>
      <c r="D89" s="243"/>
      <c r="E89" s="243"/>
      <c r="F89" s="243"/>
      <c r="H89" s="243"/>
      <c r="I89" s="243"/>
      <c r="J89" s="208"/>
      <c r="K89" s="247"/>
      <c r="L89" s="243"/>
      <c r="M89" s="215"/>
    </row>
    <row r="90" spans="2:13" ht="13.5">
      <c r="B90" s="222"/>
      <c r="C90" s="243"/>
      <c r="D90" s="243"/>
      <c r="E90" s="243"/>
      <c r="F90" s="243"/>
      <c r="H90" s="243"/>
      <c r="I90" s="243"/>
      <c r="J90" s="208"/>
      <c r="K90" s="247"/>
      <c r="L90" s="243"/>
      <c r="M90" s="215"/>
    </row>
    <row r="91" spans="2:13" ht="13.5">
      <c r="B91" s="222"/>
      <c r="C91" s="243"/>
      <c r="D91" s="243"/>
      <c r="E91" s="243"/>
      <c r="F91" s="243"/>
      <c r="H91" s="243"/>
      <c r="I91" s="243"/>
      <c r="J91" s="208"/>
      <c r="K91" s="247"/>
      <c r="L91" s="243"/>
      <c r="M91" s="215"/>
    </row>
    <row r="92" spans="2:13" ht="13.5">
      <c r="B92" s="222"/>
      <c r="C92" s="243"/>
      <c r="D92" s="243"/>
      <c r="E92" s="243"/>
      <c r="F92" s="243"/>
      <c r="H92" s="243"/>
      <c r="I92" s="243"/>
      <c r="J92" s="208"/>
      <c r="K92" s="247"/>
      <c r="L92" s="243"/>
      <c r="M92" s="215"/>
    </row>
    <row r="93" spans="2:13" ht="13.5">
      <c r="B93" s="222"/>
      <c r="C93" s="243"/>
      <c r="D93" s="243"/>
      <c r="E93" s="243"/>
      <c r="F93" s="243"/>
      <c r="H93" s="243"/>
      <c r="I93" s="243"/>
      <c r="J93" s="208"/>
      <c r="K93" s="247"/>
      <c r="L93" s="243"/>
      <c r="M93" s="215"/>
    </row>
    <row r="94" spans="2:13" ht="13.5">
      <c r="B94" s="222"/>
      <c r="C94" s="243"/>
      <c r="D94" s="243"/>
      <c r="E94" s="243"/>
      <c r="F94" s="243"/>
      <c r="H94" s="243"/>
      <c r="I94" s="243"/>
      <c r="J94" s="208"/>
      <c r="K94" s="247"/>
      <c r="L94" s="243"/>
      <c r="M94" s="215"/>
    </row>
    <row r="95" spans="2:13" ht="13.5">
      <c r="B95" s="222"/>
      <c r="C95" s="243"/>
      <c r="D95" s="243"/>
      <c r="E95" s="243"/>
      <c r="F95" s="243"/>
      <c r="H95" s="243"/>
      <c r="I95" s="243"/>
      <c r="J95" s="208"/>
      <c r="K95" s="247"/>
      <c r="L95" s="243"/>
      <c r="M95" s="215"/>
    </row>
    <row r="96" spans="2:13" ht="13.5">
      <c r="B96" s="222"/>
      <c r="C96" s="243"/>
      <c r="D96" s="243"/>
      <c r="E96" s="243"/>
      <c r="F96" s="243"/>
      <c r="H96" s="243"/>
      <c r="I96" s="243"/>
      <c r="J96" s="208"/>
      <c r="K96" s="247"/>
      <c r="L96" s="243"/>
      <c r="M96" s="215"/>
    </row>
    <row r="97" spans="2:13" ht="13.5">
      <c r="B97" s="222"/>
      <c r="C97" s="243"/>
      <c r="D97" s="243"/>
      <c r="E97" s="243"/>
      <c r="F97" s="243"/>
      <c r="H97" s="243"/>
      <c r="I97" s="243"/>
      <c r="J97" s="208"/>
      <c r="K97" s="247"/>
      <c r="L97" s="243"/>
      <c r="M97" s="215"/>
    </row>
    <row r="98" spans="2:13" ht="13.5">
      <c r="B98" s="222"/>
      <c r="C98" s="243"/>
      <c r="D98" s="243"/>
      <c r="E98" s="243"/>
      <c r="F98" s="243"/>
      <c r="H98" s="243"/>
      <c r="I98" s="243"/>
      <c r="J98" s="208"/>
      <c r="K98" s="247"/>
      <c r="L98" s="243"/>
      <c r="M98" s="215"/>
    </row>
    <row r="99" spans="2:13" ht="13.5">
      <c r="B99" s="222"/>
      <c r="C99" s="243"/>
      <c r="D99" s="243"/>
      <c r="E99" s="243"/>
      <c r="F99" s="243"/>
      <c r="H99" s="243"/>
      <c r="I99" s="243"/>
      <c r="J99" s="208"/>
      <c r="K99" s="247"/>
      <c r="L99" s="243"/>
      <c r="M99" s="215"/>
    </row>
    <row r="100" spans="2:13" ht="13.5">
      <c r="B100" s="222"/>
      <c r="C100" s="243"/>
      <c r="D100" s="243"/>
      <c r="E100" s="243"/>
      <c r="F100" s="243"/>
      <c r="H100" s="243"/>
      <c r="I100" s="243"/>
      <c r="J100" s="208"/>
      <c r="K100" s="247"/>
      <c r="L100" s="243"/>
      <c r="M100" s="215"/>
    </row>
    <row r="101" spans="2:13" ht="13.5">
      <c r="B101" s="222"/>
      <c r="C101" s="243"/>
      <c r="D101" s="243"/>
      <c r="E101" s="243"/>
      <c r="F101" s="243"/>
      <c r="H101" s="243"/>
      <c r="I101" s="243"/>
      <c r="J101" s="208"/>
      <c r="K101" s="247"/>
      <c r="L101" s="243"/>
      <c r="M101" s="215"/>
    </row>
    <row r="102" spans="2:13" ht="13.5">
      <c r="B102" s="222"/>
      <c r="C102" s="243"/>
      <c r="D102" s="243"/>
      <c r="E102" s="243"/>
      <c r="F102" s="243"/>
      <c r="H102" s="243"/>
      <c r="I102" s="243"/>
      <c r="J102" s="208"/>
      <c r="K102" s="247"/>
      <c r="L102" s="243"/>
      <c r="M102" s="215"/>
    </row>
    <row r="103" spans="2:13" ht="13.5">
      <c r="B103" s="222"/>
      <c r="C103" s="243"/>
      <c r="D103" s="243"/>
      <c r="E103" s="243"/>
      <c r="F103" s="243"/>
      <c r="H103" s="243"/>
      <c r="I103" s="243"/>
      <c r="J103" s="208"/>
      <c r="K103" s="247"/>
      <c r="L103" s="243"/>
      <c r="M103" s="215"/>
    </row>
    <row r="104" spans="2:13" ht="13.5">
      <c r="B104" s="222"/>
      <c r="C104" s="243"/>
      <c r="D104" s="243"/>
      <c r="E104" s="243"/>
      <c r="F104" s="243"/>
      <c r="H104" s="243"/>
      <c r="I104" s="243"/>
      <c r="J104" s="208"/>
      <c r="K104" s="247"/>
      <c r="L104" s="243"/>
      <c r="M104" s="215"/>
    </row>
    <row r="105" spans="2:13" ht="13.5">
      <c r="B105" s="222"/>
      <c r="C105" s="243"/>
      <c r="D105" s="243"/>
      <c r="E105" s="243"/>
      <c r="F105" s="243"/>
      <c r="H105" s="243"/>
      <c r="I105" s="243"/>
      <c r="J105" s="208"/>
      <c r="K105" s="247"/>
      <c r="L105" s="243"/>
      <c r="M105" s="215"/>
    </row>
    <row r="106" spans="2:13" ht="13.5">
      <c r="B106" s="222"/>
      <c r="C106" s="243"/>
      <c r="D106" s="243"/>
      <c r="E106" s="243"/>
      <c r="F106" s="243"/>
      <c r="H106" s="243"/>
      <c r="I106" s="243"/>
      <c r="J106" s="208"/>
      <c r="K106" s="247"/>
      <c r="L106" s="243"/>
      <c r="M106" s="215"/>
    </row>
    <row r="107" spans="2:13" ht="13.5">
      <c r="B107" s="222"/>
      <c r="C107" s="243"/>
      <c r="D107" s="243"/>
      <c r="E107" s="243"/>
      <c r="F107" s="243"/>
      <c r="H107" s="243"/>
      <c r="I107" s="243"/>
      <c r="J107" s="208"/>
      <c r="K107" s="247"/>
      <c r="L107" s="243"/>
      <c r="M107" s="215"/>
    </row>
    <row r="108" spans="2:13" ht="13.5">
      <c r="B108" s="222"/>
      <c r="C108" s="243"/>
      <c r="D108" s="243"/>
      <c r="E108" s="243"/>
      <c r="F108" s="243"/>
      <c r="H108" s="243"/>
      <c r="I108" s="243"/>
      <c r="J108" s="208"/>
      <c r="K108" s="247"/>
      <c r="L108" s="243"/>
      <c r="M108" s="215"/>
    </row>
    <row r="109" spans="2:13" ht="13.5">
      <c r="B109" s="222"/>
      <c r="C109" s="243"/>
      <c r="D109" s="243"/>
      <c r="E109" s="243"/>
      <c r="F109" s="243"/>
      <c r="H109" s="243"/>
      <c r="I109" s="243"/>
      <c r="J109" s="208"/>
      <c r="K109" s="247"/>
      <c r="L109" s="243"/>
      <c r="M109" s="215"/>
    </row>
    <row r="110" spans="2:13" ht="13.5">
      <c r="B110" s="222"/>
      <c r="C110" s="243"/>
      <c r="D110" s="243"/>
      <c r="E110" s="243"/>
      <c r="F110" s="243"/>
      <c r="H110" s="243"/>
      <c r="I110" s="243"/>
      <c r="J110" s="208"/>
      <c r="K110" s="247"/>
      <c r="L110" s="243"/>
      <c r="M110" s="215"/>
    </row>
    <row r="111" spans="2:13" ht="13.5">
      <c r="B111" s="222"/>
      <c r="C111" s="243"/>
      <c r="D111" s="243"/>
      <c r="E111" s="243"/>
      <c r="F111" s="243"/>
      <c r="H111" s="243"/>
      <c r="I111" s="243"/>
      <c r="J111" s="208"/>
      <c r="K111" s="247"/>
      <c r="L111" s="243"/>
      <c r="M111" s="215"/>
    </row>
    <row r="112" spans="2:13" ht="13.5">
      <c r="B112" s="222"/>
      <c r="C112" s="243"/>
      <c r="D112" s="243"/>
      <c r="E112" s="243"/>
      <c r="F112" s="243"/>
      <c r="H112" s="243"/>
      <c r="I112" s="243"/>
      <c r="J112" s="208"/>
      <c r="K112" s="247"/>
      <c r="L112" s="243"/>
      <c r="M112" s="215"/>
    </row>
    <row r="113" spans="2:13" ht="13.5">
      <c r="B113" s="222"/>
      <c r="C113" s="243"/>
      <c r="D113" s="243"/>
      <c r="E113" s="243"/>
      <c r="F113" s="243"/>
      <c r="H113" s="243"/>
      <c r="I113" s="243"/>
      <c r="J113" s="208"/>
      <c r="K113" s="247"/>
      <c r="L113" s="243"/>
      <c r="M113" s="215"/>
    </row>
    <row r="114" spans="2:13" ht="13.5">
      <c r="B114" s="222"/>
      <c r="C114" s="243"/>
      <c r="D114" s="243"/>
      <c r="E114" s="243"/>
      <c r="F114" s="243"/>
      <c r="H114" s="243"/>
      <c r="I114" s="243"/>
      <c r="J114" s="208"/>
      <c r="K114" s="247"/>
      <c r="L114" s="243"/>
      <c r="M114" s="215"/>
    </row>
    <row r="115" spans="2:13" ht="13.5">
      <c r="B115" s="222"/>
      <c r="C115" s="243"/>
      <c r="D115" s="243"/>
      <c r="E115" s="243"/>
      <c r="F115" s="243"/>
      <c r="H115" s="243"/>
      <c r="I115" s="243"/>
      <c r="J115" s="208"/>
      <c r="K115" s="247"/>
      <c r="L115" s="243"/>
      <c r="M115" s="215"/>
    </row>
    <row r="116" spans="2:13" ht="13.5">
      <c r="B116" s="222"/>
      <c r="C116" s="243"/>
      <c r="D116" s="243"/>
      <c r="E116" s="243"/>
      <c r="F116" s="243"/>
      <c r="H116" s="243"/>
      <c r="I116" s="243"/>
      <c r="J116" s="208"/>
      <c r="K116" s="247"/>
      <c r="L116" s="243"/>
      <c r="M116" s="215"/>
    </row>
    <row r="117" spans="2:13" ht="13.5">
      <c r="B117" s="222"/>
      <c r="C117" s="243"/>
      <c r="D117" s="243"/>
      <c r="E117" s="243"/>
      <c r="F117" s="243"/>
      <c r="H117" s="243"/>
      <c r="I117" s="243"/>
      <c r="J117" s="208"/>
      <c r="K117" s="247"/>
      <c r="L117" s="243"/>
      <c r="M117" s="215"/>
    </row>
    <row r="118" spans="2:13" ht="13.5">
      <c r="B118" s="222"/>
      <c r="C118" s="243"/>
      <c r="D118" s="243"/>
      <c r="E118" s="243"/>
      <c r="F118" s="243"/>
      <c r="H118" s="243"/>
      <c r="I118" s="243"/>
      <c r="J118" s="208"/>
      <c r="K118" s="247"/>
      <c r="L118" s="243"/>
      <c r="M118" s="215"/>
    </row>
    <row r="119" spans="2:13" ht="13.5">
      <c r="B119" s="222"/>
      <c r="C119" s="243"/>
      <c r="D119" s="243"/>
      <c r="E119" s="243"/>
      <c r="F119" s="243"/>
      <c r="H119" s="243"/>
      <c r="I119" s="243"/>
      <c r="J119" s="208"/>
      <c r="K119" s="247"/>
      <c r="L119" s="243"/>
      <c r="M119" s="215"/>
    </row>
    <row r="120" spans="2:13" ht="13.5">
      <c r="B120" s="222"/>
      <c r="C120" s="243"/>
      <c r="D120" s="243"/>
      <c r="E120" s="243"/>
      <c r="F120" s="243"/>
      <c r="H120" s="243"/>
      <c r="I120" s="243"/>
      <c r="J120" s="208"/>
      <c r="K120" s="247"/>
      <c r="L120" s="243"/>
      <c r="M120" s="215"/>
    </row>
    <row r="121" spans="2:13" ht="13.5">
      <c r="B121" s="222"/>
      <c r="C121" s="243"/>
      <c r="D121" s="243"/>
      <c r="E121" s="243"/>
      <c r="F121" s="243"/>
      <c r="H121" s="243"/>
      <c r="I121" s="243"/>
      <c r="J121" s="208"/>
      <c r="K121" s="247"/>
      <c r="L121" s="243"/>
      <c r="M121" s="215"/>
    </row>
    <row r="122" spans="2:13" ht="13.5">
      <c r="B122" s="222"/>
      <c r="C122" s="243"/>
      <c r="D122" s="243"/>
      <c r="E122" s="243"/>
      <c r="F122" s="243"/>
      <c r="H122" s="243"/>
      <c r="I122" s="243"/>
      <c r="J122" s="208"/>
      <c r="K122" s="247"/>
      <c r="L122" s="243"/>
      <c r="M122" s="215"/>
    </row>
    <row r="123" spans="2:13" ht="13.5">
      <c r="B123" s="222"/>
      <c r="C123" s="243"/>
      <c r="D123" s="243"/>
      <c r="E123" s="243"/>
      <c r="F123" s="243"/>
      <c r="H123" s="243"/>
      <c r="I123" s="243"/>
      <c r="J123" s="208"/>
      <c r="K123" s="247"/>
      <c r="L123" s="243"/>
      <c r="M123" s="215"/>
    </row>
    <row r="124" spans="2:13" ht="13.5">
      <c r="B124" s="222"/>
      <c r="C124" s="243"/>
      <c r="D124" s="243"/>
      <c r="E124" s="243"/>
      <c r="F124" s="243"/>
      <c r="H124" s="243"/>
      <c r="I124" s="243"/>
      <c r="J124" s="208"/>
      <c r="K124" s="247"/>
      <c r="L124" s="243"/>
      <c r="M124" s="215"/>
    </row>
    <row r="125" spans="2:13" ht="13.5">
      <c r="B125" s="222"/>
      <c r="C125" s="243"/>
      <c r="D125" s="243"/>
      <c r="E125" s="243"/>
      <c r="F125" s="243"/>
      <c r="H125" s="243"/>
      <c r="I125" s="243"/>
      <c r="J125" s="208"/>
      <c r="K125" s="247"/>
      <c r="L125" s="243"/>
      <c r="M125" s="215"/>
    </row>
    <row r="126" spans="2:13" ht="13.5">
      <c r="B126" s="222"/>
      <c r="C126" s="243"/>
      <c r="D126" s="243"/>
      <c r="E126" s="243"/>
      <c r="F126" s="243"/>
      <c r="H126" s="243"/>
      <c r="I126" s="243"/>
      <c r="J126" s="208"/>
      <c r="K126" s="247"/>
      <c r="L126" s="243"/>
      <c r="M126" s="215"/>
    </row>
    <row r="127" spans="2:13" ht="13.5">
      <c r="B127" s="222"/>
      <c r="C127" s="243"/>
      <c r="D127" s="243"/>
      <c r="E127" s="243"/>
      <c r="F127" s="243"/>
      <c r="H127" s="243"/>
      <c r="I127" s="243"/>
      <c r="J127" s="208"/>
      <c r="K127" s="247"/>
      <c r="L127" s="243"/>
      <c r="M127" s="215"/>
    </row>
    <row r="128" spans="2:13" ht="13.5">
      <c r="B128" s="222"/>
      <c r="C128" s="243"/>
      <c r="D128" s="243"/>
      <c r="E128" s="243"/>
      <c r="F128" s="243"/>
      <c r="H128" s="243"/>
      <c r="I128" s="243"/>
      <c r="J128" s="208"/>
      <c r="K128" s="247"/>
      <c r="L128" s="243"/>
      <c r="M128" s="215"/>
    </row>
    <row r="129" spans="2:13" ht="13.5">
      <c r="B129" s="222"/>
      <c r="C129" s="243"/>
      <c r="D129" s="243"/>
      <c r="E129" s="243"/>
      <c r="F129" s="243"/>
      <c r="H129" s="243"/>
      <c r="I129" s="243"/>
      <c r="J129" s="208"/>
      <c r="K129" s="247"/>
      <c r="L129" s="243"/>
      <c r="M129" s="215"/>
    </row>
    <row r="130" spans="2:13" ht="13.5">
      <c r="B130" s="222"/>
      <c r="C130" s="243"/>
      <c r="D130" s="243"/>
      <c r="E130" s="243"/>
      <c r="F130" s="243"/>
      <c r="H130" s="243"/>
      <c r="I130" s="243"/>
      <c r="J130" s="208"/>
      <c r="K130" s="247"/>
      <c r="L130" s="243"/>
      <c r="M130" s="215"/>
    </row>
    <row r="131" spans="2:13" ht="13.5">
      <c r="B131" s="222"/>
      <c r="C131" s="243"/>
      <c r="D131" s="243"/>
      <c r="E131" s="243"/>
      <c r="F131" s="243"/>
      <c r="H131" s="243"/>
      <c r="I131" s="243"/>
      <c r="J131" s="208"/>
      <c r="K131" s="247"/>
      <c r="L131" s="243"/>
      <c r="M131" s="215"/>
    </row>
    <row r="132" spans="2:13" ht="13.5">
      <c r="B132" s="222"/>
      <c r="C132" s="243"/>
      <c r="D132" s="243"/>
      <c r="E132" s="243"/>
      <c r="F132" s="243"/>
      <c r="H132" s="243"/>
      <c r="I132" s="243"/>
      <c r="J132" s="208"/>
      <c r="K132" s="247"/>
      <c r="L132" s="243"/>
      <c r="M132" s="215"/>
    </row>
    <row r="133" spans="2:13" ht="13.5">
      <c r="B133" s="222"/>
      <c r="C133" s="243"/>
      <c r="D133" s="243"/>
      <c r="E133" s="243"/>
      <c r="F133" s="243"/>
      <c r="H133" s="243"/>
      <c r="I133" s="243"/>
      <c r="J133" s="208"/>
      <c r="K133" s="247"/>
      <c r="L133" s="243"/>
      <c r="M133" s="215"/>
    </row>
    <row r="134" spans="2:13" ht="13.5">
      <c r="B134" s="222"/>
      <c r="C134" s="243"/>
      <c r="D134" s="243"/>
      <c r="E134" s="243"/>
      <c r="F134" s="243"/>
      <c r="H134" s="243"/>
      <c r="I134" s="243"/>
      <c r="J134" s="208"/>
      <c r="K134" s="247"/>
      <c r="L134" s="243"/>
      <c r="M134" s="215"/>
    </row>
    <row r="135" spans="2:13" ht="13.5">
      <c r="B135" s="222"/>
      <c r="C135" s="243"/>
      <c r="D135" s="243"/>
      <c r="E135" s="243"/>
      <c r="F135" s="243"/>
      <c r="H135" s="243"/>
      <c r="I135" s="243"/>
      <c r="J135" s="208"/>
      <c r="K135" s="247"/>
      <c r="L135" s="243"/>
      <c r="M135" s="215"/>
    </row>
    <row r="136" spans="2:13" ht="13.5">
      <c r="B136" s="222"/>
      <c r="C136" s="243"/>
      <c r="D136" s="243"/>
      <c r="E136" s="243"/>
      <c r="F136" s="243"/>
      <c r="H136" s="243"/>
      <c r="I136" s="243"/>
      <c r="J136" s="208"/>
      <c r="K136" s="247"/>
      <c r="L136" s="243"/>
      <c r="M136" s="215"/>
    </row>
    <row r="137" spans="2:13" ht="13.5">
      <c r="B137" s="222"/>
      <c r="C137" s="243"/>
      <c r="D137" s="243"/>
      <c r="E137" s="243"/>
      <c r="F137" s="243"/>
      <c r="H137" s="243"/>
      <c r="I137" s="243"/>
      <c r="J137" s="208"/>
      <c r="K137" s="247"/>
      <c r="L137" s="243"/>
      <c r="M137" s="215"/>
    </row>
    <row r="138" spans="2:13" ht="13.5">
      <c r="B138" s="222"/>
      <c r="C138" s="243"/>
      <c r="D138" s="243"/>
      <c r="E138" s="243"/>
      <c r="F138" s="243"/>
      <c r="H138" s="243"/>
      <c r="I138" s="243"/>
      <c r="J138" s="208"/>
      <c r="K138" s="247"/>
      <c r="L138" s="243"/>
      <c r="M138" s="215"/>
    </row>
    <row r="139" spans="2:13" ht="13.5">
      <c r="B139" s="222"/>
      <c r="C139" s="243"/>
      <c r="D139" s="243"/>
      <c r="E139" s="243"/>
      <c r="F139" s="243"/>
      <c r="H139" s="243"/>
      <c r="I139" s="243"/>
      <c r="J139" s="208"/>
      <c r="K139" s="247"/>
      <c r="L139" s="243"/>
      <c r="M139" s="215"/>
    </row>
    <row r="140" spans="2:13" ht="13.5">
      <c r="B140" s="222"/>
      <c r="C140" s="243"/>
      <c r="D140" s="243"/>
      <c r="E140" s="243"/>
      <c r="F140" s="243"/>
      <c r="H140" s="243"/>
      <c r="I140" s="243"/>
      <c r="J140" s="208"/>
      <c r="K140" s="247"/>
      <c r="L140" s="243"/>
      <c r="M140" s="215"/>
    </row>
    <row r="141" spans="2:13" ht="13.5">
      <c r="B141" s="222"/>
      <c r="C141" s="243"/>
      <c r="D141" s="243"/>
      <c r="E141" s="243"/>
      <c r="F141" s="243"/>
      <c r="H141" s="243"/>
      <c r="I141" s="243"/>
      <c r="J141" s="208"/>
      <c r="K141" s="247"/>
      <c r="L141" s="243"/>
      <c r="M141" s="215"/>
    </row>
    <row r="142" spans="2:13" ht="13.5">
      <c r="B142" s="222"/>
      <c r="C142" s="243"/>
      <c r="D142" s="243"/>
      <c r="E142" s="243"/>
      <c r="F142" s="243"/>
      <c r="H142" s="243"/>
      <c r="I142" s="243"/>
      <c r="J142" s="208"/>
      <c r="K142" s="247"/>
      <c r="L142" s="243"/>
      <c r="M142" s="215"/>
    </row>
    <row r="143" spans="2:13" ht="13.5">
      <c r="B143" s="222"/>
      <c r="C143" s="243"/>
      <c r="D143" s="243"/>
      <c r="E143" s="243"/>
      <c r="F143" s="243"/>
      <c r="H143" s="243"/>
      <c r="I143" s="243"/>
      <c r="J143" s="208"/>
      <c r="K143" s="247"/>
      <c r="L143" s="243"/>
      <c r="M143" s="215"/>
    </row>
    <row r="144" spans="2:13" ht="13.5">
      <c r="B144" s="222"/>
      <c r="C144" s="243"/>
      <c r="D144" s="243"/>
      <c r="E144" s="243"/>
      <c r="F144" s="243"/>
      <c r="H144" s="243"/>
      <c r="I144" s="243"/>
      <c r="J144" s="208"/>
      <c r="K144" s="247"/>
      <c r="L144" s="243"/>
      <c r="M144" s="215"/>
    </row>
    <row r="145" spans="2:13" ht="13.5">
      <c r="B145" s="222"/>
      <c r="C145" s="243"/>
      <c r="D145" s="243"/>
      <c r="E145" s="243"/>
      <c r="F145" s="243"/>
      <c r="H145" s="243"/>
      <c r="I145" s="243"/>
      <c r="J145" s="208"/>
      <c r="K145" s="247"/>
      <c r="L145" s="243"/>
      <c r="M145" s="215"/>
    </row>
    <row r="146" spans="2:13" ht="13.5">
      <c r="B146" s="222"/>
      <c r="C146" s="243"/>
      <c r="D146" s="243"/>
      <c r="E146" s="243"/>
      <c r="F146" s="243"/>
      <c r="H146" s="243"/>
      <c r="I146" s="243"/>
      <c r="J146" s="208"/>
      <c r="K146" s="247"/>
      <c r="L146" s="243"/>
      <c r="M146" s="215"/>
    </row>
    <row r="147" spans="2:13" ht="13.5">
      <c r="B147" s="222"/>
      <c r="C147" s="243"/>
      <c r="D147" s="243"/>
      <c r="E147" s="243"/>
      <c r="F147" s="243"/>
      <c r="H147" s="243"/>
      <c r="I147" s="243"/>
      <c r="J147" s="208"/>
      <c r="K147" s="247"/>
      <c r="L147" s="243"/>
      <c r="M147" s="215"/>
    </row>
    <row r="148" spans="2:13" ht="13.5">
      <c r="B148" s="222"/>
      <c r="C148" s="243"/>
      <c r="D148" s="243"/>
      <c r="E148" s="243"/>
      <c r="F148" s="243"/>
      <c r="H148" s="243"/>
      <c r="I148" s="243"/>
      <c r="J148" s="208"/>
      <c r="K148" s="247"/>
      <c r="L148" s="243"/>
      <c r="M148" s="215"/>
    </row>
    <row r="149" spans="2:13" ht="13.5">
      <c r="B149" s="222"/>
      <c r="C149" s="243"/>
      <c r="D149" s="243"/>
      <c r="E149" s="243"/>
      <c r="F149" s="243"/>
      <c r="H149" s="243"/>
      <c r="I149" s="243"/>
      <c r="J149" s="208"/>
      <c r="K149" s="247"/>
      <c r="L149" s="243"/>
      <c r="M149" s="215"/>
    </row>
    <row r="150" spans="2:13" ht="13.5">
      <c r="B150" s="222"/>
      <c r="C150" s="243"/>
      <c r="D150" s="243"/>
      <c r="E150" s="243"/>
      <c r="F150" s="243"/>
      <c r="H150" s="243"/>
      <c r="I150" s="243"/>
      <c r="J150" s="208"/>
      <c r="K150" s="247"/>
      <c r="L150" s="243"/>
      <c r="M150" s="215"/>
    </row>
    <row r="151" spans="2:13" ht="13.5">
      <c r="B151" s="222"/>
      <c r="C151" s="243"/>
      <c r="D151" s="243"/>
      <c r="E151" s="243"/>
      <c r="F151" s="243"/>
      <c r="H151" s="243"/>
      <c r="I151" s="243"/>
      <c r="J151" s="208"/>
      <c r="K151" s="247"/>
      <c r="L151" s="243"/>
      <c r="M151" s="215"/>
    </row>
    <row r="152" spans="2:13" ht="13.5">
      <c r="B152" s="222"/>
      <c r="C152" s="243"/>
      <c r="D152" s="243"/>
      <c r="E152" s="243"/>
      <c r="F152" s="243"/>
      <c r="H152" s="243"/>
      <c r="I152" s="243"/>
      <c r="J152" s="208"/>
      <c r="K152" s="247"/>
      <c r="L152" s="243"/>
      <c r="M152" s="215"/>
    </row>
    <row r="153" spans="2:13" ht="13.5">
      <c r="B153" s="222"/>
      <c r="C153" s="243"/>
      <c r="D153" s="243"/>
      <c r="E153" s="243"/>
      <c r="F153" s="243"/>
      <c r="H153" s="243"/>
      <c r="I153" s="243"/>
      <c r="J153" s="208"/>
      <c r="K153" s="247"/>
      <c r="L153" s="243"/>
      <c r="M153" s="215"/>
    </row>
    <row r="154" spans="2:13" ht="13.5">
      <c r="B154" s="222"/>
      <c r="C154" s="243"/>
      <c r="D154" s="243"/>
      <c r="E154" s="243"/>
      <c r="F154" s="243"/>
      <c r="H154" s="243"/>
      <c r="I154" s="243"/>
      <c r="J154" s="208"/>
      <c r="K154" s="247"/>
      <c r="L154" s="243"/>
      <c r="M154" s="215"/>
    </row>
    <row r="155" spans="2:13" ht="13.5">
      <c r="B155" s="248"/>
      <c r="C155" s="243"/>
      <c r="D155" s="243"/>
      <c r="E155" s="243"/>
      <c r="F155" s="243"/>
      <c r="H155" s="243"/>
      <c r="I155" s="243"/>
      <c r="J155" s="208"/>
      <c r="K155" s="247"/>
      <c r="L155" s="243"/>
      <c r="M155" s="215"/>
    </row>
    <row r="156" spans="2:13" ht="13.5">
      <c r="B156" s="222"/>
      <c r="C156" s="243"/>
      <c r="D156" s="243"/>
      <c r="E156" s="243"/>
      <c r="F156" s="243"/>
      <c r="H156" s="243"/>
      <c r="I156" s="243"/>
      <c r="J156" s="208"/>
      <c r="K156" s="247"/>
      <c r="L156" s="243"/>
      <c r="M156" s="215"/>
    </row>
    <row r="157" spans="2:13" ht="13.5">
      <c r="B157" s="222"/>
      <c r="C157" s="243"/>
      <c r="D157" s="243"/>
      <c r="E157" s="243"/>
      <c r="F157" s="243"/>
      <c r="H157" s="243"/>
      <c r="I157" s="243"/>
      <c r="J157" s="208"/>
      <c r="K157" s="247"/>
      <c r="L157" s="243"/>
      <c r="M157" s="215"/>
    </row>
    <row r="158" spans="2:13" ht="13.5">
      <c r="B158" s="222"/>
      <c r="C158" s="243"/>
      <c r="D158" s="243"/>
      <c r="E158" s="243"/>
      <c r="F158" s="243"/>
      <c r="H158" s="243"/>
      <c r="I158" s="243"/>
      <c r="J158" s="208"/>
      <c r="K158" s="247"/>
      <c r="L158" s="243"/>
      <c r="M158" s="215"/>
    </row>
    <row r="159" spans="2:13" ht="13.5">
      <c r="B159" s="222"/>
      <c r="C159" s="243"/>
      <c r="D159" s="243"/>
      <c r="E159" s="243"/>
      <c r="F159" s="243"/>
      <c r="H159" s="243"/>
      <c r="I159" s="243"/>
      <c r="J159" s="208"/>
      <c r="K159" s="247"/>
      <c r="L159" s="243"/>
      <c r="M159" s="215"/>
    </row>
    <row r="160" spans="2:13" ht="13.5">
      <c r="B160" s="222"/>
      <c r="C160" s="243"/>
      <c r="D160" s="243"/>
      <c r="E160" s="243"/>
      <c r="F160" s="243"/>
      <c r="H160" s="243"/>
      <c r="I160" s="243"/>
      <c r="J160" s="208"/>
      <c r="K160" s="247"/>
      <c r="L160" s="243"/>
      <c r="M160" s="215"/>
    </row>
    <row r="161" spans="2:13" ht="13.5">
      <c r="B161" s="222"/>
      <c r="C161" s="243"/>
      <c r="D161" s="243"/>
      <c r="E161" s="243"/>
      <c r="F161" s="243"/>
      <c r="H161" s="243"/>
      <c r="I161" s="243"/>
      <c r="J161" s="208"/>
      <c r="K161" s="247"/>
      <c r="L161" s="243"/>
      <c r="M161" s="215"/>
    </row>
    <row r="162" spans="2:13" ht="13.5">
      <c r="B162" s="222"/>
      <c r="C162" s="243"/>
      <c r="D162" s="243"/>
      <c r="E162" s="243"/>
      <c r="F162" s="243"/>
      <c r="H162" s="243"/>
      <c r="I162" s="243"/>
      <c r="J162" s="208"/>
      <c r="K162" s="247"/>
      <c r="L162" s="243"/>
      <c r="M162" s="215"/>
    </row>
    <row r="163" spans="2:13" ht="13.5">
      <c r="B163" s="222"/>
      <c r="C163" s="243"/>
      <c r="D163" s="243"/>
      <c r="E163" s="243"/>
      <c r="F163" s="243"/>
      <c r="H163" s="243"/>
      <c r="I163" s="243"/>
      <c r="J163" s="208"/>
      <c r="K163" s="247"/>
      <c r="L163" s="243"/>
      <c r="M163" s="215"/>
    </row>
    <row r="164" spans="2:13" ht="13.5">
      <c r="B164" s="222"/>
      <c r="C164" s="243"/>
      <c r="D164" s="243"/>
      <c r="E164" s="243"/>
      <c r="F164" s="243"/>
      <c r="H164" s="243"/>
      <c r="I164" s="243"/>
      <c r="J164" s="208"/>
      <c r="K164" s="247"/>
      <c r="L164" s="243"/>
      <c r="M164" s="215"/>
    </row>
    <row r="165" spans="2:13" ht="13.5">
      <c r="B165" s="222"/>
      <c r="C165" s="243"/>
      <c r="D165" s="243"/>
      <c r="E165" s="243"/>
      <c r="F165" s="243"/>
      <c r="H165" s="243"/>
      <c r="I165" s="243"/>
      <c r="J165" s="208"/>
      <c r="K165" s="247"/>
      <c r="L165" s="243"/>
      <c r="M165" s="215"/>
    </row>
    <row r="166" spans="2:13" ht="13.5">
      <c r="B166" s="222"/>
      <c r="C166" s="243"/>
      <c r="D166" s="243"/>
      <c r="E166" s="243"/>
      <c r="F166" s="243"/>
      <c r="H166" s="243"/>
      <c r="I166" s="243"/>
      <c r="J166" s="208"/>
      <c r="K166" s="247"/>
      <c r="L166" s="243"/>
      <c r="M166" s="215"/>
    </row>
    <row r="167" spans="2:13" ht="13.5">
      <c r="B167" s="222"/>
      <c r="C167" s="243"/>
      <c r="D167" s="243"/>
      <c r="E167" s="243"/>
      <c r="F167" s="243"/>
      <c r="H167" s="243"/>
      <c r="I167" s="243"/>
      <c r="J167" s="208"/>
      <c r="K167" s="247"/>
      <c r="L167" s="243"/>
      <c r="M167" s="215"/>
    </row>
    <row r="168" spans="2:13" ht="13.5">
      <c r="B168" s="222"/>
      <c r="C168" s="243"/>
      <c r="D168" s="243"/>
      <c r="E168" s="243"/>
      <c r="F168" s="243"/>
      <c r="H168" s="243"/>
      <c r="I168" s="243"/>
      <c r="J168" s="208"/>
      <c r="K168" s="247"/>
      <c r="L168" s="243"/>
      <c r="M168" s="215"/>
    </row>
    <row r="169" spans="2:13" ht="13.5">
      <c r="B169" s="222"/>
      <c r="C169" s="243"/>
      <c r="D169" s="243"/>
      <c r="E169" s="243"/>
      <c r="F169" s="243"/>
      <c r="H169" s="243"/>
      <c r="I169" s="243"/>
      <c r="J169" s="208"/>
      <c r="K169" s="247"/>
      <c r="L169" s="243"/>
      <c r="M169" s="215"/>
    </row>
    <row r="170" spans="2:13" ht="13.5">
      <c r="B170" s="222"/>
      <c r="C170" s="243"/>
      <c r="D170" s="243"/>
      <c r="E170" s="243"/>
      <c r="F170" s="243"/>
      <c r="H170" s="243"/>
      <c r="I170" s="243"/>
      <c r="J170" s="208"/>
      <c r="K170" s="247"/>
      <c r="L170" s="243"/>
      <c r="M170" s="215"/>
    </row>
    <row r="171" spans="2:13" ht="13.5">
      <c r="B171" s="222"/>
      <c r="C171" s="243"/>
      <c r="D171" s="243"/>
      <c r="E171" s="243"/>
      <c r="F171" s="243"/>
      <c r="H171" s="243"/>
      <c r="I171" s="243"/>
      <c r="J171" s="208"/>
      <c r="K171" s="247"/>
      <c r="L171" s="243"/>
      <c r="M171" s="215"/>
    </row>
    <row r="172" spans="2:13" ht="13.5">
      <c r="B172" s="222"/>
      <c r="C172" s="243"/>
      <c r="D172" s="243"/>
      <c r="E172" s="243"/>
      <c r="F172" s="243"/>
      <c r="H172" s="243"/>
      <c r="I172" s="243"/>
      <c r="J172" s="208"/>
      <c r="K172" s="247"/>
      <c r="L172" s="243"/>
      <c r="M172" s="215"/>
    </row>
    <row r="173" spans="2:13" ht="13.5">
      <c r="B173" s="222"/>
      <c r="C173" s="243"/>
      <c r="D173" s="243"/>
      <c r="E173" s="243"/>
      <c r="F173" s="243"/>
      <c r="H173" s="243"/>
      <c r="I173" s="243"/>
      <c r="J173" s="208"/>
      <c r="K173" s="247"/>
      <c r="L173" s="243"/>
      <c r="M173" s="215"/>
    </row>
    <row r="174" spans="2:13" ht="13.5">
      <c r="B174" s="222"/>
      <c r="C174" s="243"/>
      <c r="D174" s="243"/>
      <c r="E174" s="243"/>
      <c r="F174" s="243"/>
      <c r="H174" s="243"/>
      <c r="I174" s="243"/>
      <c r="J174" s="208"/>
      <c r="K174" s="247"/>
      <c r="L174" s="243"/>
      <c r="M174" s="215"/>
    </row>
    <row r="175" spans="2:13" ht="13.5">
      <c r="B175" s="222"/>
      <c r="C175" s="243"/>
      <c r="D175" s="243"/>
      <c r="E175" s="243"/>
      <c r="F175" s="243"/>
      <c r="H175" s="243"/>
      <c r="I175" s="243"/>
      <c r="J175" s="208"/>
      <c r="K175" s="247"/>
      <c r="L175" s="243"/>
      <c r="M175" s="215"/>
    </row>
    <row r="176" spans="2:13" ht="13.5">
      <c r="B176" s="222"/>
      <c r="C176" s="243"/>
      <c r="D176" s="243"/>
      <c r="E176" s="243"/>
      <c r="F176" s="243"/>
      <c r="H176" s="243"/>
      <c r="I176" s="243"/>
      <c r="J176" s="208"/>
      <c r="K176" s="247"/>
      <c r="L176" s="243"/>
      <c r="M176" s="215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4"/>
  <sheetViews>
    <sheetView workbookViewId="0">
      <selection activeCell="F13" sqref="F13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7" width="16.7109375" customWidth="1"/>
    <col min="8" max="256" width="11.42578125" customWidth="1"/>
  </cols>
  <sheetData>
    <row r="1" spans="1:7" ht="27" customHeight="1" thickBot="1">
      <c r="A1" s="1" t="s">
        <v>0</v>
      </c>
      <c r="B1" s="280"/>
      <c r="C1" s="281"/>
      <c r="D1" s="281"/>
      <c r="E1" s="282"/>
    </row>
    <row r="2" spans="1:7" ht="15.75">
      <c r="A2" s="2" t="s">
        <v>1</v>
      </c>
      <c r="B2" s="3"/>
      <c r="C2" s="4"/>
      <c r="D2" s="3"/>
      <c r="E2" s="5"/>
    </row>
    <row r="3" spans="1:7">
      <c r="A3" s="213" t="s">
        <v>198</v>
      </c>
      <c r="B3" s="7">
        <v>20000</v>
      </c>
      <c r="D3" s="9">
        <v>38</v>
      </c>
      <c r="E3" s="10">
        <f>D3*B3</f>
        <v>760000</v>
      </c>
      <c r="F3" s="219" t="s">
        <v>199</v>
      </c>
      <c r="G3" s="220">
        <f>E80</f>
        <v>-8884.6667380137369</v>
      </c>
    </row>
    <row r="4" spans="1:7">
      <c r="A4" s="12" t="s">
        <v>2</v>
      </c>
      <c r="B4" s="13"/>
      <c r="C4" s="8" t="s">
        <v>3</v>
      </c>
      <c r="D4" s="14"/>
      <c r="E4" s="10">
        <f>E3*D4</f>
        <v>0</v>
      </c>
      <c r="F4" s="11"/>
    </row>
    <row r="5" spans="1:7">
      <c r="A5" s="213" t="s">
        <v>200</v>
      </c>
      <c r="B5" s="7">
        <v>4000</v>
      </c>
      <c r="D5" s="16">
        <f>D3</f>
        <v>38</v>
      </c>
      <c r="E5" s="10">
        <f>D5*B5</f>
        <v>152000</v>
      </c>
      <c r="F5" s="11"/>
    </row>
    <row r="6" spans="1:7">
      <c r="A6" s="12" t="s">
        <v>2</v>
      </c>
      <c r="B6" s="13"/>
      <c r="C6" s="8" t="s">
        <v>3</v>
      </c>
      <c r="D6" s="14"/>
      <c r="E6" s="10">
        <f>E5*D6</f>
        <v>0</v>
      </c>
      <c r="F6" s="11"/>
    </row>
    <row r="7" spans="1:7">
      <c r="A7" s="6"/>
      <c r="B7" s="7"/>
      <c r="D7" s="17"/>
      <c r="E7" s="10">
        <f>D7*B7</f>
        <v>0</v>
      </c>
      <c r="F7" s="11"/>
    </row>
    <row r="8" spans="1:7">
      <c r="A8" s="12" t="s">
        <v>2</v>
      </c>
      <c r="B8" s="13"/>
      <c r="C8" s="8" t="s">
        <v>3</v>
      </c>
      <c r="D8" s="14"/>
      <c r="E8" s="10">
        <f>E7*D8</f>
        <v>0</v>
      </c>
      <c r="F8" s="11"/>
    </row>
    <row r="9" spans="1:7">
      <c r="A9" s="15"/>
      <c r="B9" s="7"/>
      <c r="D9" s="17"/>
      <c r="E9" s="10">
        <f>D9*B9</f>
        <v>0</v>
      </c>
      <c r="F9" s="11"/>
    </row>
    <row r="10" spans="1:7">
      <c r="A10" s="12" t="s">
        <v>2</v>
      </c>
      <c r="B10" s="13"/>
      <c r="C10" s="8" t="s">
        <v>3</v>
      </c>
      <c r="D10" s="14"/>
      <c r="E10" s="10">
        <f>E9*D10</f>
        <v>0</v>
      </c>
      <c r="F10" s="11"/>
    </row>
    <row r="11" spans="1:7">
      <c r="A11" s="15"/>
      <c r="B11" s="7"/>
      <c r="D11" s="17"/>
      <c r="E11" s="10">
        <f>D11*B11</f>
        <v>0</v>
      </c>
      <c r="F11" s="11"/>
    </row>
    <row r="12" spans="1:7">
      <c r="A12" s="12" t="s">
        <v>2</v>
      </c>
      <c r="B12" s="13"/>
      <c r="C12" s="8" t="s">
        <v>3</v>
      </c>
      <c r="D12" s="14"/>
      <c r="E12" s="10">
        <f>E11*D12</f>
        <v>0</v>
      </c>
      <c r="F12" s="11"/>
    </row>
    <row r="13" spans="1:7">
      <c r="A13" s="15"/>
      <c r="B13" s="7"/>
      <c r="D13" s="17"/>
      <c r="E13" s="10">
        <f>D13*B13</f>
        <v>0</v>
      </c>
      <c r="F13" s="11"/>
    </row>
    <row r="14" spans="1:7">
      <c r="A14" s="12" t="s">
        <v>2</v>
      </c>
      <c r="B14" s="13"/>
      <c r="C14" s="8" t="s">
        <v>3</v>
      </c>
      <c r="D14" s="14"/>
      <c r="E14" s="10">
        <f>E13*D14</f>
        <v>0</v>
      </c>
      <c r="F14" s="11"/>
    </row>
    <row r="15" spans="1:7">
      <c r="A15" s="15"/>
      <c r="B15" s="7"/>
      <c r="D15" s="17"/>
      <c r="E15" s="10">
        <f>D15*B15</f>
        <v>0</v>
      </c>
      <c r="F15" s="11"/>
    </row>
    <row r="16" spans="1:7">
      <c r="A16" s="12" t="s">
        <v>2</v>
      </c>
      <c r="B16" s="13"/>
      <c r="C16" s="8" t="s">
        <v>3</v>
      </c>
      <c r="D16" s="14"/>
      <c r="E16" s="10">
        <f>E15*D16</f>
        <v>0</v>
      </c>
      <c r="F16" s="11"/>
    </row>
    <row r="17" spans="1:6">
      <c r="A17" s="6"/>
      <c r="B17" s="7"/>
      <c r="C17" s="8" t="s">
        <v>92</v>
      </c>
      <c r="D17" s="18"/>
      <c r="E17" s="10">
        <f>D17*B17</f>
        <v>0</v>
      </c>
      <c r="F17" s="11"/>
    </row>
    <row r="18" spans="1:6">
      <c r="A18" s="12" t="s">
        <v>2</v>
      </c>
      <c r="B18" s="13"/>
      <c r="C18" s="8" t="s">
        <v>3</v>
      </c>
      <c r="D18" s="19"/>
      <c r="E18" s="10">
        <f>E17*D18</f>
        <v>0</v>
      </c>
      <c r="F18" s="11"/>
    </row>
    <row r="19" spans="1:6">
      <c r="A19" s="15"/>
      <c r="B19" s="7"/>
      <c r="D19" s="20"/>
      <c r="E19" s="10">
        <f>D19*B19</f>
        <v>0</v>
      </c>
      <c r="F19" s="11"/>
    </row>
    <row r="20" spans="1:6">
      <c r="A20" s="12" t="s">
        <v>2</v>
      </c>
      <c r="B20" s="13"/>
      <c r="C20" s="8" t="s">
        <v>3</v>
      </c>
      <c r="D20" s="19"/>
      <c r="E20" s="10">
        <f>E19*D20</f>
        <v>0</v>
      </c>
      <c r="F20" s="11"/>
    </row>
    <row r="21" spans="1:6">
      <c r="A21" s="21" t="s">
        <v>4</v>
      </c>
      <c r="B21" s="22"/>
      <c r="D21" s="23"/>
      <c r="E21" s="24">
        <f>E4+E6+E8+E10+E12+E14+E16+E18+E20</f>
        <v>0</v>
      </c>
      <c r="F21" s="11"/>
    </row>
    <row r="22" spans="1:6">
      <c r="A22" s="21" t="s">
        <v>5</v>
      </c>
      <c r="B22" s="22"/>
      <c r="D22" s="23"/>
      <c r="E22" s="24">
        <f>E3+E5+E7+E9+E11+E13+E15+E17+E19</f>
        <v>912000</v>
      </c>
      <c r="F22" s="11"/>
    </row>
    <row r="23" spans="1:6">
      <c r="A23" s="25"/>
      <c r="B23" s="22"/>
      <c r="D23" s="23"/>
      <c r="E23" s="26"/>
      <c r="F23" s="11"/>
    </row>
    <row r="24" spans="1:6">
      <c r="A24" s="25"/>
      <c r="B24" s="22"/>
      <c r="D24" s="23"/>
      <c r="E24" s="26"/>
      <c r="F24" s="11"/>
    </row>
    <row r="25" spans="1:6">
      <c r="A25" s="25"/>
      <c r="B25" s="22"/>
      <c r="D25" s="23"/>
      <c r="E25" s="26"/>
      <c r="F25" s="11"/>
    </row>
    <row r="26" spans="1:6" ht="13.5" thickBot="1">
      <c r="A26" s="27" t="s">
        <v>6</v>
      </c>
      <c r="B26" s="28">
        <f>SUM(B3:B20)</f>
        <v>24000</v>
      </c>
      <c r="C26" s="29"/>
      <c r="D26" s="30"/>
      <c r="E26" s="31">
        <f>E22-E21+E25+E24+E23</f>
        <v>912000</v>
      </c>
      <c r="F26" s="11"/>
    </row>
    <row r="27" spans="1:6">
      <c r="A27" s="32"/>
      <c r="B27" s="3"/>
      <c r="C27" s="4"/>
      <c r="D27" s="33"/>
      <c r="E27" s="5"/>
    </row>
    <row r="28" spans="1:6" ht="15.75">
      <c r="A28" s="34" t="s">
        <v>7</v>
      </c>
      <c r="B28" s="35"/>
      <c r="D28" s="36"/>
      <c r="E28" s="37"/>
    </row>
    <row r="29" spans="1:6">
      <c r="A29" s="21"/>
      <c r="B29" s="35"/>
      <c r="D29" s="36"/>
      <c r="E29" s="37"/>
    </row>
    <row r="30" spans="1:6">
      <c r="A30" s="38" t="s">
        <v>8</v>
      </c>
      <c r="B30" s="35"/>
      <c r="D30" s="36"/>
      <c r="E30" s="37"/>
    </row>
    <row r="31" spans="1:6">
      <c r="A31" s="12"/>
      <c r="B31" s="39"/>
      <c r="D31" s="40"/>
      <c r="E31" s="37"/>
      <c r="F31" s="11"/>
    </row>
    <row r="32" spans="1:6">
      <c r="A32" s="12"/>
      <c r="B32" s="41"/>
      <c r="D32" s="40"/>
      <c r="E32" s="37"/>
      <c r="F32" s="11"/>
    </row>
    <row r="33" spans="1:8">
      <c r="A33" s="12"/>
      <c r="B33" s="42"/>
      <c r="D33" s="43"/>
      <c r="E33" s="37"/>
      <c r="F33" s="11"/>
    </row>
    <row r="34" spans="1:8">
      <c r="A34" s="38" t="s">
        <v>9</v>
      </c>
      <c r="B34" s="44">
        <f>C68+D68</f>
        <v>26.135416666666668</v>
      </c>
      <c r="C34" s="8" t="s">
        <v>3</v>
      </c>
      <c r="D34" s="45">
        <v>17000</v>
      </c>
      <c r="E34" s="37">
        <f>B34*D34</f>
        <v>444302.08333333337</v>
      </c>
      <c r="F34" s="11"/>
    </row>
    <row r="35" spans="1:8">
      <c r="A35" s="38" t="s">
        <v>10</v>
      </c>
      <c r="B35" s="46"/>
      <c r="C35" s="47">
        <v>3.7499999999999999E-2</v>
      </c>
      <c r="D35" s="36">
        <f>D34*C35</f>
        <v>637.5</v>
      </c>
      <c r="E35" s="48">
        <f>D35*B34</f>
        <v>16661.328125</v>
      </c>
      <c r="F35" s="11"/>
    </row>
    <row r="36" spans="1:8" ht="13.5" thickBot="1">
      <c r="A36" s="38"/>
      <c r="B36" s="46"/>
      <c r="C36" s="49" t="s">
        <v>11</v>
      </c>
      <c r="D36" s="40">
        <f>D34-D35</f>
        <v>16362.5</v>
      </c>
      <c r="E36" s="50">
        <f>E34-E35</f>
        <v>427640.75520833337</v>
      </c>
    </row>
    <row r="37" spans="1:8">
      <c r="A37" s="51" t="s">
        <v>12</v>
      </c>
      <c r="B37" s="52" t="s">
        <v>13</v>
      </c>
      <c r="C37" s="4" t="s">
        <v>14</v>
      </c>
      <c r="D37" s="53" t="s">
        <v>15</v>
      </c>
      <c r="E37" s="5"/>
    </row>
    <row r="38" spans="1:8">
      <c r="A38" s="38" t="s">
        <v>16</v>
      </c>
      <c r="B38" s="54">
        <v>25</v>
      </c>
      <c r="C38" s="55">
        <v>2.8</v>
      </c>
      <c r="D38" s="56">
        <v>1</v>
      </c>
      <c r="E38" s="37"/>
      <c r="F38" s="11"/>
      <c r="G38" s="11"/>
      <c r="H38" s="11"/>
    </row>
    <row r="39" spans="1:8">
      <c r="A39" s="38" t="s">
        <v>17</v>
      </c>
      <c r="B39" s="54">
        <v>0.1</v>
      </c>
      <c r="C39" s="55">
        <v>0.1</v>
      </c>
      <c r="D39" s="56">
        <v>1</v>
      </c>
      <c r="E39" s="37"/>
      <c r="F39" s="11"/>
      <c r="G39" s="11"/>
      <c r="H39" s="11"/>
    </row>
    <row r="40" spans="1:8">
      <c r="A40" s="38" t="s">
        <v>18</v>
      </c>
      <c r="B40" s="54">
        <v>12</v>
      </c>
      <c r="C40" s="57"/>
      <c r="D40" s="58"/>
      <c r="E40" s="37"/>
    </row>
    <row r="41" spans="1:8">
      <c r="A41" s="38"/>
      <c r="B41" s="35"/>
      <c r="D41" s="36"/>
      <c r="E41" s="37"/>
    </row>
    <row r="42" spans="1:8">
      <c r="A42" s="38" t="s">
        <v>19</v>
      </c>
      <c r="B42" s="35"/>
      <c r="D42" s="36"/>
      <c r="E42" s="37"/>
    </row>
    <row r="43" spans="1:8">
      <c r="A43" s="12" t="s">
        <v>20</v>
      </c>
      <c r="B43" s="59">
        <f>(B38*C68) + (C38*D68)</f>
        <v>231.58541666666667</v>
      </c>
      <c r="C43" s="8" t="s">
        <v>3</v>
      </c>
      <c r="D43" s="45">
        <v>715</v>
      </c>
      <c r="E43" s="60">
        <f>B43*D43</f>
        <v>165583.57291666669</v>
      </c>
      <c r="F43" s="11"/>
    </row>
    <row r="44" spans="1:8" ht="13.5" thickBot="1">
      <c r="A44" s="61" t="s">
        <v>21</v>
      </c>
      <c r="B44" s="62">
        <f>(B39*C68)+(C39*D68)</f>
        <v>2.6135416666666669</v>
      </c>
      <c r="C44" s="63" t="s">
        <v>3</v>
      </c>
      <c r="D44" s="64">
        <v>1290</v>
      </c>
      <c r="E44" s="65">
        <f>B44*D44</f>
        <v>3371.4687500000005</v>
      </c>
      <c r="F44" s="11"/>
    </row>
    <row r="45" spans="1:8">
      <c r="A45" s="32"/>
      <c r="B45" s="3"/>
      <c r="C45" s="4"/>
      <c r="D45" s="33"/>
      <c r="E45" s="5"/>
      <c r="F45" s="66"/>
    </row>
    <row r="46" spans="1:8">
      <c r="A46" s="38" t="s">
        <v>22</v>
      </c>
      <c r="B46" s="35"/>
      <c r="D46" s="36"/>
      <c r="E46" s="67">
        <v>1000</v>
      </c>
      <c r="F46" s="66"/>
      <c r="G46" s="68"/>
    </row>
    <row r="47" spans="1:8">
      <c r="A47" s="38"/>
      <c r="B47" s="35"/>
      <c r="D47" s="36"/>
      <c r="E47" s="37"/>
      <c r="F47" s="11"/>
    </row>
    <row r="48" spans="1:8">
      <c r="A48" s="69" t="s">
        <v>23</v>
      </c>
      <c r="B48" s="35"/>
      <c r="D48" s="18">
        <v>1500</v>
      </c>
      <c r="E48" s="70">
        <f>((D48*12)/365)*B34</f>
        <v>1288.8698630136987</v>
      </c>
      <c r="F48" s="11"/>
    </row>
    <row r="49" spans="1:10" ht="13.5" thickBot="1">
      <c r="A49" s="71"/>
      <c r="B49" s="72"/>
      <c r="C49" s="63"/>
      <c r="D49" s="73"/>
      <c r="E49" s="74"/>
    </row>
    <row r="50" spans="1:10">
      <c r="A50" s="75" t="s">
        <v>24</v>
      </c>
      <c r="B50" s="76" t="s">
        <v>25</v>
      </c>
      <c r="C50" s="77" t="s">
        <v>26</v>
      </c>
      <c r="D50" s="78" t="s">
        <v>27</v>
      </c>
      <c r="E50" s="5"/>
    </row>
    <row r="51" spans="1:10" s="81" customFormat="1" ht="23.25" customHeight="1">
      <c r="A51" s="12"/>
      <c r="B51" s="79"/>
      <c r="C51" s="80"/>
      <c r="D51" s="40"/>
      <c r="E51" s="37"/>
    </row>
    <row r="52" spans="1:10" s="81" customFormat="1" ht="12.75" customHeight="1">
      <c r="A52" s="82"/>
      <c r="B52" s="83"/>
      <c r="C52" s="80"/>
      <c r="D52" s="84"/>
      <c r="E52" s="85"/>
      <c r="G52" s="86"/>
    </row>
    <row r="53" spans="1:10">
      <c r="A53" s="82"/>
      <c r="B53" s="87"/>
      <c r="C53" s="88"/>
      <c r="D53" s="89"/>
      <c r="E53" s="90"/>
      <c r="F53" s="91"/>
      <c r="G53" s="91" t="s">
        <v>28</v>
      </c>
    </row>
    <row r="54" spans="1:10">
      <c r="A54" s="92"/>
      <c r="B54" s="93"/>
      <c r="C54" s="94">
        <f>B54/B40/24</f>
        <v>0</v>
      </c>
      <c r="D54" s="95"/>
      <c r="E54" s="96"/>
      <c r="F54" s="91"/>
      <c r="G54" s="97"/>
    </row>
    <row r="55" spans="1:10">
      <c r="A55" s="92"/>
      <c r="B55" s="93"/>
      <c r="C55" s="94">
        <f>B55/B40/24</f>
        <v>0</v>
      </c>
      <c r="D55" s="98"/>
      <c r="E55" s="99"/>
      <c r="F55" s="91">
        <f t="shared" ref="F55:F65" si="0">G54+C54</f>
        <v>0</v>
      </c>
      <c r="G55" s="91">
        <f t="shared" ref="G55:G65" si="1">F55+D55</f>
        <v>0</v>
      </c>
    </row>
    <row r="56" spans="1:10">
      <c r="A56" s="128" t="s">
        <v>72</v>
      </c>
      <c r="B56" s="93"/>
      <c r="C56" s="94">
        <f>B56/B40/24</f>
        <v>0</v>
      </c>
      <c r="D56" s="98">
        <v>2</v>
      </c>
      <c r="E56" s="99">
        <v>35000</v>
      </c>
      <c r="F56" s="91">
        <f t="shared" si="0"/>
        <v>0</v>
      </c>
      <c r="G56" s="91">
        <f t="shared" si="1"/>
        <v>2</v>
      </c>
    </row>
    <row r="57" spans="1:10">
      <c r="A57" s="128" t="s">
        <v>85</v>
      </c>
      <c r="B57" s="93">
        <v>141</v>
      </c>
      <c r="C57" s="94">
        <f>B57/B40/24</f>
        <v>0.48958333333333331</v>
      </c>
      <c r="D57" s="98">
        <v>3</v>
      </c>
      <c r="E57" s="99">
        <v>80000</v>
      </c>
      <c r="F57" s="91">
        <f t="shared" si="0"/>
        <v>2</v>
      </c>
      <c r="G57" s="91">
        <f t="shared" si="1"/>
        <v>5</v>
      </c>
    </row>
    <row r="58" spans="1:10">
      <c r="A58" s="92" t="s">
        <v>71</v>
      </c>
      <c r="B58" s="93">
        <v>825</v>
      </c>
      <c r="C58" s="94">
        <f>B58/B40/24</f>
        <v>2.8645833333333335</v>
      </c>
      <c r="D58" s="98">
        <v>3</v>
      </c>
      <c r="E58" s="99">
        <v>85000</v>
      </c>
      <c r="F58" s="91">
        <f t="shared" si="0"/>
        <v>5.489583333333333</v>
      </c>
      <c r="G58" s="91">
        <f t="shared" si="1"/>
        <v>8.4895833333333321</v>
      </c>
      <c r="J58">
        <f>180*3*2</f>
        <v>1080</v>
      </c>
    </row>
    <row r="59" spans="1:10">
      <c r="A59" s="128" t="s">
        <v>75</v>
      </c>
      <c r="B59" s="93">
        <v>468</v>
      </c>
      <c r="C59" s="94">
        <f>B59/B40/24</f>
        <v>1.625</v>
      </c>
      <c r="D59" s="98">
        <v>2</v>
      </c>
      <c r="E59" s="99">
        <v>80000</v>
      </c>
      <c r="F59" s="91">
        <f t="shared" si="0"/>
        <v>11.354166666666666</v>
      </c>
      <c r="G59" s="91">
        <f t="shared" si="1"/>
        <v>13.354166666666666</v>
      </c>
    </row>
    <row r="60" spans="1:10">
      <c r="A60" s="128" t="s">
        <v>84</v>
      </c>
      <c r="B60" s="93">
        <v>621</v>
      </c>
      <c r="C60" s="94">
        <f>B60/B40/24</f>
        <v>2.15625</v>
      </c>
      <c r="D60" s="98">
        <v>7</v>
      </c>
      <c r="E60" s="99">
        <v>40000</v>
      </c>
      <c r="F60" s="91">
        <f t="shared" si="0"/>
        <v>14.979166666666666</v>
      </c>
      <c r="G60" s="91">
        <f t="shared" si="1"/>
        <v>21.979166666666664</v>
      </c>
    </row>
    <row r="61" spans="1:10">
      <c r="A61" s="92"/>
      <c r="B61" s="93"/>
      <c r="C61" s="94">
        <f>B61/B40/24</f>
        <v>0</v>
      </c>
      <c r="D61" s="98"/>
      <c r="E61" s="99"/>
      <c r="F61" s="91">
        <f t="shared" si="0"/>
        <v>24.135416666666664</v>
      </c>
      <c r="G61" s="91">
        <f t="shared" si="1"/>
        <v>24.135416666666664</v>
      </c>
    </row>
    <row r="62" spans="1:10">
      <c r="A62" s="92"/>
      <c r="B62" s="93"/>
      <c r="C62" s="94">
        <f>B62/B40/24</f>
        <v>0</v>
      </c>
      <c r="D62" s="98"/>
      <c r="E62" s="99"/>
      <c r="F62" s="91">
        <f t="shared" si="0"/>
        <v>24.135416666666664</v>
      </c>
      <c r="G62" s="91">
        <f t="shared" si="1"/>
        <v>24.135416666666664</v>
      </c>
    </row>
    <row r="63" spans="1:10">
      <c r="A63" s="92"/>
      <c r="B63" s="93"/>
      <c r="C63" s="94">
        <f>B63/B40/24</f>
        <v>0</v>
      </c>
      <c r="D63" s="98"/>
      <c r="E63" s="99"/>
      <c r="F63" s="91">
        <f t="shared" si="0"/>
        <v>24.135416666666664</v>
      </c>
      <c r="G63" s="91">
        <f t="shared" si="1"/>
        <v>24.135416666666664</v>
      </c>
    </row>
    <row r="64" spans="1:10">
      <c r="A64" s="92"/>
      <c r="B64" s="93"/>
      <c r="C64" s="94">
        <f>B64/B40/24</f>
        <v>0</v>
      </c>
      <c r="D64" s="98"/>
      <c r="E64" s="99"/>
      <c r="F64" s="91">
        <f t="shared" si="0"/>
        <v>24.135416666666664</v>
      </c>
      <c r="G64" s="91">
        <f t="shared" si="1"/>
        <v>24.135416666666664</v>
      </c>
    </row>
    <row r="65" spans="1:10">
      <c r="A65" s="92"/>
      <c r="B65" s="100"/>
      <c r="C65" s="94">
        <f>B65/B40/24</f>
        <v>0</v>
      </c>
      <c r="D65" s="98"/>
      <c r="E65" s="101"/>
      <c r="F65" s="91">
        <f t="shared" si="0"/>
        <v>24.135416666666664</v>
      </c>
      <c r="G65" s="91">
        <f t="shared" si="1"/>
        <v>24.135416666666664</v>
      </c>
    </row>
    <row r="66" spans="1:10">
      <c r="A66" s="12" t="s">
        <v>40</v>
      </c>
      <c r="B66" s="102">
        <f>SUM(B52:B65)</f>
        <v>2055</v>
      </c>
      <c r="D66" s="35"/>
      <c r="E66" s="37"/>
    </row>
    <row r="67" spans="1:10">
      <c r="A67" s="12" t="s">
        <v>41</v>
      </c>
      <c r="B67" s="103"/>
      <c r="C67" s="104"/>
      <c r="D67" s="105">
        <v>2</v>
      </c>
      <c r="E67" s="37"/>
      <c r="J67">
        <f>10000*1.34*3.2808*3.2808*3.2808</f>
        <v>473199.27133870084</v>
      </c>
    </row>
    <row r="68" spans="1:10" ht="13.5" thickBot="1">
      <c r="A68" s="106" t="s">
        <v>42</v>
      </c>
      <c r="B68" s="107"/>
      <c r="C68" s="108">
        <f>SUM(C54:C67)</f>
        <v>7.135416666666667</v>
      </c>
      <c r="D68" s="108">
        <f>SUM(D55:D67)</f>
        <v>19</v>
      </c>
      <c r="E68" s="109">
        <f>SUM(E52:E65)</f>
        <v>320000</v>
      </c>
    </row>
    <row r="69" spans="1:10">
      <c r="A69" s="110" t="s">
        <v>43</v>
      </c>
      <c r="B69" s="3"/>
      <c r="C69" s="4"/>
      <c r="D69" s="33"/>
      <c r="E69" s="111">
        <v>1000</v>
      </c>
      <c r="F69" s="11"/>
    </row>
    <row r="70" spans="1:10">
      <c r="A70" s="112" t="s">
        <v>44</v>
      </c>
      <c r="B70" s="35"/>
      <c r="D70" s="113"/>
      <c r="E70" s="67"/>
      <c r="F70" s="11"/>
    </row>
    <row r="71" spans="1:10">
      <c r="A71" s="112" t="s">
        <v>45</v>
      </c>
      <c r="B71" s="35"/>
      <c r="D71" s="36"/>
      <c r="E71" s="67"/>
      <c r="F71" s="11"/>
    </row>
    <row r="72" spans="1:10">
      <c r="A72" s="112" t="s">
        <v>46</v>
      </c>
      <c r="B72" s="35"/>
      <c r="D72" s="36"/>
      <c r="E72" s="67"/>
      <c r="F72" s="11"/>
    </row>
    <row r="73" spans="1:10">
      <c r="A73" s="112" t="s">
        <v>47</v>
      </c>
      <c r="B73" s="35"/>
      <c r="D73" s="36"/>
      <c r="E73" s="67"/>
      <c r="F73" s="11"/>
    </row>
    <row r="74" spans="1:10">
      <c r="A74" s="112" t="s">
        <v>48</v>
      </c>
      <c r="B74" s="35"/>
      <c r="D74" s="36"/>
      <c r="E74" s="67"/>
      <c r="F74" s="11"/>
    </row>
    <row r="75" spans="1:10">
      <c r="A75" s="112" t="s">
        <v>49</v>
      </c>
      <c r="B75" s="35"/>
      <c r="D75" s="36"/>
      <c r="E75" s="67"/>
      <c r="F75" s="11"/>
    </row>
    <row r="76" spans="1:10">
      <c r="A76" s="112"/>
      <c r="B76" s="35"/>
      <c r="D76" s="36"/>
      <c r="E76" s="67"/>
      <c r="F76" s="11"/>
    </row>
    <row r="77" spans="1:10">
      <c r="A77" s="38" t="s">
        <v>51</v>
      </c>
      <c r="B77" s="35"/>
      <c r="D77" s="35"/>
      <c r="E77" s="67">
        <v>1000</v>
      </c>
      <c r="F77" s="11"/>
    </row>
    <row r="78" spans="1:10">
      <c r="A78" s="38" t="s">
        <v>52</v>
      </c>
      <c r="B78" s="35"/>
      <c r="D78" s="114"/>
      <c r="E78" s="67"/>
      <c r="F78" s="11"/>
    </row>
    <row r="79" spans="1:10" ht="13.5" thickBot="1">
      <c r="A79" s="27" t="s">
        <v>53</v>
      </c>
      <c r="B79" s="115"/>
      <c r="C79" s="116"/>
      <c r="D79" s="115"/>
      <c r="E79" s="117">
        <f>E36+E43+E44+E46+E48+E68+E69+E70+E71+E77+E78+E72+E73+E75+E76+E74</f>
        <v>920884.66673801374</v>
      </c>
      <c r="F79" s="118"/>
    </row>
    <row r="80" spans="1:10" ht="15.75">
      <c r="A80" s="119" t="s">
        <v>54</v>
      </c>
      <c r="B80" s="120"/>
      <c r="C80" s="121"/>
      <c r="D80" s="120"/>
      <c r="E80" s="122">
        <f>E26-E79</f>
        <v>-8884.6667380137369</v>
      </c>
    </row>
    <row r="81" spans="1:5" ht="13.5" thickBot="1">
      <c r="A81" s="123">
        <f ca="1">NOW()</f>
        <v>46205.416867939814</v>
      </c>
      <c r="B81" s="72"/>
      <c r="C81" s="63"/>
      <c r="D81" s="124" t="s">
        <v>55</v>
      </c>
      <c r="E81" s="65">
        <f>-(E79-E34-E26)/B34</f>
        <v>16660.052607871934</v>
      </c>
    </row>
    <row r="82" spans="1:5">
      <c r="A82" s="125"/>
      <c r="B82" s="35"/>
      <c r="D82" s="35"/>
      <c r="E82" s="35"/>
    </row>
    <row r="84" spans="1:5">
      <c r="A84" s="127"/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4"/>
  <sheetViews>
    <sheetView topLeftCell="A32" workbookViewId="0">
      <selection activeCell="C44" sqref="C44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7" width="16.7109375" customWidth="1"/>
    <col min="8" max="256" width="11.42578125" customWidth="1"/>
  </cols>
  <sheetData>
    <row r="1" spans="1:6" ht="27" customHeight="1" thickBot="1">
      <c r="A1" s="1" t="s">
        <v>0</v>
      </c>
      <c r="B1" s="280"/>
      <c r="C1" s="281"/>
      <c r="D1" s="281"/>
      <c r="E1" s="282"/>
    </row>
    <row r="2" spans="1:6" ht="15.75">
      <c r="A2" s="2" t="s">
        <v>1</v>
      </c>
      <c r="B2" s="3"/>
      <c r="C2" s="4"/>
      <c r="D2" s="3"/>
      <c r="E2" s="5"/>
    </row>
    <row r="3" spans="1:6">
      <c r="A3" s="6"/>
      <c r="B3" s="7">
        <v>10000</v>
      </c>
      <c r="D3" s="9">
        <v>40</v>
      </c>
      <c r="E3" s="10">
        <f>D3*B3</f>
        <v>400000</v>
      </c>
      <c r="F3" s="11"/>
    </row>
    <row r="4" spans="1:6">
      <c r="A4" s="12" t="s">
        <v>2</v>
      </c>
      <c r="B4" s="13"/>
      <c r="C4" s="8" t="s">
        <v>3</v>
      </c>
      <c r="D4" s="14">
        <v>1.2500000000000001E-2</v>
      </c>
      <c r="E4" s="10">
        <f>E3*D4</f>
        <v>5000</v>
      </c>
      <c r="F4" s="11"/>
    </row>
    <row r="5" spans="1:6">
      <c r="A5" s="15"/>
      <c r="B5" s="7"/>
      <c r="D5" s="16"/>
      <c r="E5" s="10">
        <f>D5*B5</f>
        <v>0</v>
      </c>
      <c r="F5" s="11"/>
    </row>
    <row r="6" spans="1:6">
      <c r="A6" s="12" t="s">
        <v>2</v>
      </c>
      <c r="B6" s="13"/>
      <c r="C6" s="8" t="s">
        <v>3</v>
      </c>
      <c r="D6" s="14"/>
      <c r="E6" s="10">
        <f>E5*D6</f>
        <v>0</v>
      </c>
      <c r="F6" s="11"/>
    </row>
    <row r="7" spans="1:6">
      <c r="A7" s="6"/>
      <c r="B7" s="7"/>
      <c r="D7" s="17"/>
      <c r="E7" s="10">
        <f>D7*B7</f>
        <v>0</v>
      </c>
      <c r="F7" s="11"/>
    </row>
    <row r="8" spans="1:6">
      <c r="A8" s="12" t="s">
        <v>2</v>
      </c>
      <c r="B8" s="13"/>
      <c r="C8" s="8" t="s">
        <v>3</v>
      </c>
      <c r="D8" s="14"/>
      <c r="E8" s="10">
        <f>E7*D8</f>
        <v>0</v>
      </c>
      <c r="F8" s="11"/>
    </row>
    <row r="9" spans="1:6">
      <c r="A9" s="15"/>
      <c r="B9" s="7"/>
      <c r="D9" s="17"/>
      <c r="E9" s="10">
        <f>D9*B9</f>
        <v>0</v>
      </c>
      <c r="F9" s="11"/>
    </row>
    <row r="10" spans="1:6">
      <c r="A10" s="12" t="s">
        <v>2</v>
      </c>
      <c r="B10" s="13"/>
      <c r="C10" s="8" t="s">
        <v>3</v>
      </c>
      <c r="D10" s="14"/>
      <c r="E10" s="10">
        <f>E9*D10</f>
        <v>0</v>
      </c>
      <c r="F10" s="11"/>
    </row>
    <row r="11" spans="1:6">
      <c r="A11" s="15"/>
      <c r="B11" s="7"/>
      <c r="D11" s="17"/>
      <c r="E11" s="10">
        <f>D11*B11</f>
        <v>0</v>
      </c>
      <c r="F11" s="11"/>
    </row>
    <row r="12" spans="1:6">
      <c r="A12" s="12" t="s">
        <v>2</v>
      </c>
      <c r="B12" s="13"/>
      <c r="C12" s="8" t="s">
        <v>3</v>
      </c>
      <c r="D12" s="14"/>
      <c r="E12" s="10">
        <f>E11*D12</f>
        <v>0</v>
      </c>
      <c r="F12" s="11"/>
    </row>
    <row r="13" spans="1:6">
      <c r="A13" s="15"/>
      <c r="B13" s="7"/>
      <c r="D13" s="17"/>
      <c r="E13" s="10">
        <f>D13*B13</f>
        <v>0</v>
      </c>
      <c r="F13" s="11"/>
    </row>
    <row r="14" spans="1:6">
      <c r="A14" s="12" t="s">
        <v>2</v>
      </c>
      <c r="B14" s="13"/>
      <c r="C14" s="8" t="s">
        <v>3</v>
      </c>
      <c r="D14" s="14"/>
      <c r="E14" s="10">
        <f>E13*D14</f>
        <v>0</v>
      </c>
      <c r="F14" s="11"/>
    </row>
    <row r="15" spans="1:6">
      <c r="A15" s="15"/>
      <c r="B15" s="7"/>
      <c r="D15" s="17"/>
      <c r="E15" s="10">
        <f>D15*B15</f>
        <v>0</v>
      </c>
      <c r="F15" s="11"/>
    </row>
    <row r="16" spans="1:6">
      <c r="A16" s="12" t="s">
        <v>2</v>
      </c>
      <c r="B16" s="13"/>
      <c r="C16" s="8" t="s">
        <v>3</v>
      </c>
      <c r="D16" s="14"/>
      <c r="E16" s="10">
        <f>E15*D16</f>
        <v>0</v>
      </c>
      <c r="F16" s="11"/>
    </row>
    <row r="17" spans="1:6">
      <c r="A17" s="6"/>
      <c r="B17" s="7"/>
      <c r="C17" s="8" t="s">
        <v>92</v>
      </c>
      <c r="D17" s="18"/>
      <c r="E17" s="10">
        <f>D17*B17</f>
        <v>0</v>
      </c>
      <c r="F17" s="11"/>
    </row>
    <row r="18" spans="1:6">
      <c r="A18" s="12" t="s">
        <v>2</v>
      </c>
      <c r="B18" s="13"/>
      <c r="C18" s="8" t="s">
        <v>3</v>
      </c>
      <c r="D18" s="19"/>
      <c r="E18" s="10">
        <f>E17*D18</f>
        <v>0</v>
      </c>
      <c r="F18" s="11"/>
    </row>
    <row r="19" spans="1:6">
      <c r="A19" s="15"/>
      <c r="B19" s="7"/>
      <c r="D19" s="20"/>
      <c r="E19" s="10">
        <f>D19*B19</f>
        <v>0</v>
      </c>
      <c r="F19" s="11"/>
    </row>
    <row r="20" spans="1:6">
      <c r="A20" s="12" t="s">
        <v>2</v>
      </c>
      <c r="B20" s="13"/>
      <c r="C20" s="8" t="s">
        <v>3</v>
      </c>
      <c r="D20" s="19"/>
      <c r="E20" s="10">
        <f>E19*D20</f>
        <v>0</v>
      </c>
      <c r="F20" s="11"/>
    </row>
    <row r="21" spans="1:6">
      <c r="A21" s="21" t="s">
        <v>4</v>
      </c>
      <c r="B21" s="22"/>
      <c r="D21" s="23"/>
      <c r="E21" s="24">
        <f>E4+E6+E8+E10+E12+E14+E16+E18+E20</f>
        <v>5000</v>
      </c>
      <c r="F21" s="11"/>
    </row>
    <row r="22" spans="1:6">
      <c r="A22" s="21" t="s">
        <v>5</v>
      </c>
      <c r="B22" s="22"/>
      <c r="D22" s="23"/>
      <c r="E22" s="24">
        <f>E3+E5+E7+E9+E11+E13+E15+E17+E19</f>
        <v>400000</v>
      </c>
      <c r="F22" s="11"/>
    </row>
    <row r="23" spans="1:6">
      <c r="A23" s="25"/>
      <c r="B23" s="22"/>
      <c r="D23" s="23"/>
      <c r="E23" s="26"/>
      <c r="F23" s="11"/>
    </row>
    <row r="24" spans="1:6">
      <c r="A24" s="25"/>
      <c r="B24" s="22"/>
      <c r="D24" s="23"/>
      <c r="E24" s="26"/>
      <c r="F24" s="11"/>
    </row>
    <row r="25" spans="1:6">
      <c r="A25" s="25"/>
      <c r="B25" s="22"/>
      <c r="D25" s="23"/>
      <c r="E25" s="26"/>
      <c r="F25" s="11"/>
    </row>
    <row r="26" spans="1:6" ht="13.5" thickBot="1">
      <c r="A26" s="27" t="s">
        <v>6</v>
      </c>
      <c r="B26" s="28">
        <f>SUM(B3:B20)</f>
        <v>10000</v>
      </c>
      <c r="C26" s="29"/>
      <c r="D26" s="30"/>
      <c r="E26" s="31">
        <f>E22-E21+E25+E24+E23</f>
        <v>395000</v>
      </c>
      <c r="F26" s="11"/>
    </row>
    <row r="27" spans="1:6">
      <c r="A27" s="32"/>
      <c r="B27" s="3"/>
      <c r="C27" s="4"/>
      <c r="D27" s="33"/>
      <c r="E27" s="5"/>
    </row>
    <row r="28" spans="1:6" ht="15.75">
      <c r="A28" s="34" t="s">
        <v>7</v>
      </c>
      <c r="B28" s="35"/>
      <c r="D28" s="36"/>
      <c r="E28" s="37"/>
    </row>
    <row r="29" spans="1:6">
      <c r="A29" s="21"/>
      <c r="B29" s="35"/>
      <c r="D29" s="36"/>
      <c r="E29" s="37"/>
    </row>
    <row r="30" spans="1:6">
      <c r="A30" s="38" t="s">
        <v>8</v>
      </c>
      <c r="B30" s="35"/>
      <c r="D30" s="36"/>
      <c r="E30" s="37"/>
    </row>
    <row r="31" spans="1:6">
      <c r="A31" s="12"/>
      <c r="B31" s="39"/>
      <c r="D31" s="40"/>
      <c r="E31" s="37"/>
      <c r="F31" s="11"/>
    </row>
    <row r="32" spans="1:6">
      <c r="A32" s="12"/>
      <c r="B32" s="41"/>
      <c r="D32" s="40"/>
      <c r="E32" s="37"/>
      <c r="F32" s="11"/>
    </row>
    <row r="33" spans="1:8">
      <c r="A33" s="12"/>
      <c r="B33" s="42"/>
      <c r="D33" s="43"/>
      <c r="E33" s="37"/>
      <c r="F33" s="11"/>
    </row>
    <row r="34" spans="1:8">
      <c r="A34" s="38" t="s">
        <v>9</v>
      </c>
      <c r="B34" s="44">
        <f>C68+D68</f>
        <v>20.179487179487182</v>
      </c>
      <c r="C34" s="8" t="s">
        <v>3</v>
      </c>
      <c r="D34" s="45">
        <v>10000</v>
      </c>
      <c r="E34" s="37">
        <f>B34*D34</f>
        <v>201794.87179487181</v>
      </c>
      <c r="F34" s="11"/>
    </row>
    <row r="35" spans="1:8">
      <c r="A35" s="38" t="s">
        <v>10</v>
      </c>
      <c r="B35" s="46"/>
      <c r="C35" s="47">
        <v>3.7499999999999999E-2</v>
      </c>
      <c r="D35" s="36">
        <f>D34*C35</f>
        <v>375</v>
      </c>
      <c r="E35" s="48">
        <f>D35*B34</f>
        <v>7567.3076923076933</v>
      </c>
      <c r="F35" s="11"/>
    </row>
    <row r="36" spans="1:8" ht="13.5" thickBot="1">
      <c r="A36" s="38"/>
      <c r="B36" s="46"/>
      <c r="C36" s="49" t="s">
        <v>11</v>
      </c>
      <c r="D36" s="40">
        <f>D34-D35</f>
        <v>9625</v>
      </c>
      <c r="E36" s="50">
        <f>E34-E35</f>
        <v>194227.56410256412</v>
      </c>
    </row>
    <row r="37" spans="1:8">
      <c r="A37" s="51" t="s">
        <v>12</v>
      </c>
      <c r="B37" s="52" t="s">
        <v>13</v>
      </c>
      <c r="C37" s="4" t="s">
        <v>14</v>
      </c>
      <c r="D37" s="53" t="s">
        <v>15</v>
      </c>
      <c r="E37" s="5"/>
    </row>
    <row r="38" spans="1:8">
      <c r="A38" s="38" t="s">
        <v>16</v>
      </c>
      <c r="B38" s="54">
        <v>25</v>
      </c>
      <c r="C38" s="55">
        <v>2</v>
      </c>
      <c r="D38" s="56">
        <v>1</v>
      </c>
      <c r="E38" s="37"/>
      <c r="F38" s="11"/>
      <c r="G38" s="11"/>
      <c r="H38" s="11"/>
    </row>
    <row r="39" spans="1:8">
      <c r="A39" s="38" t="s">
        <v>17</v>
      </c>
      <c r="B39" s="54">
        <v>1</v>
      </c>
      <c r="C39" s="55">
        <v>1</v>
      </c>
      <c r="D39" s="56">
        <v>1</v>
      </c>
      <c r="E39" s="37"/>
      <c r="F39" s="11"/>
      <c r="G39" s="11"/>
      <c r="H39" s="11"/>
    </row>
    <row r="40" spans="1:8">
      <c r="A40" s="38" t="s">
        <v>18</v>
      </c>
      <c r="B40" s="54">
        <v>13</v>
      </c>
      <c r="C40" s="57"/>
      <c r="D40" s="58"/>
      <c r="E40" s="37"/>
    </row>
    <row r="41" spans="1:8">
      <c r="A41" s="38"/>
      <c r="B41" s="35"/>
      <c r="D41" s="36"/>
      <c r="E41" s="37"/>
    </row>
    <row r="42" spans="1:8">
      <c r="A42" s="38" t="s">
        <v>19</v>
      </c>
      <c r="B42" s="35"/>
      <c r="D42" s="36"/>
      <c r="E42" s="37"/>
    </row>
    <row r="43" spans="1:8">
      <c r="A43" s="12" t="s">
        <v>20</v>
      </c>
      <c r="B43" s="59">
        <f>(B38*C68) + (C38*D68)</f>
        <v>247.65384615384616</v>
      </c>
      <c r="C43" s="8" t="s">
        <v>3</v>
      </c>
      <c r="D43" s="45">
        <v>680</v>
      </c>
      <c r="E43" s="60">
        <f>B43*D43</f>
        <v>168404.61538461538</v>
      </c>
      <c r="F43" s="11"/>
    </row>
    <row r="44" spans="1:8" ht="13.5" thickBot="1">
      <c r="A44" s="61" t="s">
        <v>21</v>
      </c>
      <c r="B44" s="62">
        <f>(B39*C68)+(C39*D68)</f>
        <v>20.179487179487182</v>
      </c>
      <c r="C44" s="63" t="s">
        <v>3</v>
      </c>
      <c r="D44" s="64">
        <v>1245</v>
      </c>
      <c r="E44" s="65">
        <f>B44*D44</f>
        <v>25123.461538461543</v>
      </c>
      <c r="F44" s="11"/>
    </row>
    <row r="45" spans="1:8">
      <c r="A45" s="32"/>
      <c r="B45" s="3"/>
      <c r="C45" s="4"/>
      <c r="D45" s="33"/>
      <c r="E45" s="5"/>
      <c r="F45" s="66"/>
    </row>
    <row r="46" spans="1:8">
      <c r="A46" s="38" t="s">
        <v>22</v>
      </c>
      <c r="B46" s="35"/>
      <c r="D46" s="36"/>
      <c r="E46" s="67">
        <v>1000</v>
      </c>
      <c r="F46" s="66"/>
      <c r="G46" s="68"/>
    </row>
    <row r="47" spans="1:8">
      <c r="A47" s="38"/>
      <c r="B47" s="35"/>
      <c r="D47" s="36"/>
      <c r="E47" s="37"/>
      <c r="F47" s="11"/>
    </row>
    <row r="48" spans="1:8">
      <c r="A48" s="69" t="s">
        <v>23</v>
      </c>
      <c r="B48" s="35"/>
      <c r="D48" s="18">
        <v>1500</v>
      </c>
      <c r="E48" s="70">
        <f>((D48*12)/365)*B34</f>
        <v>995.15279241306644</v>
      </c>
      <c r="F48" s="11"/>
    </row>
    <row r="49" spans="1:7" ht="13.5" thickBot="1">
      <c r="A49" s="71"/>
      <c r="B49" s="72"/>
      <c r="C49" s="63"/>
      <c r="D49" s="73"/>
      <c r="E49" s="74"/>
    </row>
    <row r="50" spans="1:7">
      <c r="A50" s="75" t="s">
        <v>24</v>
      </c>
      <c r="B50" s="76" t="s">
        <v>25</v>
      </c>
      <c r="C50" s="77" t="s">
        <v>26</v>
      </c>
      <c r="D50" s="78" t="s">
        <v>27</v>
      </c>
      <c r="E50" s="5"/>
    </row>
    <row r="51" spans="1:7" s="81" customFormat="1" ht="23.25" customHeight="1">
      <c r="A51" s="12"/>
      <c r="B51" s="79"/>
      <c r="C51" s="80"/>
      <c r="D51" s="40"/>
      <c r="E51" s="37"/>
    </row>
    <row r="52" spans="1:7" s="81" customFormat="1" ht="12.75" customHeight="1">
      <c r="A52" s="82"/>
      <c r="B52" s="83"/>
      <c r="C52" s="80"/>
      <c r="D52" s="84"/>
      <c r="E52" s="85"/>
      <c r="G52" s="86"/>
    </row>
    <row r="53" spans="1:7">
      <c r="A53" s="82"/>
      <c r="B53" s="87"/>
      <c r="C53" s="88"/>
      <c r="D53" s="89"/>
      <c r="E53" s="90"/>
      <c r="F53" s="91"/>
      <c r="G53" s="91" t="s">
        <v>28</v>
      </c>
    </row>
    <row r="54" spans="1:7">
      <c r="A54" s="92"/>
      <c r="B54" s="93"/>
      <c r="C54" s="94">
        <f>B54/B40/24</f>
        <v>0</v>
      </c>
      <c r="D54" s="95"/>
      <c r="E54" s="96"/>
      <c r="F54" s="91"/>
      <c r="G54" s="97"/>
    </row>
    <row r="55" spans="1:7">
      <c r="A55" s="92"/>
      <c r="B55" s="93"/>
      <c r="C55" s="94">
        <f>B55/B40/24</f>
        <v>0</v>
      </c>
      <c r="D55" s="98"/>
      <c r="E55" s="99"/>
      <c r="F55" s="91">
        <f t="shared" ref="F55:F65" si="0">G54+C54</f>
        <v>0</v>
      </c>
      <c r="G55" s="91">
        <f t="shared" ref="G55:G65" si="1">F55+D55</f>
        <v>0</v>
      </c>
    </row>
    <row r="56" spans="1:7">
      <c r="A56" s="92"/>
      <c r="B56" s="93"/>
      <c r="C56" s="94">
        <f>B56/B40/24</f>
        <v>0</v>
      </c>
      <c r="D56" s="98"/>
      <c r="E56" s="99"/>
      <c r="F56" s="91">
        <f t="shared" si="0"/>
        <v>0</v>
      </c>
      <c r="G56" s="91">
        <f t="shared" si="1"/>
        <v>0</v>
      </c>
    </row>
    <row r="57" spans="1:7">
      <c r="A57" s="128" t="s">
        <v>201</v>
      </c>
      <c r="B57" s="93"/>
      <c r="C57" s="94">
        <f>B57/B40/24</f>
        <v>0</v>
      </c>
      <c r="D57" s="98">
        <f>(10000/1500)+1</f>
        <v>7.666666666666667</v>
      </c>
      <c r="E57" s="99">
        <v>18000</v>
      </c>
      <c r="F57" s="91">
        <f t="shared" si="0"/>
        <v>0</v>
      </c>
      <c r="G57" s="91">
        <f t="shared" si="1"/>
        <v>7.666666666666667</v>
      </c>
    </row>
    <row r="58" spans="1:7">
      <c r="A58" s="128" t="s">
        <v>202</v>
      </c>
      <c r="B58" s="93">
        <v>2500</v>
      </c>
      <c r="C58" s="94">
        <f>B58/B40/24</f>
        <v>8.0128205128205128</v>
      </c>
      <c r="D58" s="98">
        <v>2.5</v>
      </c>
      <c r="E58" s="99">
        <v>18000</v>
      </c>
      <c r="F58" s="91">
        <f t="shared" si="0"/>
        <v>7.666666666666667</v>
      </c>
      <c r="G58" s="91">
        <f t="shared" si="1"/>
        <v>10.166666666666668</v>
      </c>
    </row>
    <row r="59" spans="1:7">
      <c r="A59" s="92"/>
      <c r="B59" s="93"/>
      <c r="C59" s="94">
        <f>B59/B40/24</f>
        <v>0</v>
      </c>
      <c r="D59" s="98"/>
      <c r="E59" s="99"/>
      <c r="F59" s="91">
        <f t="shared" si="0"/>
        <v>18.179487179487182</v>
      </c>
      <c r="G59" s="91">
        <f t="shared" si="1"/>
        <v>18.179487179487182</v>
      </c>
    </row>
    <row r="60" spans="1:7">
      <c r="A60" s="92"/>
      <c r="B60" s="93"/>
      <c r="C60" s="94">
        <f>B60/B40/24</f>
        <v>0</v>
      </c>
      <c r="D60" s="98"/>
      <c r="E60" s="99"/>
      <c r="F60" s="91">
        <f t="shared" si="0"/>
        <v>18.179487179487182</v>
      </c>
      <c r="G60" s="91">
        <f t="shared" si="1"/>
        <v>18.179487179487182</v>
      </c>
    </row>
    <row r="61" spans="1:7">
      <c r="A61" s="92"/>
      <c r="B61" s="93"/>
      <c r="C61" s="94">
        <f>B61/B40/24</f>
        <v>0</v>
      </c>
      <c r="D61" s="98"/>
      <c r="E61" s="99"/>
      <c r="F61" s="91">
        <f t="shared" si="0"/>
        <v>18.179487179487182</v>
      </c>
      <c r="G61" s="91">
        <f t="shared" si="1"/>
        <v>18.179487179487182</v>
      </c>
    </row>
    <row r="62" spans="1:7">
      <c r="A62" s="92"/>
      <c r="B62" s="93"/>
      <c r="C62" s="94">
        <f>B62/B40/24</f>
        <v>0</v>
      </c>
      <c r="D62" s="98"/>
      <c r="E62" s="99"/>
      <c r="F62" s="91">
        <f t="shared" si="0"/>
        <v>18.179487179487182</v>
      </c>
      <c r="G62" s="91">
        <f t="shared" si="1"/>
        <v>18.179487179487182</v>
      </c>
    </row>
    <row r="63" spans="1:7">
      <c r="A63" s="92"/>
      <c r="B63" s="93"/>
      <c r="C63" s="94">
        <f>B63/B40/24</f>
        <v>0</v>
      </c>
      <c r="D63" s="98"/>
      <c r="E63" s="99"/>
      <c r="F63" s="91">
        <f t="shared" si="0"/>
        <v>18.179487179487182</v>
      </c>
      <c r="G63" s="91">
        <f t="shared" si="1"/>
        <v>18.179487179487182</v>
      </c>
    </row>
    <row r="64" spans="1:7">
      <c r="A64" s="92"/>
      <c r="B64" s="93"/>
      <c r="C64" s="94">
        <f>B64/B40/24</f>
        <v>0</v>
      </c>
      <c r="D64" s="98"/>
      <c r="E64" s="99"/>
      <c r="F64" s="91">
        <f t="shared" si="0"/>
        <v>18.179487179487182</v>
      </c>
      <c r="G64" s="91">
        <f t="shared" si="1"/>
        <v>18.179487179487182</v>
      </c>
    </row>
    <row r="65" spans="1:7">
      <c r="A65" s="92"/>
      <c r="B65" s="100"/>
      <c r="C65" s="94">
        <f>B65/B40/24</f>
        <v>0</v>
      </c>
      <c r="D65" s="98"/>
      <c r="E65" s="101"/>
      <c r="F65" s="91">
        <f t="shared" si="0"/>
        <v>18.179487179487182</v>
      </c>
      <c r="G65" s="91">
        <f t="shared" si="1"/>
        <v>18.179487179487182</v>
      </c>
    </row>
    <row r="66" spans="1:7">
      <c r="A66" s="12" t="s">
        <v>40</v>
      </c>
      <c r="B66" s="102">
        <f>SUM(B52:B65)</f>
        <v>2500</v>
      </c>
      <c r="D66" s="35"/>
      <c r="E66" s="37"/>
    </row>
    <row r="67" spans="1:7">
      <c r="A67" s="12" t="s">
        <v>41</v>
      </c>
      <c r="B67" s="103"/>
      <c r="C67" s="104">
        <v>1</v>
      </c>
      <c r="D67" s="105">
        <v>1</v>
      </c>
      <c r="E67" s="37"/>
    </row>
    <row r="68" spans="1:7" ht="13.5" thickBot="1">
      <c r="A68" s="106" t="s">
        <v>42</v>
      </c>
      <c r="B68" s="107"/>
      <c r="C68" s="108">
        <f>SUM(C54:C67)</f>
        <v>9.0128205128205128</v>
      </c>
      <c r="D68" s="108">
        <f>SUM(D55:D67)</f>
        <v>11.166666666666668</v>
      </c>
      <c r="E68" s="109">
        <f>SUM(E52:E65)</f>
        <v>36000</v>
      </c>
    </row>
    <row r="69" spans="1:7">
      <c r="A69" s="110" t="s">
        <v>43</v>
      </c>
      <c r="B69" s="3"/>
      <c r="C69" s="4"/>
      <c r="D69" s="33"/>
      <c r="E69" s="111">
        <v>500</v>
      </c>
      <c r="F69" s="11"/>
    </row>
    <row r="70" spans="1:7">
      <c r="A70" s="112" t="s">
        <v>44</v>
      </c>
      <c r="B70" s="35"/>
      <c r="D70" s="113"/>
      <c r="E70" s="67"/>
      <c r="F70" s="11"/>
    </row>
    <row r="71" spans="1:7">
      <c r="A71" s="112" t="s">
        <v>45</v>
      </c>
      <c r="B71" s="35"/>
      <c r="D71" s="36"/>
      <c r="E71" s="67"/>
      <c r="F71" s="11"/>
    </row>
    <row r="72" spans="1:7">
      <c r="A72" s="112" t="s">
        <v>46</v>
      </c>
      <c r="B72" s="35"/>
      <c r="D72" s="36"/>
      <c r="E72" s="67"/>
      <c r="F72" s="11"/>
    </row>
    <row r="73" spans="1:7">
      <c r="A73" s="112" t="s">
        <v>47</v>
      </c>
      <c r="B73" s="35"/>
      <c r="D73" s="36"/>
      <c r="E73" s="67"/>
      <c r="F73" s="11"/>
    </row>
    <row r="74" spans="1:7">
      <c r="A74" s="112" t="s">
        <v>48</v>
      </c>
      <c r="B74" s="35"/>
      <c r="D74" s="36"/>
      <c r="E74" s="67"/>
      <c r="F74" s="11"/>
    </row>
    <row r="75" spans="1:7">
      <c r="A75" s="112" t="s">
        <v>49</v>
      </c>
      <c r="B75" s="35"/>
      <c r="D75" s="36"/>
      <c r="E75" s="67"/>
      <c r="F75" s="11"/>
    </row>
    <row r="76" spans="1:7">
      <c r="A76" s="112"/>
      <c r="B76" s="35"/>
      <c r="D76" s="36"/>
      <c r="E76" s="67"/>
      <c r="F76" s="11"/>
    </row>
    <row r="77" spans="1:7">
      <c r="A77" s="38" t="s">
        <v>51</v>
      </c>
      <c r="B77" s="35"/>
      <c r="D77" s="35"/>
      <c r="E77" s="67">
        <v>500</v>
      </c>
      <c r="F77" s="11"/>
    </row>
    <row r="78" spans="1:7">
      <c r="A78" s="38" t="s">
        <v>52</v>
      </c>
      <c r="B78" s="35"/>
      <c r="D78" s="114"/>
      <c r="E78" s="67"/>
      <c r="F78" s="11"/>
    </row>
    <row r="79" spans="1:7" ht="13.5" thickBot="1">
      <c r="A79" s="27" t="s">
        <v>53</v>
      </c>
      <c r="B79" s="115"/>
      <c r="C79" s="116"/>
      <c r="D79" s="115"/>
      <c r="E79" s="117">
        <f>E36+E43+E44+E46+E48+E68+E69+E70+E71+E77+E78+E72+E73+E75+E76+E74</f>
        <v>426750.79381805414</v>
      </c>
      <c r="F79" s="118"/>
    </row>
    <row r="80" spans="1:7" ht="15.75">
      <c r="A80" s="119" t="s">
        <v>54</v>
      </c>
      <c r="B80" s="120"/>
      <c r="C80" s="121"/>
      <c r="D80" s="120"/>
      <c r="E80" s="122">
        <f>E26-E79</f>
        <v>-31750.793818054139</v>
      </c>
    </row>
    <row r="81" spans="1:5" ht="13.5" thickBot="1">
      <c r="A81" s="123">
        <f ca="1">NOW()</f>
        <v>46205.416867939814</v>
      </c>
      <c r="B81" s="72"/>
      <c r="C81" s="63"/>
      <c r="D81" s="124" t="s">
        <v>55</v>
      </c>
      <c r="E81" s="65">
        <f>-(E79-E34-E26)/B34</f>
        <v>8426.5807383683459</v>
      </c>
    </row>
    <row r="82" spans="1:5">
      <c r="A82" s="125"/>
      <c r="B82" s="35"/>
      <c r="D82" s="35"/>
      <c r="E82" s="35"/>
    </row>
    <row r="84" spans="1:5">
      <c r="A84" s="127"/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4"/>
  <sheetViews>
    <sheetView workbookViewId="0">
      <selection activeCell="D10" sqref="D10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7" width="16.7109375" customWidth="1"/>
    <col min="8" max="256" width="11.42578125" customWidth="1"/>
  </cols>
  <sheetData>
    <row r="1" spans="1:6" ht="27" customHeight="1" thickBot="1">
      <c r="A1" s="1" t="s">
        <v>0</v>
      </c>
      <c r="B1" s="280"/>
      <c r="C1" s="281"/>
      <c r="D1" s="281"/>
      <c r="E1" s="282"/>
    </row>
    <row r="2" spans="1:6" ht="15.75">
      <c r="A2" s="2" t="s">
        <v>1</v>
      </c>
      <c r="B2" s="3"/>
      <c r="C2" s="4"/>
      <c r="D2" s="3"/>
      <c r="E2" s="5"/>
    </row>
    <row r="3" spans="1:6">
      <c r="A3" s="6"/>
      <c r="B3" s="7">
        <v>10000</v>
      </c>
      <c r="D3" s="9">
        <v>40</v>
      </c>
      <c r="E3" s="10">
        <f>D3*B3</f>
        <v>400000</v>
      </c>
      <c r="F3" s="11"/>
    </row>
    <row r="4" spans="1:6">
      <c r="A4" s="12" t="s">
        <v>2</v>
      </c>
      <c r="B4" s="13"/>
      <c r="C4" s="8" t="s">
        <v>3</v>
      </c>
      <c r="D4" s="14">
        <v>1.2500000000000001E-2</v>
      </c>
      <c r="E4" s="10">
        <f>E3*D4</f>
        <v>5000</v>
      </c>
      <c r="F4" s="11"/>
    </row>
    <row r="5" spans="1:6">
      <c r="A5" s="15"/>
      <c r="B5" s="7"/>
      <c r="D5" s="16"/>
      <c r="E5" s="10">
        <f>D5*B5</f>
        <v>0</v>
      </c>
      <c r="F5" s="11"/>
    </row>
    <row r="6" spans="1:6">
      <c r="A6" s="12" t="s">
        <v>2</v>
      </c>
      <c r="B6" s="13"/>
      <c r="C6" s="8" t="s">
        <v>3</v>
      </c>
      <c r="D6" s="14"/>
      <c r="E6" s="10">
        <f>E5*D6</f>
        <v>0</v>
      </c>
      <c r="F6" s="11"/>
    </row>
    <row r="7" spans="1:6">
      <c r="A7" s="6"/>
      <c r="B7" s="7"/>
      <c r="D7" s="17"/>
      <c r="E7" s="10">
        <f>D7*B7</f>
        <v>0</v>
      </c>
      <c r="F7" s="11"/>
    </row>
    <row r="8" spans="1:6">
      <c r="A8" s="12" t="s">
        <v>2</v>
      </c>
      <c r="B8" s="13"/>
      <c r="C8" s="8" t="s">
        <v>3</v>
      </c>
      <c r="D8" s="14"/>
      <c r="E8" s="10">
        <f>E7*D8</f>
        <v>0</v>
      </c>
      <c r="F8" s="11"/>
    </row>
    <row r="9" spans="1:6">
      <c r="A9" s="15"/>
      <c r="B9" s="7"/>
      <c r="D9" s="17"/>
      <c r="E9" s="10">
        <f>D9*B9</f>
        <v>0</v>
      </c>
      <c r="F9" s="11"/>
    </row>
    <row r="10" spans="1:6">
      <c r="A10" s="12" t="s">
        <v>2</v>
      </c>
      <c r="B10" s="13"/>
      <c r="C10" s="8" t="s">
        <v>3</v>
      </c>
      <c r="D10" s="14"/>
      <c r="E10" s="10">
        <f>E9*D10</f>
        <v>0</v>
      </c>
      <c r="F10" s="11"/>
    </row>
    <row r="11" spans="1:6">
      <c r="A11" s="15"/>
      <c r="B11" s="7"/>
      <c r="D11" s="17"/>
      <c r="E11" s="10">
        <f>D11*B11</f>
        <v>0</v>
      </c>
      <c r="F11" s="11"/>
    </row>
    <row r="12" spans="1:6">
      <c r="A12" s="12" t="s">
        <v>2</v>
      </c>
      <c r="B12" s="13"/>
      <c r="C12" s="8" t="s">
        <v>3</v>
      </c>
      <c r="D12" s="14"/>
      <c r="E12" s="10">
        <f>E11*D12</f>
        <v>0</v>
      </c>
      <c r="F12" s="11"/>
    </row>
    <row r="13" spans="1:6">
      <c r="A13" s="15"/>
      <c r="B13" s="7"/>
      <c r="D13" s="17"/>
      <c r="E13" s="10">
        <f>D13*B13</f>
        <v>0</v>
      </c>
      <c r="F13" s="11"/>
    </row>
    <row r="14" spans="1:6">
      <c r="A14" s="12" t="s">
        <v>2</v>
      </c>
      <c r="B14" s="13"/>
      <c r="C14" s="8" t="s">
        <v>3</v>
      </c>
      <c r="D14" s="14"/>
      <c r="E14" s="10">
        <f>E13*D14</f>
        <v>0</v>
      </c>
      <c r="F14" s="11"/>
    </row>
    <row r="15" spans="1:6">
      <c r="A15" s="15"/>
      <c r="B15" s="7"/>
      <c r="D15" s="17"/>
      <c r="E15" s="10">
        <f>D15*B15</f>
        <v>0</v>
      </c>
      <c r="F15" s="11"/>
    </row>
    <row r="16" spans="1:6">
      <c r="A16" s="12" t="s">
        <v>2</v>
      </c>
      <c r="B16" s="13"/>
      <c r="C16" s="8" t="s">
        <v>3</v>
      </c>
      <c r="D16" s="14"/>
      <c r="E16" s="10">
        <f>E15*D16</f>
        <v>0</v>
      </c>
      <c r="F16" s="11"/>
    </row>
    <row r="17" spans="1:6">
      <c r="A17" s="6"/>
      <c r="B17" s="7"/>
      <c r="C17" s="8" t="s">
        <v>92</v>
      </c>
      <c r="D17" s="18"/>
      <c r="E17" s="10">
        <f>D17*B17</f>
        <v>0</v>
      </c>
      <c r="F17" s="11"/>
    </row>
    <row r="18" spans="1:6">
      <c r="A18" s="12" t="s">
        <v>2</v>
      </c>
      <c r="B18" s="13"/>
      <c r="C18" s="8" t="s">
        <v>3</v>
      </c>
      <c r="D18" s="19"/>
      <c r="E18" s="10">
        <f>E17*D18</f>
        <v>0</v>
      </c>
      <c r="F18" s="11"/>
    </row>
    <row r="19" spans="1:6">
      <c r="A19" s="15"/>
      <c r="B19" s="7"/>
      <c r="D19" s="20"/>
      <c r="E19" s="10">
        <f>D19*B19</f>
        <v>0</v>
      </c>
      <c r="F19" s="11"/>
    </row>
    <row r="20" spans="1:6">
      <c r="A20" s="12" t="s">
        <v>2</v>
      </c>
      <c r="B20" s="13"/>
      <c r="C20" s="8" t="s">
        <v>3</v>
      </c>
      <c r="D20" s="19"/>
      <c r="E20" s="10">
        <f>E19*D20</f>
        <v>0</v>
      </c>
      <c r="F20" s="11"/>
    </row>
    <row r="21" spans="1:6">
      <c r="A21" s="21" t="s">
        <v>4</v>
      </c>
      <c r="B21" s="22"/>
      <c r="D21" s="23"/>
      <c r="E21" s="24">
        <f>E4+E6+E8+E10+E12+E14+E16+E18+E20</f>
        <v>5000</v>
      </c>
      <c r="F21" s="11"/>
    </row>
    <row r="22" spans="1:6">
      <c r="A22" s="21" t="s">
        <v>5</v>
      </c>
      <c r="B22" s="22"/>
      <c r="D22" s="23"/>
      <c r="E22" s="24">
        <f>E3+E5+E7+E9+E11+E13+E15+E17+E19</f>
        <v>400000</v>
      </c>
      <c r="F22" s="11"/>
    </row>
    <row r="23" spans="1:6">
      <c r="A23" s="25"/>
      <c r="B23" s="22"/>
      <c r="D23" s="23"/>
      <c r="E23" s="26"/>
      <c r="F23" s="11"/>
    </row>
    <row r="24" spans="1:6">
      <c r="A24" s="25"/>
      <c r="B24" s="22"/>
      <c r="D24" s="23"/>
      <c r="E24" s="26"/>
      <c r="F24" s="11"/>
    </row>
    <row r="25" spans="1:6">
      <c r="A25" s="25"/>
      <c r="B25" s="22"/>
      <c r="D25" s="23"/>
      <c r="E25" s="26"/>
      <c r="F25" s="11"/>
    </row>
    <row r="26" spans="1:6" ht="13.5" thickBot="1">
      <c r="A26" s="27" t="s">
        <v>6</v>
      </c>
      <c r="B26" s="28">
        <f>SUM(B3:B20)</f>
        <v>10000</v>
      </c>
      <c r="C26" s="29"/>
      <c r="D26" s="30"/>
      <c r="E26" s="31">
        <f>E22-E21+E25+E24+E23</f>
        <v>395000</v>
      </c>
      <c r="F26" s="11"/>
    </row>
    <row r="27" spans="1:6">
      <c r="A27" s="32"/>
      <c r="B27" s="3"/>
      <c r="C27" s="4"/>
      <c r="D27" s="33"/>
      <c r="E27" s="5"/>
    </row>
    <row r="28" spans="1:6" ht="15.75">
      <c r="A28" s="34" t="s">
        <v>7</v>
      </c>
      <c r="B28" s="35"/>
      <c r="D28" s="36"/>
      <c r="E28" s="37"/>
    </row>
    <row r="29" spans="1:6">
      <c r="A29" s="21"/>
      <c r="B29" s="35"/>
      <c r="D29" s="36"/>
      <c r="E29" s="37"/>
    </row>
    <row r="30" spans="1:6">
      <c r="A30" s="38" t="s">
        <v>8</v>
      </c>
      <c r="B30" s="35"/>
      <c r="D30" s="36"/>
      <c r="E30" s="37"/>
    </row>
    <row r="31" spans="1:6">
      <c r="A31" s="12"/>
      <c r="B31" s="39"/>
      <c r="D31" s="40"/>
      <c r="E31" s="37"/>
      <c r="F31" s="11"/>
    </row>
    <row r="32" spans="1:6">
      <c r="A32" s="12"/>
      <c r="B32" s="41"/>
      <c r="D32" s="40"/>
      <c r="E32" s="37"/>
      <c r="F32" s="11"/>
    </row>
    <row r="33" spans="1:8">
      <c r="A33" s="12"/>
      <c r="B33" s="42"/>
      <c r="D33" s="43"/>
      <c r="E33" s="37"/>
      <c r="F33" s="11"/>
    </row>
    <row r="34" spans="1:8">
      <c r="A34" s="38" t="s">
        <v>9</v>
      </c>
      <c r="B34" s="44">
        <f>C68+D68</f>
        <v>20.243589743589745</v>
      </c>
      <c r="C34" s="8" t="s">
        <v>3</v>
      </c>
      <c r="D34" s="45">
        <v>10000</v>
      </c>
      <c r="E34" s="37">
        <f>B34*D34</f>
        <v>202435.89743589744</v>
      </c>
      <c r="F34" s="11"/>
    </row>
    <row r="35" spans="1:8">
      <c r="A35" s="38" t="s">
        <v>10</v>
      </c>
      <c r="B35" s="46"/>
      <c r="C35" s="47">
        <v>3.7499999999999999E-2</v>
      </c>
      <c r="D35" s="36">
        <f>D34*C35</f>
        <v>375</v>
      </c>
      <c r="E35" s="48">
        <f>D35*B34</f>
        <v>7591.3461538461543</v>
      </c>
      <c r="F35" s="11"/>
    </row>
    <row r="36" spans="1:8" ht="13.5" thickBot="1">
      <c r="A36" s="38"/>
      <c r="B36" s="46"/>
      <c r="C36" s="49" t="s">
        <v>11</v>
      </c>
      <c r="D36" s="40">
        <f>D34-D35</f>
        <v>9625</v>
      </c>
      <c r="E36" s="50">
        <f>E34-E35</f>
        <v>194844.55128205128</v>
      </c>
    </row>
    <row r="37" spans="1:8">
      <c r="A37" s="51" t="s">
        <v>12</v>
      </c>
      <c r="B37" s="52" t="s">
        <v>13</v>
      </c>
      <c r="C37" s="4" t="s">
        <v>14</v>
      </c>
      <c r="D37" s="53" t="s">
        <v>15</v>
      </c>
      <c r="E37" s="5"/>
    </row>
    <row r="38" spans="1:8">
      <c r="A38" s="38" t="s">
        <v>16</v>
      </c>
      <c r="B38" s="54">
        <v>25</v>
      </c>
      <c r="C38" s="55">
        <v>2</v>
      </c>
      <c r="D38" s="56">
        <v>1</v>
      </c>
      <c r="E38" s="37"/>
      <c r="F38" s="11"/>
      <c r="G38" s="11"/>
      <c r="H38" s="11"/>
    </row>
    <row r="39" spans="1:8">
      <c r="A39" s="38" t="s">
        <v>17</v>
      </c>
      <c r="B39" s="54">
        <v>1</v>
      </c>
      <c r="C39" s="55">
        <v>1</v>
      </c>
      <c r="D39" s="56">
        <v>1</v>
      </c>
      <c r="E39" s="37"/>
      <c r="F39" s="11"/>
      <c r="G39" s="11"/>
      <c r="H39" s="11"/>
    </row>
    <row r="40" spans="1:8">
      <c r="A40" s="38" t="s">
        <v>18</v>
      </c>
      <c r="B40" s="54">
        <v>13</v>
      </c>
      <c r="C40" s="57"/>
      <c r="D40" s="58"/>
      <c r="E40" s="37"/>
    </row>
    <row r="41" spans="1:8">
      <c r="A41" s="38"/>
      <c r="B41" s="35"/>
      <c r="D41" s="36"/>
      <c r="E41" s="37"/>
    </row>
    <row r="42" spans="1:8">
      <c r="A42" s="38" t="s">
        <v>19</v>
      </c>
      <c r="B42" s="35"/>
      <c r="D42" s="36"/>
      <c r="E42" s="37"/>
    </row>
    <row r="43" spans="1:8">
      <c r="A43" s="12" t="s">
        <v>20</v>
      </c>
      <c r="B43" s="59">
        <f>(B38*C68) + (C38*D68)</f>
        <v>249.25641025641025</v>
      </c>
      <c r="C43" s="8" t="s">
        <v>3</v>
      </c>
      <c r="D43" s="45">
        <v>680</v>
      </c>
      <c r="E43" s="60">
        <f>B43*D43</f>
        <v>169494.35897435897</v>
      </c>
      <c r="F43" s="11"/>
    </row>
    <row r="44" spans="1:8" ht="13.5" thickBot="1">
      <c r="A44" s="61" t="s">
        <v>21</v>
      </c>
      <c r="B44" s="62">
        <f>(B39*C68)+(C39*D68)</f>
        <v>20.243589743589745</v>
      </c>
      <c r="C44" s="63" t="s">
        <v>3</v>
      </c>
      <c r="D44" s="64">
        <v>1245</v>
      </c>
      <c r="E44" s="65">
        <f>B44*D44</f>
        <v>25203.26923076923</v>
      </c>
      <c r="F44" s="11"/>
    </row>
    <row r="45" spans="1:8">
      <c r="A45" s="32"/>
      <c r="B45" s="3"/>
      <c r="C45" s="4"/>
      <c r="D45" s="33"/>
      <c r="E45" s="5"/>
      <c r="F45" s="66"/>
    </row>
    <row r="46" spans="1:8">
      <c r="A46" s="38" t="s">
        <v>22</v>
      </c>
      <c r="B46" s="35"/>
      <c r="D46" s="36"/>
      <c r="E46" s="67">
        <v>1000</v>
      </c>
      <c r="F46" s="66"/>
      <c r="G46" s="68"/>
    </row>
    <row r="47" spans="1:8">
      <c r="A47" s="38"/>
      <c r="B47" s="35"/>
      <c r="D47" s="36"/>
      <c r="E47" s="37"/>
      <c r="F47" s="11"/>
    </row>
    <row r="48" spans="1:8">
      <c r="A48" s="69" t="s">
        <v>23</v>
      </c>
      <c r="B48" s="35"/>
      <c r="D48" s="18">
        <v>1500</v>
      </c>
      <c r="E48" s="70">
        <f>((D48*12)/365)*B34</f>
        <v>998.31401475237089</v>
      </c>
      <c r="F48" s="11"/>
    </row>
    <row r="49" spans="1:7" ht="13.5" thickBot="1">
      <c r="A49" s="71"/>
      <c r="B49" s="72"/>
      <c r="C49" s="63"/>
      <c r="D49" s="73"/>
      <c r="E49" s="74"/>
    </row>
    <row r="50" spans="1:7">
      <c r="A50" s="75" t="s">
        <v>24</v>
      </c>
      <c r="B50" s="76" t="s">
        <v>25</v>
      </c>
      <c r="C50" s="77" t="s">
        <v>26</v>
      </c>
      <c r="D50" s="78" t="s">
        <v>27</v>
      </c>
      <c r="E50" s="5"/>
    </row>
    <row r="51" spans="1:7" s="81" customFormat="1" ht="23.25" customHeight="1">
      <c r="A51" s="12"/>
      <c r="B51" s="79"/>
      <c r="C51" s="80"/>
      <c r="D51" s="40"/>
      <c r="E51" s="37"/>
    </row>
    <row r="52" spans="1:7" s="81" customFormat="1" ht="12.75" customHeight="1">
      <c r="A52" s="82"/>
      <c r="B52" s="83"/>
      <c r="C52" s="80"/>
      <c r="D52" s="84"/>
      <c r="E52" s="85"/>
      <c r="G52" s="86"/>
    </row>
    <row r="53" spans="1:7">
      <c r="A53" s="82"/>
      <c r="B53" s="87"/>
      <c r="C53" s="88"/>
      <c r="D53" s="89"/>
      <c r="E53" s="90"/>
      <c r="F53" s="91"/>
      <c r="G53" s="91" t="s">
        <v>28</v>
      </c>
    </row>
    <row r="54" spans="1:7">
      <c r="A54" s="92"/>
      <c r="B54" s="93"/>
      <c r="C54" s="94">
        <f>B54/B40/24</f>
        <v>0</v>
      </c>
      <c r="D54" s="95"/>
      <c r="E54" s="96"/>
      <c r="F54" s="91"/>
      <c r="G54" s="97"/>
    </row>
    <row r="55" spans="1:7">
      <c r="A55" s="92"/>
      <c r="B55" s="93"/>
      <c r="C55" s="94">
        <f>B55/B40/24</f>
        <v>0</v>
      </c>
      <c r="D55" s="98"/>
      <c r="E55" s="99"/>
      <c r="F55" s="91">
        <f t="shared" ref="F55:F65" si="0">G54+C54</f>
        <v>0</v>
      </c>
      <c r="G55" s="91">
        <f t="shared" ref="G55:G65" si="1">F55+D55</f>
        <v>0</v>
      </c>
    </row>
    <row r="56" spans="1:7">
      <c r="A56" s="92"/>
      <c r="B56" s="93"/>
      <c r="C56" s="94">
        <f>B56/B40/24</f>
        <v>0</v>
      </c>
      <c r="D56" s="98"/>
      <c r="E56" s="99"/>
      <c r="F56" s="91">
        <f t="shared" si="0"/>
        <v>0</v>
      </c>
      <c r="G56" s="91">
        <f t="shared" si="1"/>
        <v>0</v>
      </c>
    </row>
    <row r="57" spans="1:7">
      <c r="A57" s="128" t="s">
        <v>203</v>
      </c>
      <c r="B57" s="93"/>
      <c r="C57" s="94">
        <f>B57/B40/24</f>
        <v>0</v>
      </c>
      <c r="D57" s="98">
        <f>(10000/1500)+1</f>
        <v>7.666666666666667</v>
      </c>
      <c r="E57" s="99">
        <v>12000</v>
      </c>
      <c r="F57" s="91">
        <f t="shared" si="0"/>
        <v>0</v>
      </c>
      <c r="G57" s="91">
        <f t="shared" si="1"/>
        <v>7.666666666666667</v>
      </c>
    </row>
    <row r="58" spans="1:7">
      <c r="A58" s="128" t="s">
        <v>202</v>
      </c>
      <c r="B58" s="93">
        <v>2520</v>
      </c>
      <c r="C58" s="94">
        <f>B58/B40/24</f>
        <v>8.0769230769230766</v>
      </c>
      <c r="D58" s="98">
        <v>2.5</v>
      </c>
      <c r="E58" s="99">
        <v>12000</v>
      </c>
      <c r="F58" s="91">
        <f t="shared" si="0"/>
        <v>7.666666666666667</v>
      </c>
      <c r="G58" s="91">
        <f t="shared" si="1"/>
        <v>10.166666666666668</v>
      </c>
    </row>
    <row r="59" spans="1:7">
      <c r="A59" s="92"/>
      <c r="B59" s="93"/>
      <c r="C59" s="94">
        <f>B59/B40/24</f>
        <v>0</v>
      </c>
      <c r="D59" s="98"/>
      <c r="E59" s="99"/>
      <c r="F59" s="91">
        <f t="shared" si="0"/>
        <v>18.243589743589745</v>
      </c>
      <c r="G59" s="91">
        <f t="shared" si="1"/>
        <v>18.243589743589745</v>
      </c>
    </row>
    <row r="60" spans="1:7">
      <c r="A60" s="92"/>
      <c r="B60" s="93"/>
      <c r="C60" s="94">
        <f>B60/B40/24</f>
        <v>0</v>
      </c>
      <c r="D60" s="98"/>
      <c r="E60" s="99"/>
      <c r="F60" s="91">
        <f t="shared" si="0"/>
        <v>18.243589743589745</v>
      </c>
      <c r="G60" s="91">
        <f t="shared" si="1"/>
        <v>18.243589743589745</v>
      </c>
    </row>
    <row r="61" spans="1:7">
      <c r="A61" s="92"/>
      <c r="B61" s="93"/>
      <c r="C61" s="94">
        <f>B61/B40/24</f>
        <v>0</v>
      </c>
      <c r="D61" s="98"/>
      <c r="E61" s="99"/>
      <c r="F61" s="91">
        <f t="shared" si="0"/>
        <v>18.243589743589745</v>
      </c>
      <c r="G61" s="91">
        <f t="shared" si="1"/>
        <v>18.243589743589745</v>
      </c>
    </row>
    <row r="62" spans="1:7">
      <c r="A62" s="92"/>
      <c r="B62" s="93"/>
      <c r="C62" s="94">
        <f>B62/B40/24</f>
        <v>0</v>
      </c>
      <c r="D62" s="98"/>
      <c r="E62" s="99"/>
      <c r="F62" s="91">
        <f t="shared" si="0"/>
        <v>18.243589743589745</v>
      </c>
      <c r="G62" s="91">
        <f t="shared" si="1"/>
        <v>18.243589743589745</v>
      </c>
    </row>
    <row r="63" spans="1:7">
      <c r="A63" s="92"/>
      <c r="B63" s="93"/>
      <c r="C63" s="94">
        <f>B63/B40/24</f>
        <v>0</v>
      </c>
      <c r="D63" s="98"/>
      <c r="E63" s="99"/>
      <c r="F63" s="91">
        <f t="shared" si="0"/>
        <v>18.243589743589745</v>
      </c>
      <c r="G63" s="91">
        <f t="shared" si="1"/>
        <v>18.243589743589745</v>
      </c>
    </row>
    <row r="64" spans="1:7">
      <c r="A64" s="92"/>
      <c r="B64" s="93"/>
      <c r="C64" s="94">
        <f>B64/B40/24</f>
        <v>0</v>
      </c>
      <c r="D64" s="98"/>
      <c r="E64" s="99"/>
      <c r="F64" s="91">
        <f t="shared" si="0"/>
        <v>18.243589743589745</v>
      </c>
      <c r="G64" s="91">
        <f t="shared" si="1"/>
        <v>18.243589743589745</v>
      </c>
    </row>
    <row r="65" spans="1:7">
      <c r="A65" s="92"/>
      <c r="B65" s="100"/>
      <c r="C65" s="94">
        <f>B65/B40/24</f>
        <v>0</v>
      </c>
      <c r="D65" s="98"/>
      <c r="E65" s="101"/>
      <c r="F65" s="91">
        <f t="shared" si="0"/>
        <v>18.243589743589745</v>
      </c>
      <c r="G65" s="91">
        <f t="shared" si="1"/>
        <v>18.243589743589745</v>
      </c>
    </row>
    <row r="66" spans="1:7">
      <c r="A66" s="12" t="s">
        <v>40</v>
      </c>
      <c r="B66" s="102">
        <f>SUM(B52:B65)</f>
        <v>2520</v>
      </c>
      <c r="D66" s="35"/>
      <c r="E66" s="37"/>
    </row>
    <row r="67" spans="1:7">
      <c r="A67" s="12" t="s">
        <v>41</v>
      </c>
      <c r="B67" s="103"/>
      <c r="C67" s="104">
        <v>1</v>
      </c>
      <c r="D67" s="105">
        <v>1</v>
      </c>
      <c r="E67" s="37"/>
    </row>
    <row r="68" spans="1:7" ht="13.5" thickBot="1">
      <c r="A68" s="106" t="s">
        <v>42</v>
      </c>
      <c r="B68" s="107"/>
      <c r="C68" s="108">
        <f>SUM(C54:C67)</f>
        <v>9.0769230769230766</v>
      </c>
      <c r="D68" s="108">
        <f>SUM(D55:D67)</f>
        <v>11.166666666666668</v>
      </c>
      <c r="E68" s="109">
        <f>SUM(E52:E65)</f>
        <v>24000</v>
      </c>
    </row>
    <row r="69" spans="1:7">
      <c r="A69" s="110" t="s">
        <v>43</v>
      </c>
      <c r="B69" s="3"/>
      <c r="C69" s="4"/>
      <c r="D69" s="33"/>
      <c r="E69" s="111">
        <v>500</v>
      </c>
      <c r="F69" s="11"/>
    </row>
    <row r="70" spans="1:7">
      <c r="A70" s="112" t="s">
        <v>44</v>
      </c>
      <c r="B70" s="35"/>
      <c r="D70" s="113"/>
      <c r="E70" s="67"/>
      <c r="F70" s="11"/>
    </row>
    <row r="71" spans="1:7">
      <c r="A71" s="112" t="s">
        <v>45</v>
      </c>
      <c r="B71" s="35"/>
      <c r="D71" s="36"/>
      <c r="E71" s="67"/>
      <c r="F71" s="11"/>
    </row>
    <row r="72" spans="1:7">
      <c r="A72" s="112" t="s">
        <v>46</v>
      </c>
      <c r="B72" s="35"/>
      <c r="D72" s="36"/>
      <c r="E72" s="67"/>
      <c r="F72" s="11"/>
    </row>
    <row r="73" spans="1:7">
      <c r="A73" s="112" t="s">
        <v>47</v>
      </c>
      <c r="B73" s="35"/>
      <c r="D73" s="36"/>
      <c r="E73" s="67"/>
      <c r="F73" s="11"/>
    </row>
    <row r="74" spans="1:7">
      <c r="A74" s="112" t="s">
        <v>48</v>
      </c>
      <c r="B74" s="35"/>
      <c r="D74" s="36"/>
      <c r="E74" s="67"/>
      <c r="F74" s="11"/>
    </row>
    <row r="75" spans="1:7">
      <c r="A75" s="112" t="s">
        <v>49</v>
      </c>
      <c r="B75" s="35"/>
      <c r="D75" s="36"/>
      <c r="E75" s="67"/>
      <c r="F75" s="11"/>
    </row>
    <row r="76" spans="1:7">
      <c r="A76" s="112"/>
      <c r="B76" s="35"/>
      <c r="D76" s="36"/>
      <c r="E76" s="67"/>
      <c r="F76" s="11"/>
    </row>
    <row r="77" spans="1:7">
      <c r="A77" s="38" t="s">
        <v>51</v>
      </c>
      <c r="B77" s="35"/>
      <c r="D77" s="35"/>
      <c r="E77" s="67">
        <v>500</v>
      </c>
      <c r="F77" s="11"/>
    </row>
    <row r="78" spans="1:7">
      <c r="A78" s="38" t="s">
        <v>52</v>
      </c>
      <c r="B78" s="35"/>
      <c r="D78" s="114"/>
      <c r="E78" s="67"/>
      <c r="F78" s="11"/>
    </row>
    <row r="79" spans="1:7" ht="13.5" thickBot="1">
      <c r="A79" s="27" t="s">
        <v>53</v>
      </c>
      <c r="B79" s="115"/>
      <c r="C79" s="116"/>
      <c r="D79" s="115"/>
      <c r="E79" s="117">
        <f>E36+E43+E44+E46+E48+E68+E69+E70+E71+E77+E78+E72+E73+E75+E76+E74</f>
        <v>416540.49350193189</v>
      </c>
      <c r="F79" s="118"/>
    </row>
    <row r="80" spans="1:7" ht="15.75">
      <c r="A80" s="119" t="s">
        <v>54</v>
      </c>
      <c r="B80" s="120"/>
      <c r="C80" s="121"/>
      <c r="D80" s="120"/>
      <c r="E80" s="122">
        <f>E26-E79</f>
        <v>-21540.493501931895</v>
      </c>
    </row>
    <row r="81" spans="1:5" ht="13.5" thickBot="1">
      <c r="A81" s="123">
        <f ca="1">NOW()</f>
        <v>46205.416867939814</v>
      </c>
      <c r="B81" s="72"/>
      <c r="C81" s="63"/>
      <c r="D81" s="124" t="s">
        <v>55</v>
      </c>
      <c r="E81" s="65">
        <f>-(E79-E34-E26)/B34</f>
        <v>8935.9350898349021</v>
      </c>
    </row>
    <row r="82" spans="1:5">
      <c r="A82" s="125"/>
      <c r="B82" s="35"/>
      <c r="D82" s="35"/>
      <c r="E82" s="35"/>
    </row>
    <row r="84" spans="1:5">
      <c r="A84" s="127"/>
    </row>
  </sheetData>
  <mergeCells count="1">
    <mergeCell ref="B1:E1"/>
  </mergeCells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4"/>
  <sheetViews>
    <sheetView topLeftCell="A38" workbookViewId="0">
      <selection activeCell="H65" sqref="H65"/>
    </sheetView>
  </sheetViews>
  <sheetFormatPr defaultRowHeight="12.75"/>
  <cols>
    <col min="1" max="1" width="34.28515625" customWidth="1"/>
    <col min="2" max="2" width="17.28515625" style="126" customWidth="1"/>
    <col min="3" max="3" width="8.7109375" style="8" customWidth="1"/>
    <col min="4" max="4" width="13.5703125" style="126" bestFit="1" customWidth="1"/>
    <col min="5" max="5" width="15.28515625" style="126" customWidth="1"/>
    <col min="6" max="7" width="16.7109375" customWidth="1"/>
    <col min="8" max="256" width="11.42578125" customWidth="1"/>
  </cols>
  <sheetData>
    <row r="1" spans="1:6" ht="27" customHeight="1" thickBot="1">
      <c r="A1" s="1" t="s">
        <v>0</v>
      </c>
      <c r="B1" s="280"/>
      <c r="C1" s="281"/>
      <c r="D1" s="281"/>
      <c r="E1" s="282"/>
    </row>
    <row r="2" spans="1:6" ht="15.75">
      <c r="A2" s="2" t="s">
        <v>1</v>
      </c>
      <c r="B2" s="3"/>
      <c r="C2" s="4"/>
      <c r="D2" s="3"/>
      <c r="E2" s="5"/>
    </row>
    <row r="3" spans="1:6">
      <c r="A3" s="6"/>
      <c r="B3" s="7">
        <v>30000</v>
      </c>
      <c r="D3" s="9">
        <v>38</v>
      </c>
      <c r="E3" s="10">
        <f>D3*B3</f>
        <v>1140000</v>
      </c>
      <c r="F3" s="11"/>
    </row>
    <row r="4" spans="1:6">
      <c r="A4" s="12" t="s">
        <v>2</v>
      </c>
      <c r="B4" s="13"/>
      <c r="C4" s="8" t="s">
        <v>3</v>
      </c>
      <c r="D4" s="14">
        <v>1.2500000000000001E-2</v>
      </c>
      <c r="E4" s="10">
        <f>E3*D4</f>
        <v>14250</v>
      </c>
      <c r="F4" s="11"/>
    </row>
    <row r="5" spans="1:6">
      <c r="A5" s="15"/>
      <c r="B5" s="7"/>
      <c r="D5" s="16"/>
      <c r="E5" s="10">
        <f>D5*B5</f>
        <v>0</v>
      </c>
      <c r="F5" s="11"/>
    </row>
    <row r="6" spans="1:6">
      <c r="A6" s="12" t="s">
        <v>2</v>
      </c>
      <c r="B6" s="13"/>
      <c r="C6" s="8" t="s">
        <v>3</v>
      </c>
      <c r="D6" s="14"/>
      <c r="E6" s="10">
        <f>E5*D6</f>
        <v>0</v>
      </c>
      <c r="F6" s="11"/>
    </row>
    <row r="7" spans="1:6">
      <c r="A7" s="6"/>
      <c r="B7" s="7"/>
      <c r="D7" s="17"/>
      <c r="E7" s="10">
        <f>D7*B7</f>
        <v>0</v>
      </c>
      <c r="F7" s="11"/>
    </row>
    <row r="8" spans="1:6">
      <c r="A8" s="12" t="s">
        <v>2</v>
      </c>
      <c r="B8" s="13"/>
      <c r="C8" s="8" t="s">
        <v>3</v>
      </c>
      <c r="D8" s="14"/>
      <c r="E8" s="10">
        <f>E7*D8</f>
        <v>0</v>
      </c>
      <c r="F8" s="11"/>
    </row>
    <row r="9" spans="1:6">
      <c r="A9" s="15"/>
      <c r="B9" s="7"/>
      <c r="D9" s="17"/>
      <c r="E9" s="10">
        <f>D9*B9</f>
        <v>0</v>
      </c>
      <c r="F9" s="11"/>
    </row>
    <row r="10" spans="1:6">
      <c r="A10" s="12" t="s">
        <v>2</v>
      </c>
      <c r="B10" s="13"/>
      <c r="C10" s="8" t="s">
        <v>3</v>
      </c>
      <c r="D10" s="14"/>
      <c r="E10" s="10">
        <f>E9*D10</f>
        <v>0</v>
      </c>
      <c r="F10" s="11"/>
    </row>
    <row r="11" spans="1:6">
      <c r="A11" s="15"/>
      <c r="B11" s="7"/>
      <c r="D11" s="17"/>
      <c r="E11" s="10">
        <f>D11*B11</f>
        <v>0</v>
      </c>
      <c r="F11" s="11"/>
    </row>
    <row r="12" spans="1:6">
      <c r="A12" s="12" t="s">
        <v>2</v>
      </c>
      <c r="B12" s="13"/>
      <c r="C12" s="8" t="s">
        <v>3</v>
      </c>
      <c r="D12" s="14"/>
      <c r="E12" s="10">
        <f>E11*D12</f>
        <v>0</v>
      </c>
      <c r="F12" s="11"/>
    </row>
    <row r="13" spans="1:6">
      <c r="A13" s="15"/>
      <c r="B13" s="7"/>
      <c r="D13" s="17"/>
      <c r="E13" s="10">
        <f>D13*B13</f>
        <v>0</v>
      </c>
      <c r="F13" s="11"/>
    </row>
    <row r="14" spans="1:6">
      <c r="A14" s="12" t="s">
        <v>2</v>
      </c>
      <c r="B14" s="13"/>
      <c r="C14" s="8" t="s">
        <v>3</v>
      </c>
      <c r="D14" s="14"/>
      <c r="E14" s="10">
        <f>E13*D14</f>
        <v>0</v>
      </c>
      <c r="F14" s="11"/>
    </row>
    <row r="15" spans="1:6">
      <c r="A15" s="15"/>
      <c r="B15" s="7"/>
      <c r="D15" s="17"/>
      <c r="E15" s="10">
        <f>D15*B15</f>
        <v>0</v>
      </c>
      <c r="F15" s="11"/>
    </row>
    <row r="16" spans="1:6">
      <c r="A16" s="12" t="s">
        <v>2</v>
      </c>
      <c r="B16" s="13"/>
      <c r="C16" s="8" t="s">
        <v>3</v>
      </c>
      <c r="D16" s="14"/>
      <c r="E16" s="10">
        <f>E15*D16</f>
        <v>0</v>
      </c>
      <c r="F16" s="11"/>
    </row>
    <row r="17" spans="1:6">
      <c r="A17" s="6"/>
      <c r="B17" s="7"/>
      <c r="C17" s="8" t="s">
        <v>92</v>
      </c>
      <c r="D17" s="18"/>
      <c r="E17" s="10">
        <f>D17*B17</f>
        <v>0</v>
      </c>
      <c r="F17" s="11"/>
    </row>
    <row r="18" spans="1:6">
      <c r="A18" s="12" t="s">
        <v>2</v>
      </c>
      <c r="B18" s="13"/>
      <c r="C18" s="8" t="s">
        <v>3</v>
      </c>
      <c r="D18" s="19"/>
      <c r="E18" s="10">
        <f>E17*D18</f>
        <v>0</v>
      </c>
      <c r="F18" s="11"/>
    </row>
    <row r="19" spans="1:6">
      <c r="A19" s="15"/>
      <c r="B19" s="7"/>
      <c r="D19" s="20"/>
      <c r="E19" s="10">
        <f>D19*B19</f>
        <v>0</v>
      </c>
      <c r="F19" s="11"/>
    </row>
    <row r="20" spans="1:6">
      <c r="A20" s="12" t="s">
        <v>2</v>
      </c>
      <c r="B20" s="13"/>
      <c r="C20" s="8" t="s">
        <v>3</v>
      </c>
      <c r="D20" s="19"/>
      <c r="E20" s="10">
        <f>E19*D20</f>
        <v>0</v>
      </c>
      <c r="F20" s="11"/>
    </row>
    <row r="21" spans="1:6">
      <c r="A21" s="21" t="s">
        <v>4</v>
      </c>
      <c r="B21" s="22"/>
      <c r="D21" s="23"/>
      <c r="E21" s="24">
        <f>E4+E6+E8+E10+E12+E14+E16+E18+E20</f>
        <v>14250</v>
      </c>
      <c r="F21" s="11"/>
    </row>
    <row r="22" spans="1:6">
      <c r="A22" s="21" t="s">
        <v>5</v>
      </c>
      <c r="B22" s="22"/>
      <c r="D22" s="23"/>
      <c r="E22" s="24">
        <f>E3+E5+E7+E9+E11+E13+E15+E17+E19</f>
        <v>1140000</v>
      </c>
      <c r="F22" s="11"/>
    </row>
    <row r="23" spans="1:6">
      <c r="A23" s="25"/>
      <c r="B23" s="22"/>
      <c r="D23" s="23"/>
      <c r="E23" s="26"/>
      <c r="F23" s="11"/>
    </row>
    <row r="24" spans="1:6">
      <c r="A24" s="25"/>
      <c r="B24" s="22"/>
      <c r="D24" s="23"/>
      <c r="E24" s="26"/>
      <c r="F24" s="11"/>
    </row>
    <row r="25" spans="1:6">
      <c r="A25" s="25"/>
      <c r="B25" s="22"/>
      <c r="D25" s="23"/>
      <c r="E25" s="26"/>
      <c r="F25" s="11"/>
    </row>
    <row r="26" spans="1:6" ht="13.5" thickBot="1">
      <c r="A26" s="27" t="s">
        <v>6</v>
      </c>
      <c r="B26" s="28">
        <f>SUM(B3:B20)</f>
        <v>30000</v>
      </c>
      <c r="C26" s="29"/>
      <c r="D26" s="30"/>
      <c r="E26" s="31">
        <f>E22-E21+E25+E24+E23</f>
        <v>1125750</v>
      </c>
      <c r="F26" s="11"/>
    </row>
    <row r="27" spans="1:6">
      <c r="A27" s="32"/>
      <c r="B27" s="3"/>
      <c r="C27" s="4"/>
      <c r="D27" s="33"/>
      <c r="E27" s="5"/>
    </row>
    <row r="28" spans="1:6" ht="15.75">
      <c r="A28" s="34" t="s">
        <v>7</v>
      </c>
      <c r="B28" s="35"/>
      <c r="D28" s="36"/>
      <c r="E28" s="37"/>
    </row>
    <row r="29" spans="1:6">
      <c r="A29" s="21"/>
      <c r="B29" s="35"/>
      <c r="D29" s="36"/>
      <c r="E29" s="37"/>
    </row>
    <row r="30" spans="1:6">
      <c r="A30" s="38" t="s">
        <v>8</v>
      </c>
      <c r="B30" s="35"/>
      <c r="D30" s="36"/>
      <c r="E30" s="37"/>
    </row>
    <row r="31" spans="1:6">
      <c r="A31" s="12"/>
      <c r="B31" s="39"/>
      <c r="D31" s="40"/>
      <c r="E31" s="37"/>
      <c r="F31" s="11"/>
    </row>
    <row r="32" spans="1:6">
      <c r="A32" s="12"/>
      <c r="B32" s="41"/>
      <c r="D32" s="40"/>
      <c r="E32" s="37"/>
      <c r="F32" s="11"/>
    </row>
    <row r="33" spans="1:8">
      <c r="A33" s="12"/>
      <c r="B33" s="42"/>
      <c r="D33" s="43"/>
      <c r="E33" s="37"/>
      <c r="F33" s="11"/>
    </row>
    <row r="34" spans="1:8">
      <c r="A34" s="38" t="s">
        <v>9</v>
      </c>
      <c r="B34" s="44">
        <f>C68+D68</f>
        <v>40.727564102564102</v>
      </c>
      <c r="C34" s="8" t="s">
        <v>3</v>
      </c>
      <c r="D34" s="45">
        <v>8000</v>
      </c>
      <c r="E34" s="37">
        <f>B34*D34</f>
        <v>325820.51282051281</v>
      </c>
      <c r="F34" s="11"/>
    </row>
    <row r="35" spans="1:8">
      <c r="A35" s="38" t="s">
        <v>10</v>
      </c>
      <c r="B35" s="46"/>
      <c r="C35" s="47">
        <v>3.7499999999999999E-2</v>
      </c>
      <c r="D35" s="36">
        <f>D34*C35</f>
        <v>300</v>
      </c>
      <c r="E35" s="48">
        <f>D35*B34</f>
        <v>12218.26923076923</v>
      </c>
      <c r="F35" s="11"/>
    </row>
    <row r="36" spans="1:8" ht="13.5" thickBot="1">
      <c r="A36" s="38"/>
      <c r="B36" s="46"/>
      <c r="C36" s="49" t="s">
        <v>11</v>
      </c>
      <c r="D36" s="40">
        <f>D34-D35</f>
        <v>7700</v>
      </c>
      <c r="E36" s="50">
        <f>E34-E35</f>
        <v>313602.24358974356</v>
      </c>
    </row>
    <row r="37" spans="1:8">
      <c r="A37" s="51" t="s">
        <v>12</v>
      </c>
      <c r="B37" s="52" t="s">
        <v>13</v>
      </c>
      <c r="C37" s="4" t="s">
        <v>14</v>
      </c>
      <c r="D37" s="53" t="s">
        <v>15</v>
      </c>
      <c r="E37" s="5"/>
    </row>
    <row r="38" spans="1:8">
      <c r="A38" s="38" t="s">
        <v>16</v>
      </c>
      <c r="B38" s="54">
        <v>25</v>
      </c>
      <c r="C38" s="55">
        <v>2</v>
      </c>
      <c r="D38" s="56">
        <v>1</v>
      </c>
      <c r="E38" s="37"/>
      <c r="F38" s="11"/>
      <c r="G38" s="11"/>
      <c r="H38" s="11"/>
    </row>
    <row r="39" spans="1:8">
      <c r="A39" s="38" t="s">
        <v>17</v>
      </c>
      <c r="B39" s="54">
        <v>1</v>
      </c>
      <c r="C39" s="55">
        <v>1</v>
      </c>
      <c r="D39" s="56">
        <v>1</v>
      </c>
      <c r="E39" s="37"/>
      <c r="F39" s="11"/>
      <c r="G39" s="11"/>
      <c r="H39" s="11"/>
    </row>
    <row r="40" spans="1:8">
      <c r="A40" s="38" t="s">
        <v>18</v>
      </c>
      <c r="B40" s="54">
        <v>13</v>
      </c>
      <c r="C40" s="57"/>
      <c r="D40" s="58"/>
      <c r="E40" s="37"/>
    </row>
    <row r="41" spans="1:8">
      <c r="A41" s="38"/>
      <c r="B41" s="35"/>
      <c r="D41" s="36"/>
      <c r="E41" s="37"/>
    </row>
    <row r="42" spans="1:8">
      <c r="A42" s="38" t="s">
        <v>19</v>
      </c>
      <c r="B42" s="35"/>
      <c r="D42" s="36"/>
      <c r="E42" s="37"/>
    </row>
    <row r="43" spans="1:8">
      <c r="A43" s="12" t="s">
        <v>20</v>
      </c>
      <c r="B43" s="59">
        <f>(B38*C68) + (C38*D68)</f>
        <v>839.93910256410254</v>
      </c>
      <c r="C43" s="8" t="s">
        <v>3</v>
      </c>
      <c r="D43" s="45">
        <v>680</v>
      </c>
      <c r="E43" s="60">
        <f>B43*D43</f>
        <v>571158.58974358975</v>
      </c>
      <c r="F43" s="11"/>
    </row>
    <row r="44" spans="1:8" ht="13.5" thickBot="1">
      <c r="A44" s="61" t="s">
        <v>21</v>
      </c>
      <c r="B44" s="62">
        <f>(B39*C68)+(C39*D68)</f>
        <v>40.727564102564102</v>
      </c>
      <c r="C44" s="63" t="s">
        <v>3</v>
      </c>
      <c r="D44" s="64">
        <v>1245</v>
      </c>
      <c r="E44" s="65">
        <f>B44*D44</f>
        <v>50705.817307692305</v>
      </c>
      <c r="F44" s="11"/>
    </row>
    <row r="45" spans="1:8">
      <c r="A45" s="32"/>
      <c r="B45" s="3"/>
      <c r="C45" s="4"/>
      <c r="D45" s="33"/>
      <c r="E45" s="5"/>
      <c r="F45" s="66"/>
    </row>
    <row r="46" spans="1:8">
      <c r="A46" s="38" t="s">
        <v>22</v>
      </c>
      <c r="B46" s="35"/>
      <c r="D46" s="36"/>
      <c r="E46" s="67">
        <v>1000</v>
      </c>
      <c r="F46" s="66"/>
      <c r="G46" s="68"/>
    </row>
    <row r="47" spans="1:8">
      <c r="A47" s="38"/>
      <c r="B47" s="35"/>
      <c r="D47" s="36"/>
      <c r="E47" s="37"/>
      <c r="F47" s="11"/>
    </row>
    <row r="48" spans="1:8">
      <c r="A48" s="69" t="s">
        <v>23</v>
      </c>
      <c r="B48" s="35"/>
      <c r="D48" s="18">
        <v>1500</v>
      </c>
      <c r="E48" s="70">
        <f>((D48*12)/365)*B34</f>
        <v>2008.4826132771336</v>
      </c>
      <c r="F48" s="11"/>
    </row>
    <row r="49" spans="1:7" ht="13.5" thickBot="1">
      <c r="A49" s="71"/>
      <c r="B49" s="72"/>
      <c r="C49" s="63"/>
      <c r="D49" s="73"/>
      <c r="E49" s="74"/>
    </row>
    <row r="50" spans="1:7">
      <c r="A50" s="75" t="s">
        <v>24</v>
      </c>
      <c r="B50" s="76" t="s">
        <v>25</v>
      </c>
      <c r="C50" s="77" t="s">
        <v>26</v>
      </c>
      <c r="D50" s="78" t="s">
        <v>27</v>
      </c>
      <c r="E50" s="5"/>
    </row>
    <row r="51" spans="1:7" s="81" customFormat="1" ht="23.25" customHeight="1">
      <c r="A51" s="12"/>
      <c r="B51" s="79"/>
      <c r="C51" s="80"/>
      <c r="D51" s="40"/>
      <c r="E51" s="37"/>
    </row>
    <row r="52" spans="1:7" s="81" customFormat="1" ht="12.75" customHeight="1">
      <c r="A52" s="82"/>
      <c r="B52" s="83"/>
      <c r="C52" s="80"/>
      <c r="D52" s="84"/>
      <c r="E52" s="85"/>
      <c r="G52" s="86"/>
    </row>
    <row r="53" spans="1:7">
      <c r="A53" s="82"/>
      <c r="B53" s="87"/>
      <c r="C53" s="88"/>
      <c r="D53" s="89"/>
      <c r="E53" s="90"/>
      <c r="F53" s="91"/>
      <c r="G53" s="91" t="s">
        <v>28</v>
      </c>
    </row>
    <row r="54" spans="1:7">
      <c r="A54" s="92"/>
      <c r="B54" s="93"/>
      <c r="C54" s="94">
        <f>B54/B40/24</f>
        <v>0</v>
      </c>
      <c r="D54" s="95"/>
      <c r="E54" s="96"/>
      <c r="F54" s="91"/>
      <c r="G54" s="97"/>
    </row>
    <row r="55" spans="1:7">
      <c r="A55" s="92"/>
      <c r="B55" s="93"/>
      <c r="C55" s="94">
        <f>B55/B40/24</f>
        <v>0</v>
      </c>
      <c r="D55" s="98"/>
      <c r="E55" s="99"/>
      <c r="F55" s="91">
        <f t="shared" ref="F55:F65" si="0">G54+C54</f>
        <v>0</v>
      </c>
      <c r="G55" s="91">
        <f t="shared" ref="G55:G65" si="1">F55+D55</f>
        <v>0</v>
      </c>
    </row>
    <row r="56" spans="1:7">
      <c r="A56" s="92" t="s">
        <v>71</v>
      </c>
      <c r="B56" s="93"/>
      <c r="C56" s="94">
        <f>B56/B40/24</f>
        <v>0</v>
      </c>
      <c r="D56" s="98"/>
      <c r="E56" s="99"/>
      <c r="F56" s="91">
        <f t="shared" si="0"/>
        <v>0</v>
      </c>
      <c r="G56" s="91">
        <f t="shared" si="1"/>
        <v>0</v>
      </c>
    </row>
    <row r="57" spans="1:7">
      <c r="A57" s="92" t="s">
        <v>204</v>
      </c>
      <c r="B57" s="93">
        <v>9665</v>
      </c>
      <c r="C57" s="94">
        <f>B57/B40/24</f>
        <v>30.977564102564102</v>
      </c>
      <c r="D57" s="98">
        <f>B3/8000+(0.5)</f>
        <v>4.25</v>
      </c>
      <c r="E57" s="99">
        <v>38000</v>
      </c>
      <c r="F57" s="91">
        <f t="shared" si="0"/>
        <v>0</v>
      </c>
      <c r="G57" s="91">
        <f t="shared" si="1"/>
        <v>4.25</v>
      </c>
    </row>
    <row r="58" spans="1:7">
      <c r="A58" s="92"/>
      <c r="B58" s="93"/>
      <c r="C58" s="94">
        <f>B58/B40/24</f>
        <v>0</v>
      </c>
      <c r="D58" s="98">
        <f>B3/15000+(0.5)</f>
        <v>2.5</v>
      </c>
      <c r="E58" s="99">
        <v>38000</v>
      </c>
      <c r="F58" s="91">
        <f t="shared" si="0"/>
        <v>35.227564102564102</v>
      </c>
      <c r="G58" s="91">
        <f t="shared" si="1"/>
        <v>37.727564102564102</v>
      </c>
    </row>
    <row r="59" spans="1:7">
      <c r="A59" s="92"/>
      <c r="B59" s="93"/>
      <c r="C59" s="94">
        <f>B59/B40/24</f>
        <v>0</v>
      </c>
      <c r="D59" s="98"/>
      <c r="E59" s="99"/>
      <c r="F59" s="91">
        <f t="shared" si="0"/>
        <v>37.727564102564102</v>
      </c>
      <c r="G59" s="91">
        <f t="shared" si="1"/>
        <v>37.727564102564102</v>
      </c>
    </row>
    <row r="60" spans="1:7">
      <c r="A60" s="92"/>
      <c r="B60" s="93"/>
      <c r="C60" s="94">
        <f>B60/B40/24</f>
        <v>0</v>
      </c>
      <c r="D60" s="98"/>
      <c r="E60" s="99"/>
      <c r="F60" s="91">
        <f t="shared" si="0"/>
        <v>37.727564102564102</v>
      </c>
      <c r="G60" s="91">
        <f t="shared" si="1"/>
        <v>37.727564102564102</v>
      </c>
    </row>
    <row r="61" spans="1:7">
      <c r="A61" s="92"/>
      <c r="B61" s="93"/>
      <c r="C61" s="94">
        <f>B61/B40/24</f>
        <v>0</v>
      </c>
      <c r="D61" s="98"/>
      <c r="E61" s="99"/>
      <c r="F61" s="91">
        <f t="shared" si="0"/>
        <v>37.727564102564102</v>
      </c>
      <c r="G61" s="91">
        <f t="shared" si="1"/>
        <v>37.727564102564102</v>
      </c>
    </row>
    <row r="62" spans="1:7">
      <c r="A62" s="92"/>
      <c r="B62" s="93"/>
      <c r="C62" s="94">
        <f>B62/B40/24</f>
        <v>0</v>
      </c>
      <c r="D62" s="98"/>
      <c r="E62" s="99"/>
      <c r="F62" s="91">
        <f t="shared" si="0"/>
        <v>37.727564102564102</v>
      </c>
      <c r="G62" s="91">
        <f t="shared" si="1"/>
        <v>37.727564102564102</v>
      </c>
    </row>
    <row r="63" spans="1:7">
      <c r="A63" s="92"/>
      <c r="B63" s="93"/>
      <c r="C63" s="94">
        <f>B63/B40/24</f>
        <v>0</v>
      </c>
      <c r="D63" s="98"/>
      <c r="E63" s="99"/>
      <c r="F63" s="91">
        <f t="shared" si="0"/>
        <v>37.727564102564102</v>
      </c>
      <c r="G63" s="91">
        <f t="shared" si="1"/>
        <v>37.727564102564102</v>
      </c>
    </row>
    <row r="64" spans="1:7">
      <c r="A64" s="92"/>
      <c r="B64" s="93"/>
      <c r="C64" s="94">
        <f>B64/B40/24</f>
        <v>0</v>
      </c>
      <c r="D64" s="98"/>
      <c r="E64" s="99"/>
      <c r="F64" s="91">
        <f t="shared" si="0"/>
        <v>37.727564102564102</v>
      </c>
      <c r="G64" s="91">
        <f t="shared" si="1"/>
        <v>37.727564102564102</v>
      </c>
    </row>
    <row r="65" spans="1:7">
      <c r="A65" s="92"/>
      <c r="B65" s="100"/>
      <c r="C65" s="94">
        <f>B65/B40/24</f>
        <v>0</v>
      </c>
      <c r="D65" s="98"/>
      <c r="E65" s="101"/>
      <c r="F65" s="91">
        <f t="shared" si="0"/>
        <v>37.727564102564102</v>
      </c>
      <c r="G65" s="91">
        <f t="shared" si="1"/>
        <v>37.727564102564102</v>
      </c>
    </row>
    <row r="66" spans="1:7">
      <c r="A66" s="12" t="s">
        <v>40</v>
      </c>
      <c r="B66" s="102">
        <f>SUM(B52:B65)</f>
        <v>9665</v>
      </c>
      <c r="D66" s="35"/>
      <c r="E66" s="37"/>
    </row>
    <row r="67" spans="1:7">
      <c r="A67" s="12" t="s">
        <v>41</v>
      </c>
      <c r="B67" s="103"/>
      <c r="C67" s="104">
        <v>2</v>
      </c>
      <c r="D67" s="105">
        <v>1</v>
      </c>
      <c r="E67" s="37"/>
    </row>
    <row r="68" spans="1:7" ht="13.5" thickBot="1">
      <c r="A68" s="106" t="s">
        <v>42</v>
      </c>
      <c r="B68" s="107"/>
      <c r="C68" s="108">
        <f>SUM(C54:C67)</f>
        <v>32.977564102564102</v>
      </c>
      <c r="D68" s="108">
        <f>SUM(D55:D67)</f>
        <v>7.75</v>
      </c>
      <c r="E68" s="109">
        <f>SUM(E52:E65)</f>
        <v>76000</v>
      </c>
    </row>
    <row r="69" spans="1:7">
      <c r="A69" s="110" t="s">
        <v>43</v>
      </c>
      <c r="B69" s="3"/>
      <c r="C69" s="4"/>
      <c r="D69" s="33"/>
      <c r="E69" s="111">
        <v>500</v>
      </c>
      <c r="F69" s="11"/>
    </row>
    <row r="70" spans="1:7">
      <c r="A70" s="112" t="s">
        <v>44</v>
      </c>
      <c r="B70" s="35"/>
      <c r="D70" s="113"/>
      <c r="E70" s="67"/>
      <c r="F70" s="11"/>
    </row>
    <row r="71" spans="1:7">
      <c r="A71" s="112" t="s">
        <v>45</v>
      </c>
      <c r="B71" s="35"/>
      <c r="D71" s="36"/>
      <c r="E71" s="67"/>
      <c r="F71" s="11"/>
    </row>
    <row r="72" spans="1:7">
      <c r="A72" s="112" t="s">
        <v>46</v>
      </c>
      <c r="B72" s="35"/>
      <c r="D72" s="36"/>
      <c r="E72" s="67"/>
      <c r="F72" s="11"/>
    </row>
    <row r="73" spans="1:7">
      <c r="A73" s="112" t="s">
        <v>47</v>
      </c>
      <c r="B73" s="35"/>
      <c r="D73" s="36"/>
      <c r="E73" s="67"/>
      <c r="F73" s="11"/>
    </row>
    <row r="74" spans="1:7">
      <c r="A74" s="112" t="s">
        <v>48</v>
      </c>
      <c r="B74" s="35"/>
      <c r="D74" s="36"/>
      <c r="E74" s="67"/>
      <c r="F74" s="11"/>
    </row>
    <row r="75" spans="1:7">
      <c r="A75" s="112" t="s">
        <v>49</v>
      </c>
      <c r="B75" s="35"/>
      <c r="D75" s="36"/>
      <c r="E75" s="67"/>
      <c r="F75" s="11"/>
    </row>
    <row r="76" spans="1:7">
      <c r="A76" s="112"/>
      <c r="B76" s="35"/>
      <c r="D76" s="36"/>
      <c r="E76" s="67"/>
      <c r="F76" s="11"/>
    </row>
    <row r="77" spans="1:7">
      <c r="A77" s="38" t="s">
        <v>51</v>
      </c>
      <c r="B77" s="35"/>
      <c r="D77" s="35"/>
      <c r="E77" s="67">
        <v>500</v>
      </c>
      <c r="F77" s="11"/>
    </row>
    <row r="78" spans="1:7">
      <c r="A78" s="38" t="s">
        <v>52</v>
      </c>
      <c r="B78" s="35"/>
      <c r="D78" s="114"/>
      <c r="E78" s="67"/>
      <c r="F78" s="11"/>
    </row>
    <row r="79" spans="1:7" ht="13.5" thickBot="1">
      <c r="A79" s="27" t="s">
        <v>53</v>
      </c>
      <c r="B79" s="115"/>
      <c r="C79" s="116"/>
      <c r="D79" s="115"/>
      <c r="E79" s="117">
        <f>E36+E43+E44+E46+E48+E68+E69+E70+E71+E77+E78+E72+E73+E75+E76+E74</f>
        <v>1015475.1332543027</v>
      </c>
      <c r="F79" s="118"/>
    </row>
    <row r="80" spans="1:7" ht="15.75">
      <c r="A80" s="119" t="s">
        <v>54</v>
      </c>
      <c r="B80" s="120"/>
      <c r="C80" s="121"/>
      <c r="D80" s="120"/>
      <c r="E80" s="122">
        <f>E26-E79</f>
        <v>110274.86674569733</v>
      </c>
    </row>
    <row r="81" spans="1:5" ht="13.5" thickBot="1">
      <c r="A81" s="123">
        <f ca="1">NOW()</f>
        <v>46205.416867939814</v>
      </c>
      <c r="B81" s="72"/>
      <c r="C81" s="63"/>
      <c r="D81" s="124" t="s">
        <v>55</v>
      </c>
      <c r="E81" s="65">
        <f>-(E79-E34-E26)/B34</f>
        <v>10707.622446262498</v>
      </c>
    </row>
    <row r="82" spans="1:5">
      <c r="A82" s="125"/>
      <c r="B82" s="35"/>
      <c r="D82" s="35"/>
      <c r="E82" s="35"/>
    </row>
    <row r="84" spans="1:5">
      <c r="A84" s="127"/>
    </row>
  </sheetData>
  <mergeCells count="1">
    <mergeCell ref="B1:E1"/>
  </mergeCells>
  <phoneticPr fontId="7" type="noConversion"/>
  <pageMargins left="0.75" right="0.59" top="0.56999999999999995" bottom="0.57999999999999996" header="0.36" footer="0.5"/>
  <pageSetup paperSize="9" scale="70"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ColWidth="9.28515625" defaultRowHeight="12.75"/>
  <sheetData/>
  <phoneticPr fontId="7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ColWidth="9.28515625" defaultRowHeight="12.7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TBS PERU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izavala</dc:creator>
  <cp:keywords/>
  <dc:description/>
  <cp:lastModifiedBy/>
  <cp:revision/>
  <dcterms:created xsi:type="dcterms:W3CDTF">2008-07-16T22:04:33Z</dcterms:created>
  <dcterms:modified xsi:type="dcterms:W3CDTF">2026-07-02T15:00:29Z</dcterms:modified>
  <cp:category/>
  <cp:contentStatus/>
</cp:coreProperties>
</file>