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guti\inandes_factoring_app_SCC\documentation\"/>
    </mc:Choice>
  </mc:AlternateContent>
  <bookViews>
    <workbookView xWindow="14292" yWindow="0" windowWidth="14616" windowHeight="15588" activeTab="6"/>
  </bookViews>
  <sheets>
    <sheet name="CLIENTE" sheetId="1" r:id="rId1"/>
    <sheet name="NSG" sheetId="2" r:id="rId2"/>
    <sheet name="Liq fact Nº " sheetId="5" state="hidden" r:id="rId3"/>
    <sheet name="Datos" sheetId="11" r:id="rId4"/>
    <sheet name="LETRA" sheetId="12" r:id="rId5"/>
    <sheet name="LIQUIDACION" sheetId="13" r:id="rId6"/>
    <sheet name="Sheet1" sheetId="14" r:id="rId7"/>
    <sheet name="LIQ AS" sheetId="3" state="hidden" r:id="rId8"/>
    <sheet name="NSG01 ORIGEN" sheetId="4" state="hidden" r:id="rId9"/>
  </sheets>
  <externalReferences>
    <externalReference r:id="rId10"/>
    <externalReference r:id="rId11"/>
  </externalReferences>
  <definedNames>
    <definedName name="_xlnm.Print_Area" localSheetId="0">CLIENTE!$A$1:$I$161</definedName>
    <definedName name="_xlnm.Print_Area" localSheetId="4">LETRA!$A$1:$J$28</definedName>
    <definedName name="_xlnm.Print_Area" localSheetId="5">LIQUIDACION!$A$1:$J$39</definedName>
  </definedNames>
  <calcPr calcId="162913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hpmCfcbzy6G5R27hBwcfZKQdBnfA=="/>
    </ext>
  </extLst>
</workbook>
</file>

<file path=xl/calcChain.xml><?xml version="1.0" encoding="utf-8"?>
<calcChain xmlns="http://schemas.openxmlformats.org/spreadsheetml/2006/main">
  <c r="D119" i="14" l="1"/>
  <c r="C119" i="14"/>
  <c r="F122" i="14"/>
  <c r="E122" i="14"/>
  <c r="G122" i="14"/>
  <c r="H122" i="14" s="1"/>
  <c r="D122" i="14"/>
  <c r="C122" i="14"/>
  <c r="H121" i="14"/>
  <c r="G121" i="14"/>
  <c r="D121" i="14"/>
  <c r="C121" i="14"/>
  <c r="I109" i="14"/>
  <c r="H73" i="14"/>
  <c r="G120" i="14" s="1"/>
  <c r="H120" i="14" s="1"/>
  <c r="H119" i="14"/>
  <c r="D120" i="14"/>
  <c r="C120" i="14"/>
  <c r="G119" i="14"/>
  <c r="G76" i="2"/>
  <c r="F6" i="14"/>
  <c r="F5" i="14"/>
  <c r="F4" i="14"/>
  <c r="F3" i="14"/>
  <c r="F2" i="14"/>
  <c r="C8" i="14"/>
  <c r="E17" i="14" s="1"/>
  <c r="F17" i="14" s="1"/>
  <c r="C37" i="14"/>
  <c r="D37" i="14" s="1"/>
  <c r="C38" i="14"/>
  <c r="D38" i="14" s="1"/>
  <c r="C45" i="14"/>
  <c r="D45" i="14" s="1"/>
  <c r="C70" i="14"/>
  <c r="D70" i="14" s="1"/>
  <c r="C77" i="14"/>
  <c r="D77" i="14" s="1"/>
  <c r="C17" i="14"/>
  <c r="D17" i="14" s="1"/>
  <c r="C18" i="14"/>
  <c r="D18" i="14" s="1"/>
  <c r="C19" i="14"/>
  <c r="D19" i="14" s="1"/>
  <c r="C4" i="14"/>
  <c r="C3" i="14"/>
  <c r="C5" i="14" s="1"/>
  <c r="C2" i="14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E95" i="14" s="1"/>
  <c r="F95" i="14" s="1"/>
  <c r="E91" i="14" l="1"/>
  <c r="F91" i="14" s="1"/>
  <c r="E59" i="14"/>
  <c r="F59" i="14" s="1"/>
  <c r="E43" i="14"/>
  <c r="F43" i="14" s="1"/>
  <c r="E19" i="14"/>
  <c r="F19" i="14" s="1"/>
  <c r="E89" i="14"/>
  <c r="F89" i="14" s="1"/>
  <c r="E57" i="14"/>
  <c r="F57" i="14" s="1"/>
  <c r="E49" i="14"/>
  <c r="F49" i="14" s="1"/>
  <c r="E25" i="14"/>
  <c r="F25" i="14" s="1"/>
  <c r="C62" i="14"/>
  <c r="D62" i="14" s="1"/>
  <c r="E88" i="14"/>
  <c r="F88" i="14" s="1"/>
  <c r="C85" i="14"/>
  <c r="D85" i="14" s="1"/>
  <c r="C53" i="14"/>
  <c r="D53" i="14" s="1"/>
  <c r="C20" i="14"/>
  <c r="D20" i="14" s="1"/>
  <c r="C78" i="14"/>
  <c r="D78" i="14" s="1"/>
  <c r="C46" i="14"/>
  <c r="D46" i="14" s="1"/>
  <c r="C21" i="14"/>
  <c r="D21" i="14" s="1"/>
  <c r="E92" i="14"/>
  <c r="F92" i="14" s="1"/>
  <c r="E84" i="14"/>
  <c r="F84" i="14" s="1"/>
  <c r="E76" i="14"/>
  <c r="F76" i="14" s="1"/>
  <c r="E68" i="14"/>
  <c r="F68" i="14" s="1"/>
  <c r="E60" i="14"/>
  <c r="F60" i="14" s="1"/>
  <c r="E52" i="14"/>
  <c r="F52" i="14" s="1"/>
  <c r="E44" i="14"/>
  <c r="F44" i="14" s="1"/>
  <c r="E36" i="14"/>
  <c r="F36" i="14" s="1"/>
  <c r="E28" i="14"/>
  <c r="F28" i="14" s="1"/>
  <c r="E20" i="14"/>
  <c r="F20" i="14" s="1"/>
  <c r="E12" i="14"/>
  <c r="F12" i="14" s="1"/>
  <c r="E35" i="14"/>
  <c r="F35" i="14" s="1"/>
  <c r="E82" i="14"/>
  <c r="F82" i="14" s="1"/>
  <c r="E58" i="14"/>
  <c r="F58" i="14" s="1"/>
  <c r="E42" i="14"/>
  <c r="F42" i="14" s="1"/>
  <c r="E18" i="14"/>
  <c r="F18" i="14" s="1"/>
  <c r="E90" i="14"/>
  <c r="F90" i="14" s="1"/>
  <c r="E66" i="14"/>
  <c r="F66" i="14" s="1"/>
  <c r="E34" i="14"/>
  <c r="F34" i="14" s="1"/>
  <c r="C69" i="14"/>
  <c r="D69" i="14" s="1"/>
  <c r="E65" i="14"/>
  <c r="F65" i="14" s="1"/>
  <c r="E41" i="14"/>
  <c r="F41" i="14" s="1"/>
  <c r="C94" i="14"/>
  <c r="D94" i="14" s="1"/>
  <c r="E80" i="14"/>
  <c r="F80" i="14" s="1"/>
  <c r="E72" i="14"/>
  <c r="F72" i="14" s="1"/>
  <c r="E64" i="14"/>
  <c r="F64" i="14" s="1"/>
  <c r="E56" i="14"/>
  <c r="F56" i="14" s="1"/>
  <c r="E48" i="14"/>
  <c r="F48" i="14" s="1"/>
  <c r="E40" i="14"/>
  <c r="F40" i="14" s="1"/>
  <c r="E32" i="14"/>
  <c r="F32" i="14" s="1"/>
  <c r="E24" i="14"/>
  <c r="F24" i="14" s="1"/>
  <c r="E16" i="14"/>
  <c r="F16" i="14" s="1"/>
  <c r="E83" i="14"/>
  <c r="F83" i="14" s="1"/>
  <c r="E67" i="14"/>
  <c r="F67" i="14" s="1"/>
  <c r="E51" i="14"/>
  <c r="F51" i="14" s="1"/>
  <c r="E27" i="14"/>
  <c r="F27" i="14" s="1"/>
  <c r="C93" i="14"/>
  <c r="D93" i="14" s="1"/>
  <c r="C61" i="14"/>
  <c r="D61" i="14" s="1"/>
  <c r="C29" i="14"/>
  <c r="D29" i="14" s="1"/>
  <c r="E87" i="14"/>
  <c r="F87" i="14" s="1"/>
  <c r="E79" i="14"/>
  <c r="F79" i="14" s="1"/>
  <c r="E71" i="14"/>
  <c r="F71" i="14" s="1"/>
  <c r="E63" i="14"/>
  <c r="F63" i="14" s="1"/>
  <c r="E55" i="14"/>
  <c r="F55" i="14" s="1"/>
  <c r="E47" i="14"/>
  <c r="F47" i="14" s="1"/>
  <c r="E39" i="14"/>
  <c r="F39" i="14" s="1"/>
  <c r="E31" i="14"/>
  <c r="F31" i="14" s="1"/>
  <c r="E23" i="14"/>
  <c r="F23" i="14" s="1"/>
  <c r="E15" i="14"/>
  <c r="F15" i="14" s="1"/>
  <c r="E74" i="14"/>
  <c r="F74" i="14" s="1"/>
  <c r="E50" i="14"/>
  <c r="F50" i="14" s="1"/>
  <c r="E26" i="14"/>
  <c r="F26" i="14" s="1"/>
  <c r="E73" i="14"/>
  <c r="F73" i="14" s="1"/>
  <c r="E33" i="14"/>
  <c r="F33" i="14" s="1"/>
  <c r="C86" i="14"/>
  <c r="D86" i="14" s="1"/>
  <c r="C54" i="14"/>
  <c r="D54" i="14" s="1"/>
  <c r="C28" i="14"/>
  <c r="D28" i="14" s="1"/>
  <c r="E94" i="14"/>
  <c r="F94" i="14" s="1"/>
  <c r="E86" i="14"/>
  <c r="F86" i="14" s="1"/>
  <c r="E78" i="14"/>
  <c r="F78" i="14" s="1"/>
  <c r="E70" i="14"/>
  <c r="F70" i="14" s="1"/>
  <c r="E62" i="14"/>
  <c r="F62" i="14" s="1"/>
  <c r="E54" i="14"/>
  <c r="F54" i="14" s="1"/>
  <c r="E46" i="14"/>
  <c r="F46" i="14" s="1"/>
  <c r="E38" i="14"/>
  <c r="F38" i="14" s="1"/>
  <c r="E30" i="14"/>
  <c r="F30" i="14" s="1"/>
  <c r="E22" i="14"/>
  <c r="F22" i="14" s="1"/>
  <c r="E14" i="14"/>
  <c r="F14" i="14" s="1"/>
  <c r="E75" i="14"/>
  <c r="F75" i="14" s="1"/>
  <c r="E81" i="14"/>
  <c r="F81" i="14" s="1"/>
  <c r="C30" i="14"/>
  <c r="D30" i="14" s="1"/>
  <c r="C22" i="14"/>
  <c r="D22" i="14" s="1"/>
  <c r="E93" i="14"/>
  <c r="F93" i="14" s="1"/>
  <c r="E85" i="14"/>
  <c r="F85" i="14" s="1"/>
  <c r="E77" i="14"/>
  <c r="F77" i="14" s="1"/>
  <c r="E69" i="14"/>
  <c r="F69" i="14" s="1"/>
  <c r="E61" i="14"/>
  <c r="F61" i="14" s="1"/>
  <c r="E53" i="14"/>
  <c r="F53" i="14" s="1"/>
  <c r="E45" i="14"/>
  <c r="F45" i="14" s="1"/>
  <c r="E37" i="14"/>
  <c r="F37" i="14" s="1"/>
  <c r="E29" i="14"/>
  <c r="F29" i="14" s="1"/>
  <c r="E21" i="14"/>
  <c r="F21" i="14" s="1"/>
  <c r="E13" i="14"/>
  <c r="F13" i="14" s="1"/>
  <c r="B96" i="14"/>
  <c r="E96" i="14" s="1"/>
  <c r="F96" i="14" s="1"/>
  <c r="C95" i="14"/>
  <c r="D95" i="14" s="1"/>
  <c r="C83" i="14"/>
  <c r="D83" i="14" s="1"/>
  <c r="C67" i="14"/>
  <c r="D67" i="14" s="1"/>
  <c r="C51" i="14"/>
  <c r="D51" i="14" s="1"/>
  <c r="C88" i="14"/>
  <c r="D88" i="14" s="1"/>
  <c r="C80" i="14"/>
  <c r="D80" i="14" s="1"/>
  <c r="C64" i="14"/>
  <c r="D64" i="14" s="1"/>
  <c r="C48" i="14"/>
  <c r="D48" i="14" s="1"/>
  <c r="C12" i="14"/>
  <c r="D12" i="14" s="1"/>
  <c r="C13" i="14"/>
  <c r="D13" i="14" s="1"/>
  <c r="C87" i="14"/>
  <c r="D87" i="14" s="1"/>
  <c r="C79" i="14"/>
  <c r="D79" i="14" s="1"/>
  <c r="C71" i="14"/>
  <c r="D71" i="14" s="1"/>
  <c r="C63" i="14"/>
  <c r="D63" i="14" s="1"/>
  <c r="C55" i="14"/>
  <c r="D55" i="14" s="1"/>
  <c r="C47" i="14"/>
  <c r="D47" i="14" s="1"/>
  <c r="C39" i="14"/>
  <c r="D39" i="14" s="1"/>
  <c r="C31" i="14"/>
  <c r="D31" i="14" s="1"/>
  <c r="C23" i="14"/>
  <c r="D23" i="14" s="1"/>
  <c r="C92" i="14"/>
  <c r="D92" i="14" s="1"/>
  <c r="C68" i="14"/>
  <c r="D68" i="14" s="1"/>
  <c r="C52" i="14"/>
  <c r="D52" i="14" s="1"/>
  <c r="C75" i="14"/>
  <c r="D75" i="14" s="1"/>
  <c r="C43" i="14"/>
  <c r="D43" i="14" s="1"/>
  <c r="C35" i="14"/>
  <c r="D35" i="14" s="1"/>
  <c r="C27" i="14"/>
  <c r="D27" i="14" s="1"/>
  <c r="C16" i="14"/>
  <c r="D16" i="14" s="1"/>
  <c r="C90" i="14"/>
  <c r="D90" i="14" s="1"/>
  <c r="C82" i="14"/>
  <c r="D82" i="14" s="1"/>
  <c r="C74" i="14"/>
  <c r="D74" i="14" s="1"/>
  <c r="C66" i="14"/>
  <c r="D66" i="14" s="1"/>
  <c r="C58" i="14"/>
  <c r="D58" i="14" s="1"/>
  <c r="C50" i="14"/>
  <c r="D50" i="14" s="1"/>
  <c r="C42" i="14"/>
  <c r="D42" i="14" s="1"/>
  <c r="C34" i="14"/>
  <c r="D34" i="14" s="1"/>
  <c r="C26" i="14"/>
  <c r="D26" i="14" s="1"/>
  <c r="C76" i="14"/>
  <c r="D76" i="14" s="1"/>
  <c r="C44" i="14"/>
  <c r="D44" i="14" s="1"/>
  <c r="C15" i="14"/>
  <c r="D15" i="14" s="1"/>
  <c r="C89" i="14"/>
  <c r="D89" i="14" s="1"/>
  <c r="C81" i="14"/>
  <c r="D81" i="14" s="1"/>
  <c r="C73" i="14"/>
  <c r="D73" i="14" s="1"/>
  <c r="C65" i="14"/>
  <c r="D65" i="14" s="1"/>
  <c r="C57" i="14"/>
  <c r="D57" i="14" s="1"/>
  <c r="C49" i="14"/>
  <c r="D49" i="14" s="1"/>
  <c r="C41" i="14"/>
  <c r="D41" i="14" s="1"/>
  <c r="C33" i="14"/>
  <c r="D33" i="14" s="1"/>
  <c r="C25" i="14"/>
  <c r="D25" i="14" s="1"/>
  <c r="C84" i="14"/>
  <c r="D84" i="14" s="1"/>
  <c r="C60" i="14"/>
  <c r="D60" i="14" s="1"/>
  <c r="C36" i="14"/>
  <c r="D36" i="14" s="1"/>
  <c r="C91" i="14"/>
  <c r="D91" i="14" s="1"/>
  <c r="C59" i="14"/>
  <c r="D59" i="14" s="1"/>
  <c r="C14" i="14"/>
  <c r="D14" i="14" s="1"/>
  <c r="C72" i="14"/>
  <c r="D72" i="14" s="1"/>
  <c r="C56" i="14"/>
  <c r="D56" i="14" s="1"/>
  <c r="C40" i="14"/>
  <c r="D40" i="14" s="1"/>
  <c r="C32" i="14"/>
  <c r="D32" i="14" s="1"/>
  <c r="C24" i="14"/>
  <c r="D24" i="14" s="1"/>
  <c r="B97" i="14"/>
  <c r="E97" i="14" s="1"/>
  <c r="F97" i="14" s="1"/>
  <c r="X132" i="2"/>
  <c r="R77" i="2"/>
  <c r="S77" i="2"/>
  <c r="T77" i="2" s="1"/>
  <c r="R78" i="2"/>
  <c r="S78" i="2"/>
  <c r="T78" i="2" s="1"/>
  <c r="R79" i="2"/>
  <c r="S79" i="2"/>
  <c r="U79" i="2" s="1"/>
  <c r="R80" i="2"/>
  <c r="S80" i="2"/>
  <c r="T80" i="2" s="1"/>
  <c r="R81" i="2"/>
  <c r="S81" i="2"/>
  <c r="U81" i="2" s="1"/>
  <c r="R82" i="2"/>
  <c r="S82" i="2"/>
  <c r="T82" i="2" s="1"/>
  <c r="S76" i="2"/>
  <c r="C96" i="14" l="1"/>
  <c r="D96" i="14" s="1"/>
  <c r="B98" i="14"/>
  <c r="E98" i="14" s="1"/>
  <c r="F98" i="14" s="1"/>
  <c r="C97" i="14"/>
  <c r="D97" i="14" s="1"/>
  <c r="U80" i="2"/>
  <c r="U82" i="2"/>
  <c r="V82" i="2"/>
  <c r="W82" i="2" s="1"/>
  <c r="T81" i="2"/>
  <c r="V81" i="2" s="1"/>
  <c r="W81" i="2" s="1"/>
  <c r="T79" i="2"/>
  <c r="U77" i="2"/>
  <c r="V80" i="2"/>
  <c r="W80" i="2" s="1"/>
  <c r="V79" i="2"/>
  <c r="W79" i="2" s="1"/>
  <c r="V77" i="2"/>
  <c r="W77" i="2" s="1"/>
  <c r="U78" i="2"/>
  <c r="V78" i="2" s="1"/>
  <c r="C98" i="14" l="1"/>
  <c r="D98" i="14" s="1"/>
  <c r="B99" i="14"/>
  <c r="E99" i="14" s="1"/>
  <c r="F99" i="14" s="1"/>
  <c r="W78" i="2"/>
  <c r="B100" i="14" l="1"/>
  <c r="E100" i="14" s="1"/>
  <c r="F100" i="14" s="1"/>
  <c r="C99" i="14"/>
  <c r="D99" i="14" s="1"/>
  <c r="I12" i="13"/>
  <c r="I13" i="13"/>
  <c r="I14" i="13"/>
  <c r="I15" i="13"/>
  <c r="I16" i="13"/>
  <c r="I17" i="13"/>
  <c r="I11" i="13"/>
  <c r="C12" i="13"/>
  <c r="C13" i="13"/>
  <c r="C14" i="13"/>
  <c r="C15" i="13"/>
  <c r="C16" i="13"/>
  <c r="C17" i="13"/>
  <c r="C11" i="13"/>
  <c r="B5" i="13"/>
  <c r="J4" i="13"/>
  <c r="B4" i="13"/>
  <c r="C100" i="14" l="1"/>
  <c r="D100" i="14" s="1"/>
  <c r="B101" i="14"/>
  <c r="E101" i="14" s="1"/>
  <c r="F101" i="14" s="1"/>
  <c r="O72" i="2"/>
  <c r="F129" i="1"/>
  <c r="F130" i="1"/>
  <c r="B129" i="1"/>
  <c r="B130" i="1"/>
  <c r="B116" i="1"/>
  <c r="B117" i="1"/>
  <c r="B118" i="1"/>
  <c r="B119" i="1"/>
  <c r="B120" i="1"/>
  <c r="B121" i="1"/>
  <c r="B122" i="1"/>
  <c r="B123" i="1"/>
  <c r="B124" i="1"/>
  <c r="B125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D69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B69" i="1"/>
  <c r="B68" i="1"/>
  <c r="B65" i="1"/>
  <c r="B66" i="1"/>
  <c r="B67" i="1"/>
  <c r="B55" i="1"/>
  <c r="B56" i="1"/>
  <c r="B57" i="1"/>
  <c r="B58" i="1"/>
  <c r="B59" i="1"/>
  <c r="B60" i="1"/>
  <c r="B61" i="1"/>
  <c r="B62" i="1"/>
  <c r="B63" i="1"/>
  <c r="B64" i="1"/>
  <c r="B46" i="1"/>
  <c r="B47" i="1"/>
  <c r="B48" i="1"/>
  <c r="B49" i="1"/>
  <c r="B50" i="1"/>
  <c r="B51" i="1"/>
  <c r="B52" i="1"/>
  <c r="B53" i="1"/>
  <c r="B54" i="1"/>
  <c r="B77" i="2"/>
  <c r="A12" i="13" s="1"/>
  <c r="B78" i="2"/>
  <c r="A13" i="13" s="1"/>
  <c r="B79" i="2"/>
  <c r="A14" i="13" s="1"/>
  <c r="B80" i="2"/>
  <c r="A15" i="13" s="1"/>
  <c r="B81" i="2"/>
  <c r="A16" i="13" s="1"/>
  <c r="B82" i="2"/>
  <c r="A17" i="13" s="1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H117" i="2" s="1"/>
  <c r="B118" i="2"/>
  <c r="H118" i="2" s="1"/>
  <c r="B119" i="2"/>
  <c r="H119" i="2" s="1"/>
  <c r="B120" i="2"/>
  <c r="H120" i="2" s="1"/>
  <c r="B121" i="2"/>
  <c r="H121" i="2" s="1"/>
  <c r="B122" i="2"/>
  <c r="H122" i="2" s="1"/>
  <c r="B123" i="2"/>
  <c r="H123" i="2" s="1"/>
  <c r="B124" i="2"/>
  <c r="H124" i="2" s="1"/>
  <c r="B125" i="2"/>
  <c r="H125" i="2" s="1"/>
  <c r="B126" i="2"/>
  <c r="H126" i="2" s="1"/>
  <c r="B127" i="2"/>
  <c r="B126" i="1" s="1"/>
  <c r="B128" i="2"/>
  <c r="H128" i="2" s="1"/>
  <c r="B129" i="2"/>
  <c r="B128" i="1" s="1"/>
  <c r="B130" i="2"/>
  <c r="F130" i="2" s="1"/>
  <c r="B131" i="2"/>
  <c r="D131" i="2" s="1"/>
  <c r="D130" i="1" s="1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K37" i="2"/>
  <c r="M37" i="2" s="1"/>
  <c r="K38" i="2"/>
  <c r="M38" i="2" s="1"/>
  <c r="K39" i="2"/>
  <c r="K40" i="2"/>
  <c r="M40" i="2" s="1"/>
  <c r="K41" i="2"/>
  <c r="M41" i="2" s="1"/>
  <c r="K42" i="2"/>
  <c r="M42" i="2" s="1"/>
  <c r="K43" i="2"/>
  <c r="M43" i="2" s="1"/>
  <c r="K44" i="2"/>
  <c r="M44" i="2" s="1"/>
  <c r="K45" i="2"/>
  <c r="M45" i="2" s="1"/>
  <c r="K46" i="2"/>
  <c r="M46" i="2" s="1"/>
  <c r="K47" i="2"/>
  <c r="M47" i="2" s="1"/>
  <c r="K48" i="2"/>
  <c r="M48" i="2" s="1"/>
  <c r="K49" i="2"/>
  <c r="M49" i="2" s="1"/>
  <c r="K50" i="2"/>
  <c r="M50" i="2" s="1"/>
  <c r="K51" i="2"/>
  <c r="K52" i="2"/>
  <c r="M52" i="2" s="1"/>
  <c r="K53" i="2"/>
  <c r="M53" i="2" s="1"/>
  <c r="K54" i="2"/>
  <c r="M54" i="2" s="1"/>
  <c r="K55" i="2"/>
  <c r="M55" i="2" s="1"/>
  <c r="K56" i="2"/>
  <c r="M56" i="2" s="1"/>
  <c r="K57" i="2"/>
  <c r="M57" i="2" s="1"/>
  <c r="K58" i="2"/>
  <c r="M58" i="2" s="1"/>
  <c r="K59" i="2"/>
  <c r="M59" i="2" s="1"/>
  <c r="K60" i="2"/>
  <c r="M60" i="2" s="1"/>
  <c r="K61" i="2"/>
  <c r="M61" i="2" s="1"/>
  <c r="K62" i="2"/>
  <c r="M62" i="2" s="1"/>
  <c r="K63" i="2"/>
  <c r="K64" i="2"/>
  <c r="M64" i="2" s="1"/>
  <c r="K65" i="2"/>
  <c r="M65" i="2" s="1"/>
  <c r="K66" i="2"/>
  <c r="M66" i="2" s="1"/>
  <c r="K67" i="2"/>
  <c r="M67" i="2" s="1"/>
  <c r="K68" i="2"/>
  <c r="M68" i="2" s="1"/>
  <c r="K69" i="2"/>
  <c r="M69" i="2" s="1"/>
  <c r="K70" i="2"/>
  <c r="M70" i="2" s="1"/>
  <c r="K71" i="2"/>
  <c r="M71" i="2" s="1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F51" i="1" s="1"/>
  <c r="G54" i="2"/>
  <c r="F52" i="1" s="1"/>
  <c r="G55" i="2"/>
  <c r="F53" i="1" s="1"/>
  <c r="G56" i="2"/>
  <c r="F54" i="1" s="1"/>
  <c r="G57" i="2"/>
  <c r="F55" i="1" s="1"/>
  <c r="G58" i="2"/>
  <c r="F56" i="1" s="1"/>
  <c r="G59" i="2"/>
  <c r="F57" i="1" s="1"/>
  <c r="G60" i="2"/>
  <c r="F58" i="1" s="1"/>
  <c r="G61" i="2"/>
  <c r="F59" i="1" s="1"/>
  <c r="G62" i="2"/>
  <c r="F60" i="1" s="1"/>
  <c r="G63" i="2"/>
  <c r="F61" i="1" s="1"/>
  <c r="G64" i="2"/>
  <c r="F62" i="1" s="1"/>
  <c r="G65" i="2"/>
  <c r="F63" i="1" s="1"/>
  <c r="G66" i="2"/>
  <c r="F64" i="1" s="1"/>
  <c r="G67" i="2"/>
  <c r="F65" i="1" s="1"/>
  <c r="G68" i="2"/>
  <c r="F66" i="1" s="1"/>
  <c r="G69" i="2"/>
  <c r="F67" i="1" s="1"/>
  <c r="G70" i="2"/>
  <c r="F68" i="1" s="1"/>
  <c r="G71" i="2"/>
  <c r="F69" i="1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1" i="1" s="1"/>
  <c r="E54" i="2"/>
  <c r="F54" i="2" s="1"/>
  <c r="E52" i="1" s="1"/>
  <c r="E55" i="2"/>
  <c r="F55" i="2" s="1"/>
  <c r="E53" i="1" s="1"/>
  <c r="E56" i="2"/>
  <c r="C54" i="1" s="1"/>
  <c r="E57" i="2"/>
  <c r="C55" i="1" s="1"/>
  <c r="E58" i="2"/>
  <c r="C56" i="1" s="1"/>
  <c r="E59" i="2"/>
  <c r="C57" i="1" s="1"/>
  <c r="E60" i="2"/>
  <c r="C58" i="1" s="1"/>
  <c r="E61" i="2"/>
  <c r="F61" i="2" s="1"/>
  <c r="E59" i="1" s="1"/>
  <c r="E62" i="2"/>
  <c r="F62" i="2" s="1"/>
  <c r="E60" i="1" s="1"/>
  <c r="E63" i="2"/>
  <c r="F63" i="2" s="1"/>
  <c r="E61" i="1" s="1"/>
  <c r="E64" i="2"/>
  <c r="F64" i="2" s="1"/>
  <c r="E62" i="1" s="1"/>
  <c r="E65" i="2"/>
  <c r="F65" i="2" s="1"/>
  <c r="E63" i="1" s="1"/>
  <c r="E66" i="2"/>
  <c r="F66" i="2" s="1"/>
  <c r="E64" i="1" s="1"/>
  <c r="E67" i="2"/>
  <c r="F67" i="2" s="1"/>
  <c r="E65" i="1" s="1"/>
  <c r="E68" i="2"/>
  <c r="C66" i="1" s="1"/>
  <c r="E69" i="2"/>
  <c r="C67" i="1" s="1"/>
  <c r="E70" i="2"/>
  <c r="C68" i="1" s="1"/>
  <c r="E71" i="2"/>
  <c r="C69" i="1" s="1"/>
  <c r="B76" i="2"/>
  <c r="A11" i="13" s="1"/>
  <c r="E16" i="2"/>
  <c r="C3" i="11"/>
  <c r="I13" i="2"/>
  <c r="B11" i="11"/>
  <c r="D11" i="11" s="1"/>
  <c r="B6" i="11"/>
  <c r="B4" i="11"/>
  <c r="C101" i="14" l="1"/>
  <c r="D101" i="14" s="1"/>
  <c r="B102" i="14"/>
  <c r="E102" i="14" s="1"/>
  <c r="F102" i="14" s="1"/>
  <c r="F16" i="2"/>
  <c r="B11" i="13"/>
  <c r="H51" i="1"/>
  <c r="H52" i="1"/>
  <c r="H54" i="1"/>
  <c r="H53" i="1"/>
  <c r="H114" i="2"/>
  <c r="I114" i="2" s="1"/>
  <c r="H113" i="2"/>
  <c r="I113" i="2" s="1"/>
  <c r="H116" i="2"/>
  <c r="I116" i="2" s="1"/>
  <c r="H112" i="2"/>
  <c r="H111" i="2"/>
  <c r="H110" i="2"/>
  <c r="H115" i="2"/>
  <c r="I115" i="2" s="1"/>
  <c r="B115" i="1"/>
  <c r="B114" i="1"/>
  <c r="B113" i="1"/>
  <c r="B112" i="1"/>
  <c r="E131" i="2"/>
  <c r="E130" i="1" s="1"/>
  <c r="F131" i="2"/>
  <c r="F71" i="2"/>
  <c r="E69" i="1" s="1"/>
  <c r="G131" i="2"/>
  <c r="C131" i="2"/>
  <c r="J131" i="2" s="1"/>
  <c r="H131" i="2"/>
  <c r="I131" i="2" s="1"/>
  <c r="C123" i="2"/>
  <c r="C122" i="1" s="1"/>
  <c r="G130" i="2"/>
  <c r="C130" i="2"/>
  <c r="C129" i="1" s="1"/>
  <c r="H130" i="2"/>
  <c r="I130" i="2" s="1"/>
  <c r="F70" i="2"/>
  <c r="E68" i="1" s="1"/>
  <c r="D130" i="2"/>
  <c r="D129" i="1" s="1"/>
  <c r="E130" i="2"/>
  <c r="E129" i="1" s="1"/>
  <c r="C99" i="2"/>
  <c r="J99" i="2" s="1"/>
  <c r="C64" i="1"/>
  <c r="C52" i="1"/>
  <c r="C63" i="1"/>
  <c r="C51" i="1"/>
  <c r="C62" i="1"/>
  <c r="C61" i="1"/>
  <c r="C60" i="1"/>
  <c r="C59" i="1"/>
  <c r="C65" i="1"/>
  <c r="C53" i="1"/>
  <c r="H129" i="2"/>
  <c r="I129" i="2" s="1"/>
  <c r="H127" i="2"/>
  <c r="I127" i="2" s="1"/>
  <c r="B127" i="1"/>
  <c r="I119" i="2"/>
  <c r="I118" i="2"/>
  <c r="I128" i="2"/>
  <c r="I117" i="2"/>
  <c r="C111" i="2"/>
  <c r="J111" i="2" s="1"/>
  <c r="I120" i="2"/>
  <c r="M51" i="2"/>
  <c r="M39" i="2"/>
  <c r="M63" i="2"/>
  <c r="C126" i="2"/>
  <c r="C125" i="1" s="1"/>
  <c r="C114" i="2"/>
  <c r="C102" i="2"/>
  <c r="J102" i="2" s="1"/>
  <c r="C125" i="2"/>
  <c r="C113" i="2"/>
  <c r="C101" i="2"/>
  <c r="J101" i="2" s="1"/>
  <c r="F59" i="2"/>
  <c r="E57" i="1" s="1"/>
  <c r="F58" i="2"/>
  <c r="E56" i="1" s="1"/>
  <c r="I126" i="2"/>
  <c r="I125" i="2"/>
  <c r="F60" i="2"/>
  <c r="E58" i="1" s="1"/>
  <c r="F69" i="2"/>
  <c r="E67" i="1" s="1"/>
  <c r="F57" i="2"/>
  <c r="E55" i="1" s="1"/>
  <c r="I124" i="2"/>
  <c r="F68" i="2"/>
  <c r="E66" i="1" s="1"/>
  <c r="F56" i="2"/>
  <c r="E54" i="1" s="1"/>
  <c r="I123" i="2"/>
  <c r="I122" i="2"/>
  <c r="I121" i="2"/>
  <c r="C124" i="2"/>
  <c r="C112" i="2"/>
  <c r="J112" i="2" s="1"/>
  <c r="C100" i="2"/>
  <c r="J100" i="2" s="1"/>
  <c r="C122" i="2"/>
  <c r="C110" i="2"/>
  <c r="J110" i="2" s="1"/>
  <c r="C98" i="2"/>
  <c r="J98" i="2" s="1"/>
  <c r="C121" i="2"/>
  <c r="C109" i="2"/>
  <c r="J109" i="2" s="1"/>
  <c r="C97" i="2"/>
  <c r="J97" i="2" s="1"/>
  <c r="C120" i="2"/>
  <c r="C108" i="2"/>
  <c r="D108" i="2" s="1"/>
  <c r="C119" i="2"/>
  <c r="C118" i="1" s="1"/>
  <c r="C107" i="2"/>
  <c r="J107" i="2" s="1"/>
  <c r="D126" i="2"/>
  <c r="D125" i="1" s="1"/>
  <c r="C118" i="2"/>
  <c r="C117" i="1" s="1"/>
  <c r="C106" i="2"/>
  <c r="C129" i="2"/>
  <c r="C128" i="1" s="1"/>
  <c r="C117" i="2"/>
  <c r="C116" i="1" s="1"/>
  <c r="C105" i="2"/>
  <c r="J105" i="2" s="1"/>
  <c r="C128" i="2"/>
  <c r="C116" i="2"/>
  <c r="C104" i="2"/>
  <c r="J104" i="2" s="1"/>
  <c r="D123" i="2"/>
  <c r="C127" i="2"/>
  <c r="C115" i="2"/>
  <c r="C114" i="1" s="1"/>
  <c r="C103" i="2"/>
  <c r="C11" i="11"/>
  <c r="B3" i="5"/>
  <c r="D7" i="5"/>
  <c r="E7" i="5" s="1"/>
  <c r="E17" i="2"/>
  <c r="B12" i="13" s="1"/>
  <c r="E18" i="2"/>
  <c r="B13" i="13" s="1"/>
  <c r="C102" i="14" l="1"/>
  <c r="D102" i="14" s="1"/>
  <c r="B103" i="14"/>
  <c r="E103" i="14" s="1"/>
  <c r="F103" i="14" s="1"/>
  <c r="L131" i="2"/>
  <c r="L130" i="2"/>
  <c r="D99" i="2"/>
  <c r="E99" i="2" s="1"/>
  <c r="K131" i="2"/>
  <c r="C130" i="1"/>
  <c r="C16" i="1"/>
  <c r="F18" i="2"/>
  <c r="C15" i="1"/>
  <c r="F17" i="2"/>
  <c r="J123" i="2"/>
  <c r="L123" i="2"/>
  <c r="K130" i="2"/>
  <c r="J130" i="2"/>
  <c r="L126" i="2"/>
  <c r="L125" i="2"/>
  <c r="L113" i="2"/>
  <c r="L114" i="2"/>
  <c r="D120" i="2"/>
  <c r="D119" i="1" s="1"/>
  <c r="C119" i="1"/>
  <c r="D113" i="2"/>
  <c r="C112" i="1"/>
  <c r="D125" i="2"/>
  <c r="C124" i="1"/>
  <c r="D121" i="2"/>
  <c r="C120" i="1"/>
  <c r="J114" i="2"/>
  <c r="C113" i="1"/>
  <c r="F125" i="1"/>
  <c r="D122" i="2"/>
  <c r="C121" i="1"/>
  <c r="D124" i="2"/>
  <c r="C123" i="1"/>
  <c r="J126" i="2"/>
  <c r="D98" i="2"/>
  <c r="E98" i="2" s="1"/>
  <c r="D127" i="2"/>
  <c r="C126" i="1"/>
  <c r="D111" i="2"/>
  <c r="E111" i="2" s="1"/>
  <c r="E123" i="2"/>
  <c r="E122" i="1" s="1"/>
  <c r="D122" i="1"/>
  <c r="F122" i="1" s="1"/>
  <c r="D116" i="2"/>
  <c r="C115" i="1"/>
  <c r="D128" i="2"/>
  <c r="C127" i="1"/>
  <c r="J125" i="2"/>
  <c r="D114" i="2"/>
  <c r="D113" i="1" s="1"/>
  <c r="K114" i="2"/>
  <c r="K126" i="2"/>
  <c r="D101" i="2"/>
  <c r="E101" i="2" s="1"/>
  <c r="D102" i="2"/>
  <c r="E102" i="2" s="1"/>
  <c r="J113" i="2"/>
  <c r="K125" i="2"/>
  <c r="D109" i="2"/>
  <c r="E109" i="2" s="1"/>
  <c r="K113" i="2"/>
  <c r="D129" i="2"/>
  <c r="D104" i="2"/>
  <c r="E104" i="2" s="1"/>
  <c r="K123" i="2"/>
  <c r="E108" i="2"/>
  <c r="E120" i="2"/>
  <c r="E119" i="1" s="1"/>
  <c r="J103" i="2"/>
  <c r="K116" i="2"/>
  <c r="L116" i="2"/>
  <c r="J116" i="2"/>
  <c r="J129" i="2"/>
  <c r="L129" i="2"/>
  <c r="D103" i="2"/>
  <c r="E103" i="2" s="1"/>
  <c r="L124" i="2"/>
  <c r="J124" i="2"/>
  <c r="K124" i="2"/>
  <c r="D97" i="2"/>
  <c r="L122" i="2"/>
  <c r="J122" i="2"/>
  <c r="K122" i="2"/>
  <c r="J117" i="2"/>
  <c r="L117" i="2"/>
  <c r="L121" i="2"/>
  <c r="J121" i="2"/>
  <c r="K121" i="2"/>
  <c r="E126" i="2"/>
  <c r="E125" i="1" s="1"/>
  <c r="L118" i="2"/>
  <c r="D118" i="2"/>
  <c r="J118" i="2"/>
  <c r="L115" i="2"/>
  <c r="J115" i="2"/>
  <c r="K127" i="2"/>
  <c r="L127" i="2"/>
  <c r="J127" i="2"/>
  <c r="D100" i="2"/>
  <c r="J108" i="2"/>
  <c r="K128" i="2"/>
  <c r="L128" i="2"/>
  <c r="J128" i="2"/>
  <c r="L120" i="2"/>
  <c r="J120" i="2"/>
  <c r="K120" i="2"/>
  <c r="D115" i="2"/>
  <c r="D107" i="2"/>
  <c r="E107" i="2" s="1"/>
  <c r="D110" i="2"/>
  <c r="E110" i="2" s="1"/>
  <c r="J119" i="2"/>
  <c r="L119" i="2"/>
  <c r="D105" i="2"/>
  <c r="E105" i="2" s="1"/>
  <c r="D119" i="2"/>
  <c r="D112" i="2"/>
  <c r="D106" i="2"/>
  <c r="J106" i="2"/>
  <c r="D117" i="2"/>
  <c r="B5" i="5"/>
  <c r="D6" i="5" s="1"/>
  <c r="F7" i="5"/>
  <c r="G7" i="5" s="1"/>
  <c r="H7" i="5" s="1"/>
  <c r="J7" i="5" s="1"/>
  <c r="B104" i="14" l="1"/>
  <c r="E104" i="14" s="1"/>
  <c r="F104" i="14" s="1"/>
  <c r="C103" i="14"/>
  <c r="D103" i="14" s="1"/>
  <c r="M131" i="2"/>
  <c r="N131" i="2" s="1"/>
  <c r="M130" i="2"/>
  <c r="N130" i="2" s="1"/>
  <c r="M123" i="2"/>
  <c r="N123" i="2" s="1"/>
  <c r="M114" i="2"/>
  <c r="N114" i="2" s="1"/>
  <c r="M113" i="2"/>
  <c r="N113" i="2" s="1"/>
  <c r="M126" i="2"/>
  <c r="N126" i="2" s="1"/>
  <c r="M125" i="2"/>
  <c r="N125" i="2" s="1"/>
  <c r="E114" i="2"/>
  <c r="E113" i="1" s="1"/>
  <c r="F113" i="1" s="1"/>
  <c r="E119" i="2"/>
  <c r="E118" i="1" s="1"/>
  <c r="D118" i="1"/>
  <c r="E116" i="2"/>
  <c r="E115" i="1" s="1"/>
  <c r="D115" i="1"/>
  <c r="E117" i="2"/>
  <c r="E116" i="1" s="1"/>
  <c r="D116" i="1"/>
  <c r="F116" i="1" s="1"/>
  <c r="E128" i="2"/>
  <c r="E127" i="1" s="1"/>
  <c r="D127" i="1"/>
  <c r="F127" i="1" s="1"/>
  <c r="E127" i="2"/>
  <c r="E126" i="1" s="1"/>
  <c r="D126" i="1"/>
  <c r="F126" i="1" s="1"/>
  <c r="E115" i="2"/>
  <c r="E114" i="1" s="1"/>
  <c r="D114" i="1"/>
  <c r="F123" i="1"/>
  <c r="E124" i="2"/>
  <c r="E123" i="1" s="1"/>
  <c r="D123" i="1"/>
  <c r="E122" i="2"/>
  <c r="E121" i="1" s="1"/>
  <c r="D121" i="1"/>
  <c r="F121" i="1" s="1"/>
  <c r="E129" i="2"/>
  <c r="E128" i="1" s="1"/>
  <c r="D128" i="1"/>
  <c r="F128" i="1" s="1"/>
  <c r="E121" i="2"/>
  <c r="E120" i="1" s="1"/>
  <c r="D120" i="1"/>
  <c r="F120" i="1" s="1"/>
  <c r="E125" i="2"/>
  <c r="E124" i="1" s="1"/>
  <c r="D124" i="1"/>
  <c r="F124" i="1" s="1"/>
  <c r="E118" i="2"/>
  <c r="E117" i="1" s="1"/>
  <c r="D117" i="1"/>
  <c r="F117" i="1" s="1"/>
  <c r="E113" i="2"/>
  <c r="E112" i="1" s="1"/>
  <c r="D112" i="1"/>
  <c r="F119" i="1"/>
  <c r="K129" i="2"/>
  <c r="M129" i="2" s="1"/>
  <c r="N129" i="2" s="1"/>
  <c r="K118" i="2"/>
  <c r="M118" i="2" s="1"/>
  <c r="N118" i="2" s="1"/>
  <c r="K115" i="2"/>
  <c r="M115" i="2" s="1"/>
  <c r="K119" i="2"/>
  <c r="M119" i="2" s="1"/>
  <c r="N119" i="2" s="1"/>
  <c r="K117" i="2"/>
  <c r="E16" i="1"/>
  <c r="M127" i="2"/>
  <c r="N127" i="2" s="1"/>
  <c r="E15" i="1"/>
  <c r="M120" i="2"/>
  <c r="N120" i="2" s="1"/>
  <c r="E112" i="2"/>
  <c r="E100" i="2"/>
  <c r="M128" i="2"/>
  <c r="N128" i="2" s="1"/>
  <c r="M122" i="2"/>
  <c r="N122" i="2" s="1"/>
  <c r="E97" i="2"/>
  <c r="M116" i="2"/>
  <c r="N116" i="2" s="1"/>
  <c r="E106" i="2"/>
  <c r="M121" i="2"/>
  <c r="N121" i="2" s="1"/>
  <c r="M124" i="2"/>
  <c r="N124" i="2" s="1"/>
  <c r="C14" i="1"/>
  <c r="C104" i="14" l="1"/>
  <c r="D104" i="14" s="1"/>
  <c r="B105" i="14"/>
  <c r="E105" i="14" s="1"/>
  <c r="F105" i="14" s="1"/>
  <c r="F114" i="1"/>
  <c r="F115" i="1"/>
  <c r="F112" i="1"/>
  <c r="F118" i="1"/>
  <c r="N115" i="2"/>
  <c r="M117" i="2"/>
  <c r="N117" i="2" s="1"/>
  <c r="K16" i="2"/>
  <c r="K17" i="2"/>
  <c r="C77" i="2" s="1"/>
  <c r="K18" i="2"/>
  <c r="B106" i="14" l="1"/>
  <c r="E106" i="14" s="1"/>
  <c r="F106" i="14" s="1"/>
  <c r="C105" i="14"/>
  <c r="D105" i="14" s="1"/>
  <c r="M18" i="2"/>
  <c r="C78" i="2"/>
  <c r="J77" i="2"/>
  <c r="E12" i="13" s="1"/>
  <c r="D77" i="2"/>
  <c r="E77" i="2" s="1"/>
  <c r="G17" i="2"/>
  <c r="G16" i="2"/>
  <c r="C106" i="14" l="1"/>
  <c r="D106" i="14" s="1"/>
  <c r="B107" i="14"/>
  <c r="E107" i="14" s="1"/>
  <c r="F107" i="14" s="1"/>
  <c r="J78" i="2"/>
  <c r="E13" i="13" s="1"/>
  <c r="D78" i="2"/>
  <c r="E78" i="2" s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B108" i="14" l="1"/>
  <c r="E108" i="14" s="1"/>
  <c r="F108" i="14" s="1"/>
  <c r="C107" i="14"/>
  <c r="D107" i="14" s="1"/>
  <c r="C6" i="1"/>
  <c r="C5" i="1"/>
  <c r="H136" i="1" s="1"/>
  <c r="D9" i="1"/>
  <c r="I144" i="2"/>
  <c r="D14" i="1"/>
  <c r="F9" i="1"/>
  <c r="C108" i="14" l="1"/>
  <c r="D108" i="14" s="1"/>
  <c r="B109" i="14"/>
  <c r="B136" i="1"/>
  <c r="E136" i="1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C109" i="14" l="1"/>
  <c r="D109" i="14" s="1"/>
  <c r="E109" i="14"/>
  <c r="F109" i="14" s="1"/>
  <c r="B110" i="14"/>
  <c r="E19" i="2"/>
  <c r="E20" i="2"/>
  <c r="E21" i="2"/>
  <c r="E22" i="2"/>
  <c r="E23" i="2"/>
  <c r="F23" i="2" s="1"/>
  <c r="E24" i="2"/>
  <c r="F24" i="2" s="1"/>
  <c r="E25" i="2"/>
  <c r="E26" i="2"/>
  <c r="E27" i="2"/>
  <c r="E28" i="2"/>
  <c r="E29" i="2"/>
  <c r="E30" i="2"/>
  <c r="E31" i="2"/>
  <c r="E32" i="2"/>
  <c r="E33" i="2"/>
  <c r="E34" i="2"/>
  <c r="E35" i="2"/>
  <c r="E3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16" i="2"/>
  <c r="E110" i="14" l="1"/>
  <c r="F110" i="14" s="1"/>
  <c r="C110" i="14"/>
  <c r="D110" i="14" s="1"/>
  <c r="B111" i="14"/>
  <c r="F21" i="2"/>
  <c r="B16" i="13"/>
  <c r="F20" i="2"/>
  <c r="B15" i="13"/>
  <c r="F22" i="2"/>
  <c r="B17" i="13"/>
  <c r="F19" i="2"/>
  <c r="B14" i="13"/>
  <c r="B7" i="11"/>
  <c r="C48" i="1"/>
  <c r="E48" i="1"/>
  <c r="C44" i="1"/>
  <c r="E44" i="1"/>
  <c r="C40" i="1"/>
  <c r="E40" i="1"/>
  <c r="C36" i="1"/>
  <c r="E36" i="1"/>
  <c r="C32" i="1"/>
  <c r="F34" i="2"/>
  <c r="C28" i="1"/>
  <c r="F30" i="2"/>
  <c r="C24" i="1"/>
  <c r="F26" i="2"/>
  <c r="C20" i="1"/>
  <c r="C47" i="1"/>
  <c r="E47" i="1"/>
  <c r="C43" i="1"/>
  <c r="E43" i="1"/>
  <c r="C39" i="1"/>
  <c r="E39" i="1"/>
  <c r="C35" i="1"/>
  <c r="E35" i="1"/>
  <c r="C31" i="1"/>
  <c r="F33" i="2"/>
  <c r="C27" i="1"/>
  <c r="F29" i="2"/>
  <c r="C23" i="1"/>
  <c r="F25" i="2"/>
  <c r="C19" i="1"/>
  <c r="C50" i="1"/>
  <c r="E50" i="1"/>
  <c r="C38" i="1"/>
  <c r="E38" i="1"/>
  <c r="C30" i="1"/>
  <c r="F32" i="2"/>
  <c r="C26" i="1"/>
  <c r="F28" i="2"/>
  <c r="C22" i="1"/>
  <c r="C18" i="1"/>
  <c r="C46" i="1"/>
  <c r="E46" i="1"/>
  <c r="C42" i="1"/>
  <c r="E42" i="1"/>
  <c r="C34" i="1"/>
  <c r="F36" i="2"/>
  <c r="C49" i="1"/>
  <c r="E49" i="1"/>
  <c r="C45" i="1"/>
  <c r="E45" i="1"/>
  <c r="C41" i="1"/>
  <c r="E41" i="1"/>
  <c r="C37" i="1"/>
  <c r="E37" i="1"/>
  <c r="C33" i="1"/>
  <c r="F35" i="2"/>
  <c r="C29" i="1"/>
  <c r="F31" i="2"/>
  <c r="C25" i="1"/>
  <c r="F27" i="2"/>
  <c r="C21" i="1"/>
  <c r="C17" i="1"/>
  <c r="N72" i="2"/>
  <c r="O14" i="3"/>
  <c r="N14" i="3"/>
  <c r="H13" i="3"/>
  <c r="I13" i="3" s="1"/>
  <c r="Y13" i="3"/>
  <c r="E111" i="14" l="1"/>
  <c r="F111" i="14" s="1"/>
  <c r="C111" i="14"/>
  <c r="D111" i="14" s="1"/>
  <c r="B112" i="14"/>
  <c r="E19" i="1"/>
  <c r="E17" i="1"/>
  <c r="E23" i="1"/>
  <c r="E26" i="1"/>
  <c r="E27" i="1"/>
  <c r="E20" i="1"/>
  <c r="E31" i="1"/>
  <c r="E22" i="1"/>
  <c r="E30" i="1"/>
  <c r="E18" i="1"/>
  <c r="E29" i="1"/>
  <c r="E33" i="1"/>
  <c r="E28" i="1"/>
  <c r="E25" i="1"/>
  <c r="E34" i="1"/>
  <c r="E24" i="1"/>
  <c r="E21" i="1"/>
  <c r="E32" i="1"/>
  <c r="I6" i="3"/>
  <c r="F100" i="4"/>
  <c r="C100" i="4"/>
  <c r="K96" i="4"/>
  <c r="B94" i="4"/>
  <c r="G94" i="4" s="1"/>
  <c r="B93" i="4"/>
  <c r="C93" i="4" s="1"/>
  <c r="B92" i="4"/>
  <c r="G92" i="4" s="1"/>
  <c r="B91" i="4"/>
  <c r="C91" i="4" s="1"/>
  <c r="B90" i="4"/>
  <c r="G90" i="4" s="1"/>
  <c r="B89" i="4"/>
  <c r="C89" i="4" s="1"/>
  <c r="B88" i="4"/>
  <c r="G88" i="4" s="1"/>
  <c r="B87" i="4"/>
  <c r="C87" i="4" s="1"/>
  <c r="B86" i="4"/>
  <c r="G86" i="4" s="1"/>
  <c r="B85" i="4"/>
  <c r="C85" i="4" s="1"/>
  <c r="B84" i="4"/>
  <c r="G84" i="4" s="1"/>
  <c r="B83" i="4"/>
  <c r="C83" i="4" s="1"/>
  <c r="B82" i="4"/>
  <c r="G82" i="4" s="1"/>
  <c r="B81" i="4"/>
  <c r="C81" i="4" s="1"/>
  <c r="B80" i="4"/>
  <c r="G80" i="4" s="1"/>
  <c r="B79" i="4"/>
  <c r="C79" i="4" s="1"/>
  <c r="B78" i="4"/>
  <c r="G78" i="4" s="1"/>
  <c r="B77" i="4"/>
  <c r="C77" i="4" s="1"/>
  <c r="B76" i="4"/>
  <c r="G76" i="4" s="1"/>
  <c r="B75" i="4"/>
  <c r="C75" i="4" s="1"/>
  <c r="B74" i="4"/>
  <c r="G74" i="4" s="1"/>
  <c r="B73" i="4"/>
  <c r="C73" i="4" s="1"/>
  <c r="B72" i="4"/>
  <c r="G72" i="4" s="1"/>
  <c r="B71" i="4"/>
  <c r="C71" i="4" s="1"/>
  <c r="B70" i="4"/>
  <c r="G70" i="4" s="1"/>
  <c r="B69" i="4"/>
  <c r="C69" i="4" s="1"/>
  <c r="B68" i="4"/>
  <c r="G68" i="4" s="1"/>
  <c r="B67" i="4"/>
  <c r="C67" i="4" s="1"/>
  <c r="B66" i="4"/>
  <c r="G66" i="4" s="1"/>
  <c r="B65" i="4"/>
  <c r="C65" i="4" s="1"/>
  <c r="B64" i="4"/>
  <c r="G64" i="4" s="1"/>
  <c r="B63" i="4"/>
  <c r="C63" i="4" s="1"/>
  <c r="B62" i="4"/>
  <c r="G62" i="4" s="1"/>
  <c r="B61" i="4"/>
  <c r="C61" i="4" s="1"/>
  <c r="B60" i="4"/>
  <c r="G60" i="4" s="1"/>
  <c r="B59" i="4"/>
  <c r="C59" i="4" s="1"/>
  <c r="B58" i="4"/>
  <c r="G58" i="4" s="1"/>
  <c r="B57" i="4"/>
  <c r="N53" i="4"/>
  <c r="K52" i="4"/>
  <c r="G52" i="4"/>
  <c r="E52" i="4"/>
  <c r="F52" i="4" s="1"/>
  <c r="K51" i="4"/>
  <c r="G51" i="4"/>
  <c r="E51" i="4"/>
  <c r="F51" i="4" s="1"/>
  <c r="K50" i="4"/>
  <c r="G50" i="4"/>
  <c r="E50" i="4"/>
  <c r="F50" i="4" s="1"/>
  <c r="K49" i="4"/>
  <c r="G49" i="4"/>
  <c r="E49" i="4"/>
  <c r="F49" i="4" s="1"/>
  <c r="K48" i="4"/>
  <c r="G48" i="4"/>
  <c r="E48" i="4"/>
  <c r="F48" i="4" s="1"/>
  <c r="K47" i="4"/>
  <c r="G47" i="4"/>
  <c r="E47" i="4"/>
  <c r="F47" i="4" s="1"/>
  <c r="K46" i="4"/>
  <c r="G46" i="4"/>
  <c r="E46" i="4"/>
  <c r="F46" i="4" s="1"/>
  <c r="K45" i="4"/>
  <c r="G45" i="4"/>
  <c r="E45" i="4"/>
  <c r="F45" i="4" s="1"/>
  <c r="K44" i="4"/>
  <c r="G44" i="4"/>
  <c r="E44" i="4"/>
  <c r="F44" i="4" s="1"/>
  <c r="K43" i="4"/>
  <c r="G43" i="4"/>
  <c r="E43" i="4"/>
  <c r="F43" i="4" s="1"/>
  <c r="K42" i="4"/>
  <c r="G42" i="4"/>
  <c r="E42" i="4"/>
  <c r="F42" i="4" s="1"/>
  <c r="K41" i="4"/>
  <c r="G41" i="4"/>
  <c r="E41" i="4"/>
  <c r="F41" i="4" s="1"/>
  <c r="K40" i="4"/>
  <c r="G40" i="4"/>
  <c r="E40" i="4"/>
  <c r="F40" i="4" s="1"/>
  <c r="K39" i="4"/>
  <c r="G39" i="4"/>
  <c r="E39" i="4"/>
  <c r="F39" i="4" s="1"/>
  <c r="K38" i="4"/>
  <c r="G38" i="4"/>
  <c r="E38" i="4"/>
  <c r="F38" i="4" s="1"/>
  <c r="K37" i="4"/>
  <c r="G37" i="4"/>
  <c r="E37" i="4"/>
  <c r="F37" i="4" s="1"/>
  <c r="K36" i="4"/>
  <c r="G36" i="4"/>
  <c r="E36" i="4"/>
  <c r="F36" i="4" s="1"/>
  <c r="K35" i="4"/>
  <c r="G35" i="4"/>
  <c r="E35" i="4"/>
  <c r="F35" i="4" s="1"/>
  <c r="K34" i="4"/>
  <c r="G34" i="4"/>
  <c r="E34" i="4"/>
  <c r="F34" i="4" s="1"/>
  <c r="K33" i="4"/>
  <c r="G33" i="4"/>
  <c r="E33" i="4"/>
  <c r="F33" i="4" s="1"/>
  <c r="K32" i="4"/>
  <c r="G32" i="4"/>
  <c r="E32" i="4"/>
  <c r="F32" i="4" s="1"/>
  <c r="K31" i="4"/>
  <c r="G31" i="4"/>
  <c r="E31" i="4"/>
  <c r="F31" i="4" s="1"/>
  <c r="K30" i="4"/>
  <c r="G30" i="4"/>
  <c r="E30" i="4"/>
  <c r="F30" i="4" s="1"/>
  <c r="K29" i="4"/>
  <c r="G29" i="4"/>
  <c r="E29" i="4"/>
  <c r="F29" i="4" s="1"/>
  <c r="K28" i="4"/>
  <c r="G28" i="4"/>
  <c r="E28" i="4"/>
  <c r="F28" i="4" s="1"/>
  <c r="K27" i="4"/>
  <c r="G27" i="4"/>
  <c r="E27" i="4"/>
  <c r="F27" i="4" s="1"/>
  <c r="K26" i="4"/>
  <c r="G26" i="4"/>
  <c r="E26" i="4"/>
  <c r="F26" i="4" s="1"/>
  <c r="K25" i="4"/>
  <c r="G25" i="4"/>
  <c r="E25" i="4"/>
  <c r="F25" i="4" s="1"/>
  <c r="K24" i="4"/>
  <c r="G24" i="4"/>
  <c r="E24" i="4"/>
  <c r="F24" i="4" s="1"/>
  <c r="K23" i="4"/>
  <c r="G23" i="4"/>
  <c r="E23" i="4"/>
  <c r="F23" i="4" s="1"/>
  <c r="K22" i="4"/>
  <c r="G22" i="4"/>
  <c r="E22" i="4"/>
  <c r="F22" i="4" s="1"/>
  <c r="K21" i="4"/>
  <c r="G21" i="4"/>
  <c r="E21" i="4"/>
  <c r="F21" i="4" s="1"/>
  <c r="K20" i="4"/>
  <c r="G20" i="4"/>
  <c r="E20" i="4"/>
  <c r="F20" i="4" s="1"/>
  <c r="K19" i="4"/>
  <c r="G19" i="4"/>
  <c r="E19" i="4"/>
  <c r="F19" i="4" s="1"/>
  <c r="K18" i="4"/>
  <c r="G18" i="4"/>
  <c r="E18" i="4"/>
  <c r="F18" i="4" s="1"/>
  <c r="K17" i="4"/>
  <c r="G17" i="4"/>
  <c r="E17" i="4"/>
  <c r="F17" i="4" s="1"/>
  <c r="K16" i="4"/>
  <c r="G16" i="4"/>
  <c r="E16" i="4"/>
  <c r="F16" i="4" s="1"/>
  <c r="K15" i="4"/>
  <c r="G15" i="4"/>
  <c r="E15" i="4"/>
  <c r="F15" i="4" s="1"/>
  <c r="H12" i="4"/>
  <c r="L7" i="3"/>
  <c r="K7" i="3"/>
  <c r="I5" i="3"/>
  <c r="I4" i="3"/>
  <c r="F144" i="2"/>
  <c r="B144" i="2"/>
  <c r="B110" i="1"/>
  <c r="B109" i="1"/>
  <c r="B102" i="1"/>
  <c r="B98" i="1"/>
  <c r="B97" i="1"/>
  <c r="B93" i="1"/>
  <c r="B90" i="1"/>
  <c r="B89" i="1"/>
  <c r="B88" i="1"/>
  <c r="B87" i="1"/>
  <c r="B86" i="1"/>
  <c r="B85" i="1"/>
  <c r="H85" i="2"/>
  <c r="I85" i="2" s="1"/>
  <c r="H84" i="2"/>
  <c r="I84" i="2" s="1"/>
  <c r="H83" i="2"/>
  <c r="I83" i="2" s="1"/>
  <c r="I82" i="2"/>
  <c r="D17" i="13" s="1"/>
  <c r="I81" i="2"/>
  <c r="D16" i="13" s="1"/>
  <c r="I80" i="2"/>
  <c r="D15" i="13" s="1"/>
  <c r="I79" i="2"/>
  <c r="D14" i="13" s="1"/>
  <c r="I78" i="2"/>
  <c r="I76" i="2"/>
  <c r="D11" i="13" s="1"/>
  <c r="F50" i="1"/>
  <c r="F49" i="1"/>
  <c r="F48" i="1"/>
  <c r="F47" i="1"/>
  <c r="F45" i="1"/>
  <c r="F44" i="1"/>
  <c r="F43" i="1"/>
  <c r="F42" i="1"/>
  <c r="F40" i="1"/>
  <c r="F39" i="1"/>
  <c r="F38" i="1"/>
  <c r="F37" i="1"/>
  <c r="F36" i="1"/>
  <c r="F35" i="1"/>
  <c r="K36" i="2"/>
  <c r="F34" i="1"/>
  <c r="K35" i="2"/>
  <c r="F33" i="1"/>
  <c r="K34" i="2"/>
  <c r="F32" i="1"/>
  <c r="K33" i="2"/>
  <c r="F31" i="1"/>
  <c r="K32" i="2"/>
  <c r="H30" i="1" s="1"/>
  <c r="F30" i="1"/>
  <c r="K31" i="2"/>
  <c r="H29" i="1" s="1"/>
  <c r="K30" i="2"/>
  <c r="K29" i="2"/>
  <c r="F27" i="1"/>
  <c r="K28" i="2"/>
  <c r="F26" i="1"/>
  <c r="K27" i="2"/>
  <c r="F25" i="1"/>
  <c r="K26" i="2"/>
  <c r="F24" i="1"/>
  <c r="K25" i="2"/>
  <c r="F23" i="1"/>
  <c r="K24" i="2"/>
  <c r="F22" i="1"/>
  <c r="K23" i="2"/>
  <c r="F21" i="1"/>
  <c r="K22" i="2"/>
  <c r="F20" i="1"/>
  <c r="K21" i="2"/>
  <c r="F19" i="1"/>
  <c r="K20" i="2"/>
  <c r="F18" i="1"/>
  <c r="K19" i="2"/>
  <c r="F17" i="1"/>
  <c r="F16" i="1"/>
  <c r="H15" i="1"/>
  <c r="F15" i="1"/>
  <c r="M16" i="2"/>
  <c r="F14" i="1"/>
  <c r="C158" i="1"/>
  <c r="G158" i="1" s="1"/>
  <c r="C157" i="1"/>
  <c r="G157" i="1" s="1"/>
  <c r="B10" i="11" s="1"/>
  <c r="B111" i="1"/>
  <c r="B108" i="1"/>
  <c r="B107" i="1"/>
  <c r="B106" i="1"/>
  <c r="B105" i="1"/>
  <c r="B104" i="1"/>
  <c r="B103" i="1"/>
  <c r="B101" i="1"/>
  <c r="B100" i="1"/>
  <c r="B99" i="1"/>
  <c r="B96" i="1"/>
  <c r="B95" i="1"/>
  <c r="B94" i="1"/>
  <c r="B92" i="1"/>
  <c r="B9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F46" i="1"/>
  <c r="I45" i="1"/>
  <c r="H45" i="1"/>
  <c r="G45" i="1"/>
  <c r="B45" i="1"/>
  <c r="I44" i="1"/>
  <c r="H44" i="1"/>
  <c r="G44" i="1"/>
  <c r="B44" i="1"/>
  <c r="I43" i="1"/>
  <c r="H43" i="1"/>
  <c r="G43" i="1"/>
  <c r="B43" i="1"/>
  <c r="I42" i="1"/>
  <c r="H42" i="1"/>
  <c r="G42" i="1"/>
  <c r="B42" i="1"/>
  <c r="I41" i="1"/>
  <c r="H41" i="1"/>
  <c r="G41" i="1"/>
  <c r="F41" i="1"/>
  <c r="B41" i="1"/>
  <c r="I40" i="1"/>
  <c r="H40" i="1"/>
  <c r="G40" i="1"/>
  <c r="B40" i="1"/>
  <c r="I39" i="1"/>
  <c r="H39" i="1"/>
  <c r="G39" i="1"/>
  <c r="B39" i="1"/>
  <c r="I38" i="1"/>
  <c r="H38" i="1"/>
  <c r="G38" i="1"/>
  <c r="B38" i="1"/>
  <c r="I37" i="1"/>
  <c r="G37" i="1"/>
  <c r="B37" i="1"/>
  <c r="I36" i="1"/>
  <c r="H36" i="1"/>
  <c r="G36" i="1"/>
  <c r="B36" i="1"/>
  <c r="I35" i="1"/>
  <c r="H35" i="1"/>
  <c r="G35" i="1"/>
  <c r="B35" i="1"/>
  <c r="I34" i="1"/>
  <c r="H34" i="1"/>
  <c r="G34" i="1"/>
  <c r="B34" i="1"/>
  <c r="I33" i="1"/>
  <c r="G33" i="1"/>
  <c r="B33" i="1"/>
  <c r="I32" i="1"/>
  <c r="G32" i="1"/>
  <c r="B32" i="1"/>
  <c r="I31" i="1"/>
  <c r="G31" i="1"/>
  <c r="B31" i="1"/>
  <c r="I30" i="1"/>
  <c r="G30" i="1"/>
  <c r="B30" i="1"/>
  <c r="I29" i="1"/>
  <c r="G29" i="1"/>
  <c r="F29" i="1"/>
  <c r="B29" i="1"/>
  <c r="I28" i="1"/>
  <c r="H28" i="1"/>
  <c r="G28" i="1"/>
  <c r="F28" i="1"/>
  <c r="B28" i="1"/>
  <c r="I27" i="1"/>
  <c r="G27" i="1"/>
  <c r="B27" i="1"/>
  <c r="I26" i="1"/>
  <c r="G26" i="1"/>
  <c r="B26" i="1"/>
  <c r="I25" i="1"/>
  <c r="G25" i="1"/>
  <c r="B25" i="1"/>
  <c r="I24" i="1"/>
  <c r="G24" i="1"/>
  <c r="B24" i="1"/>
  <c r="I23" i="1"/>
  <c r="G23" i="1"/>
  <c r="B23" i="1"/>
  <c r="I22" i="1"/>
  <c r="G22" i="1"/>
  <c r="B22" i="1"/>
  <c r="I21" i="1"/>
  <c r="G21" i="1"/>
  <c r="B21" i="1"/>
  <c r="I20" i="1"/>
  <c r="G20" i="1"/>
  <c r="B20" i="1"/>
  <c r="I19" i="1"/>
  <c r="G19" i="1"/>
  <c r="B19" i="1"/>
  <c r="I18" i="1"/>
  <c r="G18" i="1"/>
  <c r="B18" i="1"/>
  <c r="I17" i="1"/>
  <c r="G17" i="1"/>
  <c r="B17" i="1"/>
  <c r="I16" i="1"/>
  <c r="H16" i="1"/>
  <c r="G16" i="1"/>
  <c r="B16" i="1"/>
  <c r="I15" i="1"/>
  <c r="G15" i="1"/>
  <c r="B15" i="1"/>
  <c r="I14" i="1"/>
  <c r="G14" i="1"/>
  <c r="B14" i="1"/>
  <c r="H13" i="1"/>
  <c r="C150" i="1"/>
  <c r="A2" i="1"/>
  <c r="B113" i="14" l="1"/>
  <c r="E112" i="14"/>
  <c r="F112" i="14" s="1"/>
  <c r="C112" i="14"/>
  <c r="D112" i="14" s="1"/>
  <c r="K78" i="2"/>
  <c r="F13" i="13" s="1"/>
  <c r="D13" i="13"/>
  <c r="M21" i="2"/>
  <c r="C81" i="2"/>
  <c r="K81" i="2" s="1"/>
  <c r="F16" i="13" s="1"/>
  <c r="M27" i="2"/>
  <c r="C87" i="2"/>
  <c r="M22" i="2"/>
  <c r="C82" i="2"/>
  <c r="L82" i="2" s="1"/>
  <c r="G17" i="13" s="1"/>
  <c r="M29" i="2"/>
  <c r="C89" i="2"/>
  <c r="M36" i="2"/>
  <c r="C96" i="2"/>
  <c r="M28" i="2"/>
  <c r="C88" i="2"/>
  <c r="M30" i="2"/>
  <c r="C90" i="2"/>
  <c r="M24" i="2"/>
  <c r="C84" i="2"/>
  <c r="K84" i="2" s="1"/>
  <c r="M31" i="2"/>
  <c r="C91" i="2"/>
  <c r="M35" i="2"/>
  <c r="C95" i="2"/>
  <c r="M23" i="2"/>
  <c r="C83" i="2"/>
  <c r="L83" i="2" s="1"/>
  <c r="M19" i="2"/>
  <c r="C79" i="2"/>
  <c r="L79" i="2" s="1"/>
  <c r="G14" i="13" s="1"/>
  <c r="M25" i="2"/>
  <c r="C85" i="2"/>
  <c r="K85" i="2" s="1"/>
  <c r="M32" i="2"/>
  <c r="C92" i="2"/>
  <c r="M34" i="2"/>
  <c r="C94" i="2"/>
  <c r="M20" i="2"/>
  <c r="C80" i="2"/>
  <c r="K80" i="2" s="1"/>
  <c r="F15" i="13" s="1"/>
  <c r="M26" i="2"/>
  <c r="C86" i="2"/>
  <c r="M33" i="2"/>
  <c r="C93" i="2"/>
  <c r="H37" i="1"/>
  <c r="H33" i="1"/>
  <c r="H23" i="1"/>
  <c r="B80" i="1"/>
  <c r="H27" i="1"/>
  <c r="B75" i="1"/>
  <c r="H25" i="1"/>
  <c r="H31" i="1"/>
  <c r="H26" i="1"/>
  <c r="H32" i="1"/>
  <c r="H24" i="1"/>
  <c r="H20" i="1"/>
  <c r="B81" i="1"/>
  <c r="H19" i="1"/>
  <c r="H18" i="1"/>
  <c r="B79" i="1"/>
  <c r="B78" i="1"/>
  <c r="B77" i="1"/>
  <c r="H89" i="2"/>
  <c r="I89" i="2" s="1"/>
  <c r="H90" i="2"/>
  <c r="I90" i="2" s="1"/>
  <c r="H98" i="2"/>
  <c r="I98" i="2" s="1"/>
  <c r="H106" i="2"/>
  <c r="I106" i="2" s="1"/>
  <c r="H92" i="2"/>
  <c r="I92" i="2" s="1"/>
  <c r="H100" i="2"/>
  <c r="I100" i="2" s="1"/>
  <c r="H108" i="2"/>
  <c r="I108" i="2" s="1"/>
  <c r="H105" i="2"/>
  <c r="I105" i="2" s="1"/>
  <c r="B76" i="1"/>
  <c r="I77" i="2"/>
  <c r="H93" i="2"/>
  <c r="I93" i="2" s="1"/>
  <c r="H101" i="2"/>
  <c r="I101" i="2" s="1"/>
  <c r="H109" i="2"/>
  <c r="I109" i="2" s="1"/>
  <c r="H107" i="2"/>
  <c r="I107" i="2" s="1"/>
  <c r="H86" i="2"/>
  <c r="I86" i="2" s="1"/>
  <c r="H94" i="2"/>
  <c r="I94" i="2" s="1"/>
  <c r="H102" i="2"/>
  <c r="I102" i="2" s="1"/>
  <c r="I110" i="2"/>
  <c r="D58" i="4"/>
  <c r="E80" i="4"/>
  <c r="H97" i="2"/>
  <c r="I97" i="2" s="1"/>
  <c r="H91" i="2"/>
  <c r="I91" i="2" s="1"/>
  <c r="H87" i="2"/>
  <c r="I87" i="2" s="1"/>
  <c r="H95" i="2"/>
  <c r="I95" i="2" s="1"/>
  <c r="H103" i="2"/>
  <c r="I103" i="2" s="1"/>
  <c r="I111" i="2"/>
  <c r="D66" i="4"/>
  <c r="H99" i="2"/>
  <c r="I99" i="2" s="1"/>
  <c r="H88" i="2"/>
  <c r="I88" i="2" s="1"/>
  <c r="H96" i="2"/>
  <c r="I96" i="2" s="1"/>
  <c r="H104" i="2"/>
  <c r="I104" i="2" s="1"/>
  <c r="I112" i="2"/>
  <c r="D73" i="4"/>
  <c r="E92" i="4"/>
  <c r="D74" i="4"/>
  <c r="E64" i="4"/>
  <c r="E88" i="4"/>
  <c r="D65" i="4"/>
  <c r="E72" i="4"/>
  <c r="E84" i="4"/>
  <c r="C57" i="4"/>
  <c r="D57" i="4" s="1"/>
  <c r="E57" i="4" s="1"/>
  <c r="D61" i="4"/>
  <c r="E68" i="4"/>
  <c r="D70" i="4"/>
  <c r="D77" i="4"/>
  <c r="D81" i="4"/>
  <c r="D85" i="4"/>
  <c r="D89" i="4"/>
  <c r="D93" i="4"/>
  <c r="K53" i="4"/>
  <c r="E60" i="4"/>
  <c r="D62" i="4"/>
  <c r="D69" i="4"/>
  <c r="E76" i="4"/>
  <c r="D78" i="4"/>
  <c r="F80" i="4"/>
  <c r="D82" i="4"/>
  <c r="F84" i="4"/>
  <c r="D86" i="4"/>
  <c r="F88" i="4"/>
  <c r="D90" i="4"/>
  <c r="F92" i="4"/>
  <c r="D94" i="4"/>
  <c r="H21" i="1"/>
  <c r="H17" i="1"/>
  <c r="H22" i="1"/>
  <c r="B82" i="1"/>
  <c r="B83" i="1"/>
  <c r="B84" i="1"/>
  <c r="M17" i="2"/>
  <c r="K72" i="2"/>
  <c r="F60" i="4"/>
  <c r="F64" i="4"/>
  <c r="F68" i="4"/>
  <c r="F72" i="4"/>
  <c r="F76" i="4"/>
  <c r="E58" i="4"/>
  <c r="E62" i="4"/>
  <c r="E66" i="4"/>
  <c r="E70" i="4"/>
  <c r="E74" i="4"/>
  <c r="E78" i="4"/>
  <c r="E82" i="4"/>
  <c r="E86" i="4"/>
  <c r="E90" i="4"/>
  <c r="E94" i="4"/>
  <c r="F58" i="4"/>
  <c r="F62" i="4"/>
  <c r="F66" i="4"/>
  <c r="F70" i="4"/>
  <c r="F74" i="4"/>
  <c r="F78" i="4"/>
  <c r="F82" i="4"/>
  <c r="F86" i="4"/>
  <c r="F90" i="4"/>
  <c r="F94" i="4"/>
  <c r="D59" i="4"/>
  <c r="D63" i="4"/>
  <c r="D67" i="4"/>
  <c r="D71" i="4"/>
  <c r="D75" i="4"/>
  <c r="D79" i="4"/>
  <c r="D83" i="4"/>
  <c r="D87" i="4"/>
  <c r="D91" i="4"/>
  <c r="D60" i="4"/>
  <c r="D64" i="4"/>
  <c r="D68" i="4"/>
  <c r="D72" i="4"/>
  <c r="D76" i="4"/>
  <c r="D80" i="4"/>
  <c r="D84" i="4"/>
  <c r="D88" i="4"/>
  <c r="D92" i="4"/>
  <c r="D106" i="1"/>
  <c r="D108" i="1"/>
  <c r="E103" i="1"/>
  <c r="D104" i="1"/>
  <c r="D111" i="1"/>
  <c r="E104" i="1"/>
  <c r="D102" i="1"/>
  <c r="E102" i="1"/>
  <c r="D100" i="1"/>
  <c r="D105" i="1"/>
  <c r="D131" i="1"/>
  <c r="E131" i="1"/>
  <c r="D103" i="1"/>
  <c r="D110" i="1"/>
  <c r="H14" i="1"/>
  <c r="R13" i="3"/>
  <c r="K97" i="4"/>
  <c r="K98" i="4" s="1"/>
  <c r="C76" i="2"/>
  <c r="E59" i="4"/>
  <c r="E61" i="4"/>
  <c r="E63" i="4"/>
  <c r="E65" i="4"/>
  <c r="E67" i="4"/>
  <c r="E69" i="4"/>
  <c r="E71" i="4"/>
  <c r="E73" i="4"/>
  <c r="E75" i="4"/>
  <c r="E77" i="4"/>
  <c r="E79" i="4"/>
  <c r="E81" i="4"/>
  <c r="E83" i="4"/>
  <c r="E85" i="4"/>
  <c r="E87" i="4"/>
  <c r="E89" i="4"/>
  <c r="E91" i="4"/>
  <c r="E93" i="4"/>
  <c r="F59" i="4"/>
  <c r="F61" i="4"/>
  <c r="F63" i="4"/>
  <c r="F65" i="4"/>
  <c r="F67" i="4"/>
  <c r="F69" i="4"/>
  <c r="F71" i="4"/>
  <c r="F73" i="4"/>
  <c r="F75" i="4"/>
  <c r="F77" i="4"/>
  <c r="F79" i="4"/>
  <c r="F81" i="4"/>
  <c r="F83" i="4"/>
  <c r="F85" i="4"/>
  <c r="F87" i="4"/>
  <c r="F89" i="4"/>
  <c r="F91" i="4"/>
  <c r="F93" i="4"/>
  <c r="G59" i="4"/>
  <c r="G61" i="4"/>
  <c r="G63" i="4"/>
  <c r="G65" i="4"/>
  <c r="G67" i="4"/>
  <c r="G69" i="4"/>
  <c r="G71" i="4"/>
  <c r="G73" i="4"/>
  <c r="G75" i="4"/>
  <c r="G77" i="4"/>
  <c r="G79" i="4"/>
  <c r="G81" i="4"/>
  <c r="G83" i="4"/>
  <c r="G85" i="4"/>
  <c r="G87" i="4"/>
  <c r="G89" i="4"/>
  <c r="G91" i="4"/>
  <c r="G93" i="4"/>
  <c r="C58" i="4"/>
  <c r="C60" i="4"/>
  <c r="C62" i="4"/>
  <c r="C64" i="4"/>
  <c r="C66" i="4"/>
  <c r="C68" i="4"/>
  <c r="C70" i="4"/>
  <c r="C72" i="4"/>
  <c r="C74" i="4"/>
  <c r="C76" i="4"/>
  <c r="C78" i="4"/>
  <c r="C80" i="4"/>
  <c r="C82" i="4"/>
  <c r="C84" i="4"/>
  <c r="C86" i="4"/>
  <c r="C88" i="4"/>
  <c r="C90" i="4"/>
  <c r="C92" i="4"/>
  <c r="C94" i="4"/>
  <c r="E113" i="14" l="1"/>
  <c r="F113" i="14" s="1"/>
  <c r="C113" i="14"/>
  <c r="D113" i="14" s="1"/>
  <c r="B114" i="14"/>
  <c r="K77" i="2"/>
  <c r="F12" i="13" s="1"/>
  <c r="D12" i="13"/>
  <c r="L81" i="2"/>
  <c r="G16" i="13" s="1"/>
  <c r="L80" i="2"/>
  <c r="G15" i="13" s="1"/>
  <c r="L85" i="2"/>
  <c r="L84" i="2"/>
  <c r="J79" i="2"/>
  <c r="E14" i="13" s="1"/>
  <c r="D79" i="2"/>
  <c r="E79" i="2" s="1"/>
  <c r="J86" i="2"/>
  <c r="D86" i="2"/>
  <c r="E86" i="2" s="1"/>
  <c r="J83" i="2"/>
  <c r="D83" i="2"/>
  <c r="E83" i="2" s="1"/>
  <c r="J96" i="2"/>
  <c r="D96" i="2"/>
  <c r="E96" i="2" s="1"/>
  <c r="J88" i="2"/>
  <c r="D88" i="2"/>
  <c r="E88" i="2" s="1"/>
  <c r="J94" i="2"/>
  <c r="D94" i="2"/>
  <c r="E94" i="2" s="1"/>
  <c r="J91" i="2"/>
  <c r="D91" i="2"/>
  <c r="E91" i="2" s="1"/>
  <c r="J82" i="2"/>
  <c r="E17" i="13" s="1"/>
  <c r="D82" i="2"/>
  <c r="E82" i="2" s="1"/>
  <c r="J80" i="2"/>
  <c r="E15" i="13" s="1"/>
  <c r="D80" i="2"/>
  <c r="E80" i="2" s="1"/>
  <c r="K79" i="2"/>
  <c r="F14" i="13" s="1"/>
  <c r="J95" i="2"/>
  <c r="D95" i="2"/>
  <c r="E95" i="2" s="1"/>
  <c r="J92" i="2"/>
  <c r="D92" i="2"/>
  <c r="E92" i="2" s="1"/>
  <c r="J84" i="2"/>
  <c r="D84" i="2"/>
  <c r="E84" i="2" s="1"/>
  <c r="J87" i="2"/>
  <c r="D87" i="2"/>
  <c r="E87" i="2" s="1"/>
  <c r="J89" i="2"/>
  <c r="D89" i="2"/>
  <c r="E89" i="2" s="1"/>
  <c r="K83" i="2"/>
  <c r="J93" i="2"/>
  <c r="D93" i="2"/>
  <c r="E93" i="2" s="1"/>
  <c r="M72" i="2"/>
  <c r="K82" i="2"/>
  <c r="F17" i="13" s="1"/>
  <c r="J85" i="2"/>
  <c r="D85" i="2"/>
  <c r="E85" i="2" s="1"/>
  <c r="J90" i="2"/>
  <c r="D90" i="2"/>
  <c r="E90" i="2" s="1"/>
  <c r="E89" i="1" s="1"/>
  <c r="J81" i="2"/>
  <c r="E16" i="13" s="1"/>
  <c r="D81" i="2"/>
  <c r="E81" i="2" s="1"/>
  <c r="L86" i="2"/>
  <c r="K86" i="2"/>
  <c r="L98" i="2"/>
  <c r="K98" i="2"/>
  <c r="K103" i="2"/>
  <c r="L103" i="2"/>
  <c r="L109" i="2"/>
  <c r="K109" i="2"/>
  <c r="L111" i="2"/>
  <c r="K111" i="2"/>
  <c r="K95" i="2"/>
  <c r="L95" i="2"/>
  <c r="K91" i="2"/>
  <c r="L91" i="2"/>
  <c r="K93" i="2"/>
  <c r="L93" i="2"/>
  <c r="L97" i="2"/>
  <c r="K97" i="2"/>
  <c r="K107" i="2"/>
  <c r="L107" i="2"/>
  <c r="K87" i="2"/>
  <c r="L87" i="2"/>
  <c r="L112" i="2"/>
  <c r="K112" i="2"/>
  <c r="K105" i="2"/>
  <c r="L105" i="2"/>
  <c r="K90" i="2"/>
  <c r="L90" i="2"/>
  <c r="K104" i="2"/>
  <c r="L104" i="2"/>
  <c r="L108" i="2"/>
  <c r="K108" i="2"/>
  <c r="K101" i="2"/>
  <c r="L101" i="2"/>
  <c r="L100" i="2"/>
  <c r="K100" i="2"/>
  <c r="L96" i="2"/>
  <c r="K96" i="2"/>
  <c r="L88" i="2"/>
  <c r="K88" i="2"/>
  <c r="K102" i="2"/>
  <c r="L102" i="2"/>
  <c r="K92" i="2"/>
  <c r="L92" i="2"/>
  <c r="K89" i="2"/>
  <c r="L89" i="2"/>
  <c r="L110" i="2"/>
  <c r="K110" i="2"/>
  <c r="K99" i="2"/>
  <c r="L99" i="2"/>
  <c r="L94" i="2"/>
  <c r="K94" i="2"/>
  <c r="K106" i="2"/>
  <c r="L106" i="2"/>
  <c r="E106" i="1"/>
  <c r="E105" i="1"/>
  <c r="E110" i="1"/>
  <c r="E100" i="1"/>
  <c r="E107" i="1"/>
  <c r="E108" i="1"/>
  <c r="D96" i="1"/>
  <c r="C88" i="1"/>
  <c r="L77" i="2"/>
  <c r="G12" i="13" s="1"/>
  <c r="L78" i="2"/>
  <c r="G13" i="13" s="1"/>
  <c r="C86" i="1"/>
  <c r="H71" i="1"/>
  <c r="D95" i="4"/>
  <c r="D102" i="4" s="1"/>
  <c r="L76" i="2"/>
  <c r="G11" i="13" s="1"/>
  <c r="J76" i="2"/>
  <c r="E11" i="13" s="1"/>
  <c r="D76" i="2"/>
  <c r="K76" i="2" s="1"/>
  <c r="F11" i="13" s="1"/>
  <c r="C79" i="1"/>
  <c r="C105" i="1"/>
  <c r="C96" i="1"/>
  <c r="C98" i="1"/>
  <c r="C106" i="1"/>
  <c r="C80" i="1"/>
  <c r="C103" i="1"/>
  <c r="F103" i="1" s="1"/>
  <c r="C95" i="1"/>
  <c r="C91" i="1"/>
  <c r="C84" i="1"/>
  <c r="C89" i="1"/>
  <c r="C81" i="1"/>
  <c r="C100" i="1"/>
  <c r="C90" i="1"/>
  <c r="C109" i="1"/>
  <c r="C93" i="1"/>
  <c r="C82" i="1"/>
  <c r="C101" i="1"/>
  <c r="C78" i="1"/>
  <c r="C92" i="1"/>
  <c r="C111" i="1"/>
  <c r="C87" i="1"/>
  <c r="C102" i="1"/>
  <c r="F102" i="1" s="1"/>
  <c r="C104" i="1"/>
  <c r="F104" i="1" s="1"/>
  <c r="C110" i="1"/>
  <c r="C85" i="1"/>
  <c r="C99" i="1"/>
  <c r="C108" i="1"/>
  <c r="C97" i="1"/>
  <c r="C83" i="1"/>
  <c r="C76" i="1"/>
  <c r="C77" i="1"/>
  <c r="C94" i="1"/>
  <c r="C95" i="4"/>
  <c r="G11" i="4" s="1"/>
  <c r="T13" i="3"/>
  <c r="S13" i="3"/>
  <c r="H70" i="1"/>
  <c r="C107" i="1"/>
  <c r="C131" i="1"/>
  <c r="F131" i="1" s="1"/>
  <c r="E95" i="4"/>
  <c r="D103" i="4" s="1"/>
  <c r="D104" i="4" s="1"/>
  <c r="K14" i="3"/>
  <c r="C132" i="2"/>
  <c r="C75" i="1"/>
  <c r="C114" i="14" l="1"/>
  <c r="D114" i="14" s="1"/>
  <c r="E114" i="14"/>
  <c r="F114" i="14" s="1"/>
  <c r="D78" i="1"/>
  <c r="D88" i="1"/>
  <c r="D90" i="1"/>
  <c r="D86" i="1"/>
  <c r="D94" i="1"/>
  <c r="D95" i="1"/>
  <c r="D82" i="1"/>
  <c r="D84" i="1"/>
  <c r="F105" i="1"/>
  <c r="M112" i="2"/>
  <c r="N112" i="2" s="1"/>
  <c r="M111" i="2"/>
  <c r="N111" i="2" s="1"/>
  <c r="F100" i="1"/>
  <c r="D107" i="1"/>
  <c r="F107" i="1" s="1"/>
  <c r="F110" i="1"/>
  <c r="D99" i="1"/>
  <c r="E99" i="1"/>
  <c r="D109" i="1"/>
  <c r="E111" i="1"/>
  <c r="F111" i="1" s="1"/>
  <c r="F106" i="1"/>
  <c r="F108" i="1"/>
  <c r="D101" i="1"/>
  <c r="E101" i="1"/>
  <c r="E96" i="1"/>
  <c r="F96" i="1" s="1"/>
  <c r="D98" i="1"/>
  <c r="E98" i="1"/>
  <c r="E94" i="1"/>
  <c r="E95" i="1"/>
  <c r="D97" i="1"/>
  <c r="E97" i="1"/>
  <c r="E88" i="1"/>
  <c r="E90" i="1"/>
  <c r="D89" i="1"/>
  <c r="F89" i="1" s="1"/>
  <c r="D91" i="1"/>
  <c r="E91" i="1"/>
  <c r="D85" i="1"/>
  <c r="E85" i="1"/>
  <c r="D92" i="1"/>
  <c r="E92" i="1"/>
  <c r="E86" i="1"/>
  <c r="D93" i="1"/>
  <c r="D87" i="1"/>
  <c r="E87" i="1"/>
  <c r="E82" i="1"/>
  <c r="M78" i="2"/>
  <c r="E78" i="1"/>
  <c r="B8" i="11"/>
  <c r="C8" i="11" s="1"/>
  <c r="C9" i="11" s="1"/>
  <c r="D9" i="11" s="1"/>
  <c r="D137" i="2"/>
  <c r="G137" i="2" s="1"/>
  <c r="C6" i="5"/>
  <c r="M108" i="2"/>
  <c r="N108" i="2" s="1"/>
  <c r="H72" i="1"/>
  <c r="M85" i="2"/>
  <c r="N85" i="2" s="1"/>
  <c r="J132" i="2"/>
  <c r="M84" i="2"/>
  <c r="N84" i="2" s="1"/>
  <c r="M86" i="2"/>
  <c r="N86" i="2" s="1"/>
  <c r="D76" i="1"/>
  <c r="E76" i="1"/>
  <c r="M90" i="2"/>
  <c r="N90" i="2" s="1"/>
  <c r="M109" i="2"/>
  <c r="N109" i="2" s="1"/>
  <c r="M110" i="2"/>
  <c r="N110" i="2" s="1"/>
  <c r="M106" i="2"/>
  <c r="N106" i="2" s="1"/>
  <c r="M105" i="2"/>
  <c r="N105" i="2" s="1"/>
  <c r="M79" i="2"/>
  <c r="M100" i="2"/>
  <c r="N100" i="2" s="1"/>
  <c r="M104" i="2"/>
  <c r="N104" i="2" s="1"/>
  <c r="M92" i="2"/>
  <c r="N92" i="2" s="1"/>
  <c r="M88" i="2"/>
  <c r="N88" i="2" s="1"/>
  <c r="M87" i="2"/>
  <c r="N87" i="2" s="1"/>
  <c r="E84" i="1"/>
  <c r="D80" i="1"/>
  <c r="E80" i="1"/>
  <c r="D83" i="1"/>
  <c r="E83" i="1"/>
  <c r="D81" i="1"/>
  <c r="E81" i="1"/>
  <c r="D79" i="1"/>
  <c r="E79" i="1"/>
  <c r="D77" i="1"/>
  <c r="E77" i="1"/>
  <c r="M94" i="2"/>
  <c r="N94" i="2" s="1"/>
  <c r="G12" i="2"/>
  <c r="F132" i="2" s="1"/>
  <c r="F94" i="2" s="1"/>
  <c r="G94" i="2" s="1"/>
  <c r="M101" i="2"/>
  <c r="N101" i="2" s="1"/>
  <c r="U13" i="3"/>
  <c r="M91" i="2"/>
  <c r="N91" i="2" s="1"/>
  <c r="M103" i="2"/>
  <c r="N103" i="2" s="1"/>
  <c r="M96" i="2"/>
  <c r="N96" i="2" s="1"/>
  <c r="G102" i="4"/>
  <c r="F95" i="4"/>
  <c r="C132" i="1"/>
  <c r="L14" i="3"/>
  <c r="M14" i="3"/>
  <c r="M107" i="2"/>
  <c r="N107" i="2" s="1"/>
  <c r="D132" i="2"/>
  <c r="C146" i="2" s="1"/>
  <c r="E76" i="2"/>
  <c r="D75" i="1"/>
  <c r="N79" i="2" l="1"/>
  <c r="O79" i="2" s="1"/>
  <c r="H14" i="13"/>
  <c r="J14" i="13" s="1"/>
  <c r="N78" i="2"/>
  <c r="O78" i="2" s="1"/>
  <c r="H13" i="13"/>
  <c r="J13" i="13" s="1"/>
  <c r="F90" i="1"/>
  <c r="F88" i="1"/>
  <c r="F78" i="1"/>
  <c r="F86" i="1"/>
  <c r="F95" i="1"/>
  <c r="F94" i="1"/>
  <c r="F84" i="1"/>
  <c r="F82" i="1"/>
  <c r="F91" i="2"/>
  <c r="G91" i="2" s="1"/>
  <c r="F114" i="2"/>
  <c r="G114" i="2" s="1"/>
  <c r="F101" i="1"/>
  <c r="F99" i="1"/>
  <c r="F116" i="2"/>
  <c r="G116" i="2" s="1"/>
  <c r="F108" i="2"/>
  <c r="G108" i="2" s="1"/>
  <c r="F87" i="2"/>
  <c r="G87" i="2" s="1"/>
  <c r="F77" i="2"/>
  <c r="G77" i="2" s="1"/>
  <c r="F117" i="2"/>
  <c r="G117" i="2" s="1"/>
  <c r="F122" i="2"/>
  <c r="G122" i="2" s="1"/>
  <c r="F125" i="2"/>
  <c r="G125" i="2" s="1"/>
  <c r="F126" i="2"/>
  <c r="G126" i="2" s="1"/>
  <c r="F89" i="2"/>
  <c r="G89" i="2" s="1"/>
  <c r="F96" i="2"/>
  <c r="G96" i="2" s="1"/>
  <c r="F85" i="2"/>
  <c r="G85" i="2" s="1"/>
  <c r="F84" i="2"/>
  <c r="G84" i="2" s="1"/>
  <c r="F90" i="2"/>
  <c r="G90" i="2" s="1"/>
  <c r="F80" i="2"/>
  <c r="G80" i="2" s="1"/>
  <c r="F100" i="2"/>
  <c r="G100" i="2" s="1"/>
  <c r="F105" i="2"/>
  <c r="G105" i="2" s="1"/>
  <c r="F107" i="2"/>
  <c r="G107" i="2" s="1"/>
  <c r="F99" i="2"/>
  <c r="G99" i="2" s="1"/>
  <c r="F86" i="2"/>
  <c r="G86" i="2" s="1"/>
  <c r="F115" i="2"/>
  <c r="G115" i="2" s="1"/>
  <c r="F79" i="2"/>
  <c r="G79" i="2" s="1"/>
  <c r="F119" i="2"/>
  <c r="G119" i="2" s="1"/>
  <c r="F83" i="2"/>
  <c r="G83" i="2" s="1"/>
  <c r="F109" i="2"/>
  <c r="G109" i="2" s="1"/>
  <c r="F112" i="2"/>
  <c r="G112" i="2" s="1"/>
  <c r="F129" i="2"/>
  <c r="G129" i="2" s="1"/>
  <c r="F121" i="2"/>
  <c r="G121" i="2" s="1"/>
  <c r="F128" i="2"/>
  <c r="G128" i="2" s="1"/>
  <c r="F110" i="2"/>
  <c r="G110" i="2" s="1"/>
  <c r="F101" i="2"/>
  <c r="G101" i="2" s="1"/>
  <c r="F78" i="2"/>
  <c r="G78" i="2" s="1"/>
  <c r="F103" i="2"/>
  <c r="G103" i="2" s="1"/>
  <c r="F95" i="2"/>
  <c r="G95" i="2" s="1"/>
  <c r="F82" i="2"/>
  <c r="G82" i="2" s="1"/>
  <c r="F92" i="2"/>
  <c r="G92" i="2" s="1"/>
  <c r="F118" i="2"/>
  <c r="G118" i="2" s="1"/>
  <c r="F81" i="2"/>
  <c r="G81" i="2" s="1"/>
  <c r="F124" i="2"/>
  <c r="G124" i="2" s="1"/>
  <c r="F111" i="2"/>
  <c r="G111" i="2" s="1"/>
  <c r="F98" i="2"/>
  <c r="G98" i="2" s="1"/>
  <c r="F127" i="2"/>
  <c r="G127" i="2" s="1"/>
  <c r="F97" i="2"/>
  <c r="G97" i="2" s="1"/>
  <c r="F93" i="2"/>
  <c r="G93" i="2" s="1"/>
  <c r="F113" i="2"/>
  <c r="G113" i="2" s="1"/>
  <c r="F123" i="2"/>
  <c r="G123" i="2" s="1"/>
  <c r="F120" i="2"/>
  <c r="G120" i="2" s="1"/>
  <c r="F102" i="2"/>
  <c r="G102" i="2" s="1"/>
  <c r="F104" i="2"/>
  <c r="G104" i="2" s="1"/>
  <c r="F88" i="2"/>
  <c r="G88" i="2" s="1"/>
  <c r="F106" i="2"/>
  <c r="G106" i="2" s="1"/>
  <c r="E109" i="1"/>
  <c r="F109" i="1" s="1"/>
  <c r="F98" i="1"/>
  <c r="F76" i="2"/>
  <c r="F97" i="1"/>
  <c r="F92" i="1"/>
  <c r="F91" i="1"/>
  <c r="F85" i="1"/>
  <c r="F87" i="1"/>
  <c r="E93" i="1"/>
  <c r="F93" i="1" s="1"/>
  <c r="K132" i="2"/>
  <c r="F76" i="1"/>
  <c r="I132" i="1"/>
  <c r="M137" i="2"/>
  <c r="F6" i="5"/>
  <c r="E6" i="5"/>
  <c r="M95" i="2"/>
  <c r="N95" i="2" s="1"/>
  <c r="M102" i="2"/>
  <c r="N102" i="2" s="1"/>
  <c r="M83" i="2"/>
  <c r="N83" i="2" s="1"/>
  <c r="M81" i="2"/>
  <c r="M89" i="2"/>
  <c r="N89" i="2" s="1"/>
  <c r="M80" i="2"/>
  <c r="M98" i="2"/>
  <c r="N98" i="2" s="1"/>
  <c r="M97" i="2"/>
  <c r="N97" i="2" s="1"/>
  <c r="M77" i="2"/>
  <c r="M99" i="2"/>
  <c r="N99" i="2" s="1"/>
  <c r="M93" i="2"/>
  <c r="N93" i="2" s="1"/>
  <c r="M82" i="2"/>
  <c r="D132" i="1"/>
  <c r="F80" i="1"/>
  <c r="F81" i="1"/>
  <c r="F83" i="1"/>
  <c r="F77" i="1"/>
  <c r="G146" i="2"/>
  <c r="D139" i="2" s="1"/>
  <c r="F79" i="1"/>
  <c r="E137" i="2"/>
  <c r="P14" i="3"/>
  <c r="K100" i="4"/>
  <c r="I109" i="4"/>
  <c r="I111" i="4" s="1"/>
  <c r="G103" i="4"/>
  <c r="G104" i="4" s="1"/>
  <c r="L132" i="2"/>
  <c r="E75" i="1"/>
  <c r="E132" i="2"/>
  <c r="M76" i="2"/>
  <c r="C137" i="1"/>
  <c r="F11" i="1"/>
  <c r="G96" i="4"/>
  <c r="F57" i="4"/>
  <c r="G57" i="4" s="1"/>
  <c r="G95" i="4" s="1"/>
  <c r="G97" i="4" s="1"/>
  <c r="N82" i="2" l="1"/>
  <c r="O82" i="2" s="1"/>
  <c r="H17" i="13"/>
  <c r="J17" i="13" s="1"/>
  <c r="N77" i="2"/>
  <c r="O77" i="2" s="1"/>
  <c r="H12" i="13"/>
  <c r="J12" i="13" s="1"/>
  <c r="N80" i="2"/>
  <c r="O80" i="2" s="1"/>
  <c r="H15" i="13"/>
  <c r="J15" i="13" s="1"/>
  <c r="N76" i="2"/>
  <c r="O76" i="2" s="1"/>
  <c r="R76" i="2" s="1"/>
  <c r="H11" i="13"/>
  <c r="J11" i="13" s="1"/>
  <c r="J22" i="13" s="1"/>
  <c r="N81" i="2"/>
  <c r="O81" i="2" s="1"/>
  <c r="O132" i="2" s="1"/>
  <c r="H16" i="13"/>
  <c r="J16" i="13" s="1"/>
  <c r="K146" i="2"/>
  <c r="I137" i="1" s="1"/>
  <c r="G6" i="5"/>
  <c r="H6" i="5" s="1"/>
  <c r="J6" i="5" s="1"/>
  <c r="E139" i="2"/>
  <c r="M132" i="2"/>
  <c r="G147" i="2"/>
  <c r="F138" i="1" s="1"/>
  <c r="F137" i="1"/>
  <c r="C147" i="2"/>
  <c r="G133" i="2"/>
  <c r="G132" i="2"/>
  <c r="E132" i="1"/>
  <c r="F75" i="1"/>
  <c r="F132" i="1" s="1"/>
  <c r="P13" i="3"/>
  <c r="V13" i="3" s="1"/>
  <c r="H109" i="4"/>
  <c r="H111" i="4" s="1"/>
  <c r="K99" i="4"/>
  <c r="K101" i="4" s="1"/>
  <c r="U76" i="2" l="1"/>
  <c r="T76" i="2"/>
  <c r="N132" i="2"/>
  <c r="J139" i="2"/>
  <c r="K139" i="2" s="1"/>
  <c r="K147" i="2"/>
  <c r="I138" i="1" s="1"/>
  <c r="I139" i="1" s="1"/>
  <c r="G134" i="2"/>
  <c r="M157" i="2" s="1"/>
  <c r="M159" i="2" s="1"/>
  <c r="D138" i="2"/>
  <c r="E138" i="2" s="1"/>
  <c r="F139" i="1"/>
  <c r="Z13" i="3"/>
  <c r="Z15" i="3" s="1"/>
  <c r="K102" i="4"/>
  <c r="C138" i="1"/>
  <c r="C139" i="1" s="1"/>
  <c r="C148" i="2"/>
  <c r="G148" i="2"/>
  <c r="F133" i="1" s="1"/>
  <c r="F134" i="1" s="1"/>
  <c r="V76" i="2" l="1"/>
  <c r="W76" i="2" s="1"/>
  <c r="W132" i="2" s="1"/>
  <c r="D140" i="2"/>
  <c r="E140" i="2" s="1"/>
  <c r="E141" i="2" s="1"/>
  <c r="J138" i="2"/>
  <c r="K138" i="2" s="1"/>
  <c r="K148" i="2"/>
  <c r="J137" i="2" s="1"/>
  <c r="K134" i="2"/>
  <c r="J140" i="2"/>
  <c r="K140" i="2" s="1"/>
  <c r="K141" i="2" l="1"/>
  <c r="E14" i="1"/>
</calcChain>
</file>

<file path=xl/comments1.xml><?xml version="1.0" encoding="utf-8"?>
<comments xmlns="http://schemas.openxmlformats.org/spreadsheetml/2006/main">
  <authors>
    <author>Ricardo Gallo</author>
  </authors>
  <commentList>
    <comment ref="C5" authorId="0" shapeId="0">
      <text>
        <r>
          <rPr>
            <b/>
            <sz val="9"/>
            <color rgb="FF000000"/>
            <rFont val="Tahoma"/>
            <family val="2"/>
          </rPr>
          <t>Ricardo Gallo: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Ingresa el nombre completo de la empresa. Las siglas sin punto SAC SRL EIRL etc</t>
        </r>
      </text>
    </comment>
    <comment ref="C6" authorId="0" shapeId="0">
      <text>
        <r>
          <rPr>
            <b/>
            <sz val="9"/>
            <color rgb="FF000000"/>
            <rFont val="Tahoma"/>
            <family val="2"/>
          </rPr>
          <t>Ricardo Gallo: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Ingresa el RUC de la empresa</t>
        </r>
      </text>
    </comment>
    <comment ref="C7" authorId="0" shapeId="0">
      <text>
        <r>
          <rPr>
            <b/>
            <sz val="9"/>
            <color rgb="FF000000"/>
            <rFont val="Tahoma"/>
            <family val="2"/>
          </rPr>
          <t>Ricardo Gallo: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Indicar si se trata de FACTURAS o de RECIBO DE HONORARIOS</t>
        </r>
      </text>
    </comment>
    <comment ref="F9" authorId="0" shapeId="0">
      <text>
        <r>
          <rPr>
            <b/>
            <sz val="9"/>
            <color rgb="FF000000"/>
            <rFont val="Tahoma"/>
            <family val="2"/>
          </rPr>
          <t>Ricardo Gallo: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Inserta el número de anexo</t>
        </r>
      </text>
    </comment>
    <comment ref="F10" authorId="0" shapeId="0">
      <text>
        <r>
          <rPr>
            <b/>
            <sz val="9"/>
            <color rgb="FF000000"/>
            <rFont val="Tahoma"/>
            <family val="2"/>
          </rPr>
          <t>Ricardo Gallo: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Ingresa la fecha tentativa de desembolso (inicio de la operación de crédito)</t>
        </r>
      </text>
    </comment>
    <comment ref="H12" authorId="0" shapeId="0">
      <text>
        <r>
          <rPr>
            <b/>
            <sz val="9"/>
            <color rgb="FF000000"/>
            <rFont val="Tahoma"/>
            <family val="2"/>
          </rPr>
          <t>Ricardo Gallo: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Porcentaje de comisión de estructuración. Solo se cambia con autorización de G.Gral. </t>
        </r>
      </text>
    </comment>
    <comment ref="H13" authorId="0" shapeId="0">
      <text>
        <r>
          <rPr>
            <b/>
            <sz val="9"/>
            <color rgb="FF000000"/>
            <rFont val="Tahoma"/>
            <family val="2"/>
          </rPr>
          <t>Ricardo Gallo: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Comisión de estructuración y desembolos mínima (en dólares)
</t>
        </r>
      </text>
    </comment>
    <comment ref="J14" authorId="0" shapeId="0">
      <text>
        <r>
          <rPr>
            <b/>
            <sz val="9"/>
            <color rgb="FF000000"/>
            <rFont val="Tahoma"/>
            <family val="2"/>
          </rPr>
          <t>Ricardo Gallo: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Tipo de cambio utilizadopara valorar las facturas en dólares (si el cliente quiere la operación en sólo dólares se pone valor 1)
</t>
        </r>
      </text>
    </comment>
  </commentList>
</comments>
</file>

<file path=xl/sharedStrings.xml><?xml version="1.0" encoding="utf-8"?>
<sst xmlns="http://schemas.openxmlformats.org/spreadsheetml/2006/main" count="307" uniqueCount="172">
  <si>
    <t>NSG - INANDES FACTOR CAPITAL S.A.C.</t>
  </si>
  <si>
    <t>CONTRATO INANDES FACTOR CAPITAL SAC</t>
  </si>
  <si>
    <t>CLIENTE</t>
  </si>
  <si>
    <t>RUC</t>
  </si>
  <si>
    <t>RELACION DE</t>
  </si>
  <si>
    <t>PEN</t>
  </si>
  <si>
    <t>USD</t>
  </si>
  <si>
    <t>CONTRATO INANDES FACTOR CAPITAL S.A.C. - FONDO DE INVERSION PRIVADO</t>
  </si>
  <si>
    <t>FACTURA(S)</t>
  </si>
  <si>
    <t xml:space="preserve">Negativo es saldo pendiente por cubrir </t>
  </si>
  <si>
    <t>FECHA</t>
  </si>
  <si>
    <t>Comisión por transferencias, ITFs.</t>
  </si>
  <si>
    <t>Positivo es por devolver</t>
  </si>
  <si>
    <t>Nro. Facturas</t>
  </si>
  <si>
    <t>Fecha de Vencimiento</t>
  </si>
  <si>
    <t>Fecha de Desembolso</t>
  </si>
  <si>
    <t># de días</t>
  </si>
  <si>
    <t>Girador</t>
  </si>
  <si>
    <t>Aceptante</t>
  </si>
  <si>
    <t>Días Operación</t>
  </si>
  <si>
    <t>COMSION MINIMA</t>
  </si>
  <si>
    <t>Moneda</t>
  </si>
  <si>
    <t>MONTO 
(INC. IGV)</t>
  </si>
  <si>
    <t>% DET / RET</t>
  </si>
  <si>
    <t>Valor Neto FT (-) detracción</t>
  </si>
  <si>
    <t>Descuento</t>
  </si>
  <si>
    <t>Intereses Calculados (MV)</t>
  </si>
  <si>
    <t>IGV</t>
  </si>
  <si>
    <t>Comisión</t>
  </si>
  <si>
    <t>ABONO</t>
  </si>
  <si>
    <t>Fecha Abono en Bancos</t>
  </si>
  <si>
    <t>Días Adicionales</t>
  </si>
  <si>
    <t>Int. Adicionales</t>
  </si>
  <si>
    <t>Int. Moratorios</t>
  </si>
  <si>
    <t>MONTO A PAGAR</t>
  </si>
  <si>
    <t>Abono en Bancos US$</t>
  </si>
  <si>
    <t>Equivalente en PEN</t>
  </si>
  <si>
    <t>Monto por Cobrar / ó Pagar</t>
  </si>
  <si>
    <t>Fecha de Recepción</t>
  </si>
  <si>
    <t>Plazo (días)</t>
  </si>
  <si>
    <t>Días de la operación</t>
  </si>
  <si>
    <t>MONEDA ORIGINAL (USD/PEN)</t>
  </si>
  <si>
    <t>MONTO (INC. IGV)</t>
  </si>
  <si>
    <t>MONTO NETO SOLES (PEN)</t>
  </si>
  <si>
    <t>DETRACCIÓN / RETENCION</t>
  </si>
  <si>
    <t>AGROVISION PERU SAC</t>
  </si>
  <si>
    <t>VALOR A DEPOSITAR</t>
  </si>
  <si>
    <t>Total</t>
  </si>
  <si>
    <t>Fecha de pago final</t>
  </si>
  <si>
    <t>Dias Adicionales</t>
  </si>
  <si>
    <t>Intereses Moratorios</t>
  </si>
  <si>
    <t xml:space="preserve">ABONO REAL </t>
  </si>
  <si>
    <t>(-) Detracciones</t>
  </si>
  <si>
    <t xml:space="preserve">Total Neto </t>
  </si>
  <si>
    <t>BASE DESCUENTO</t>
  </si>
  <si>
    <t>INTERES COBRADO</t>
  </si>
  <si>
    <t>IGV COMISION</t>
  </si>
  <si>
    <t>TOTAL</t>
  </si>
  <si>
    <t>Objetivo:</t>
  </si>
  <si>
    <t>Margen de seguridad</t>
  </si>
  <si>
    <t>Días solo int. adic.</t>
  </si>
  <si>
    <t>POR FACTURAR</t>
  </si>
  <si>
    <t>Interés + comisiones</t>
  </si>
  <si>
    <t>INTERES</t>
  </si>
  <si>
    <t>COMISION</t>
  </si>
  <si>
    <t>Monto desembolsado</t>
  </si>
  <si>
    <t>Comisión + IGV</t>
  </si>
  <si>
    <t>Total a Depositar:</t>
  </si>
  <si>
    <t>Juan Ricardo Gallo Pizarro</t>
  </si>
  <si>
    <t>DNI 02816271</t>
  </si>
  <si>
    <t>INANDES CAPITAL FACTOR SAC</t>
  </si>
  <si>
    <t>GARANTE / FIADOR SOLIDARIO</t>
  </si>
  <si>
    <t>DEPOSITARIO</t>
  </si>
  <si>
    <t>AUTO BODY PAINT S.A.C.</t>
  </si>
  <si>
    <t>FACTURA</t>
  </si>
  <si>
    <t>ANEXO 08</t>
  </si>
  <si>
    <t>DERCOCENTER SAC</t>
  </si>
  <si>
    <t>DESCUENTO</t>
  </si>
  <si>
    <t>INTERESES CALCULADOS (TASA MENSUAL)</t>
  </si>
  <si>
    <t>Fecha Desembolso</t>
  </si>
  <si>
    <t>Fecha Máxima</t>
  </si>
  <si>
    <t>Monto equivalente deuda</t>
  </si>
  <si>
    <t>Tipo de Cambio Promedio LIQ.</t>
  </si>
  <si>
    <t>El tipo de cambio se estableció en coordinación con el cliente e IFC</t>
  </si>
  <si>
    <t>Valor Neto (sin detracción) en PEN</t>
  </si>
  <si>
    <t>Valor Neto (sin detracción) en USD</t>
  </si>
  <si>
    <t>ANEXO</t>
  </si>
  <si>
    <t>COMSION MINIMA (EN USD)</t>
  </si>
  <si>
    <t>MONTO (INC. IGV) EN MONEDA ORIGINAL</t>
  </si>
  <si>
    <t>Intereses pactados de la operación</t>
  </si>
  <si>
    <t>Comisión de estructuración de la operación</t>
  </si>
  <si>
    <t>FONDO NSG MIPYME - INANDES FACTOR CAPITAL S.A.C.</t>
  </si>
  <si>
    <t>Detracción / Retención</t>
  </si>
  <si>
    <t>Monto abonado + intereses</t>
  </si>
  <si>
    <t>Operación Original</t>
  </si>
  <si>
    <t>Operación Final</t>
  </si>
  <si>
    <t>MARGEN DE SEGURIDAD</t>
  </si>
  <si>
    <t>Se devuelve al final de la operación, sirve para cubrir intereses adiconales por atrasos del PAGADOR / ADQUIRIENTE</t>
  </si>
  <si>
    <t>Intereses Compensatorios</t>
  </si>
  <si>
    <t>Intereses Compensatorios y Moratorios de la operación</t>
  </si>
  <si>
    <t>INT COMP Y MORAT DE LA OPERACIÓN</t>
  </si>
  <si>
    <t>INT ADICIONALES (COMP Y MORAT)</t>
  </si>
  <si>
    <t>MONTO NETO SOLES (PEN) / DOLARES (USD)</t>
  </si>
  <si>
    <t>Cifras en :</t>
  </si>
  <si>
    <t>Anexo</t>
  </si>
  <si>
    <t>Fecha</t>
  </si>
  <si>
    <t>Saldo Inicial de Capital</t>
  </si>
  <si>
    <t>Días transcurridos</t>
  </si>
  <si>
    <t>Saldo de capital antes de amort</t>
  </si>
  <si>
    <t>Amortización</t>
  </si>
  <si>
    <t>Deuda pendiente luego de amort</t>
  </si>
  <si>
    <t>Empresa</t>
  </si>
  <si>
    <t>Nemónico Empresa</t>
  </si>
  <si>
    <t>Domicilio Fiscal</t>
  </si>
  <si>
    <t>Fecha Vencimiento</t>
  </si>
  <si>
    <t>Valor Letra</t>
  </si>
  <si>
    <t>Depositario 1</t>
  </si>
  <si>
    <t>Documento Deposit. 1</t>
  </si>
  <si>
    <t>Domicilio Deposit. 1</t>
  </si>
  <si>
    <t>Cargo Deposit. 1</t>
  </si>
  <si>
    <t>GERENTE GENERAL</t>
  </si>
  <si>
    <t>Valor Letra (Texto)</t>
  </si>
  <si>
    <t>SERVICIOS MOBILES INTERNACIONALES</t>
  </si>
  <si>
    <t>FACTURAS</t>
  </si>
  <si>
    <t>SERVICIOS MOBILES INTERNACIONALES SOCIEDAD ANONIMA CERRADA</t>
  </si>
  <si>
    <t>SMI</t>
  </si>
  <si>
    <t>AV. SAN LUIS NRO. 2546 DPTO. 503 URB. SAN BORJA SUR, DISTRITO DE SAN BORJA, PROVINCIA Y DEPARTAMENTO DE LIMA.</t>
  </si>
  <si>
    <t>Roberto Pablo Rocano</t>
  </si>
  <si>
    <t>DNI 40485976</t>
  </si>
  <si>
    <t>JR. LOS NEGOCIOS Nº 280 DPTO 403 EDIF 8, DISTRITO DE SURQUILLO, PROVINCIA Y DEPARTAMENTO DE LIMA</t>
  </si>
  <si>
    <t>CINCUENTA Y CINCO MIL NOVECIENTOS OCHENTA Y NUEVE CON 95/100</t>
  </si>
  <si>
    <t>HUAWEI DEL PERU SAC</t>
  </si>
  <si>
    <t>Monto del Anexo 63 PEN</t>
  </si>
  <si>
    <t xml:space="preserve">TC venta </t>
  </si>
  <si>
    <t>al 24/12/2024</t>
  </si>
  <si>
    <t>Monto del Anexo 63 USD</t>
  </si>
  <si>
    <t>Monto pagado</t>
  </si>
  <si>
    <t>Margen por devolver</t>
  </si>
  <si>
    <t>LIQUIDACION</t>
  </si>
  <si>
    <t>Cliente         :</t>
  </si>
  <si>
    <t xml:space="preserve">Tasa Interés       : </t>
  </si>
  <si>
    <t>Pagador       :</t>
  </si>
  <si>
    <t>Tasa Moratorio  :</t>
  </si>
  <si>
    <t>Documento :</t>
  </si>
  <si>
    <t>Moneda       :</t>
  </si>
  <si>
    <t>Documento</t>
  </si>
  <si>
    <t>Fecha Pago</t>
  </si>
  <si>
    <t>Días</t>
  </si>
  <si>
    <t>Capital</t>
  </si>
  <si>
    <t>Monto pendiente de pago</t>
  </si>
  <si>
    <t>Monto cancelado</t>
  </si>
  <si>
    <t xml:space="preserve">Fecha de pago 2 </t>
  </si>
  <si>
    <t xml:space="preserve">Monto faltante </t>
  </si>
  <si>
    <t>Días adicionales</t>
  </si>
  <si>
    <t>Monto Neto Factura</t>
  </si>
  <si>
    <t>Tasa de Avance</t>
  </si>
  <si>
    <t>Compensatorio</t>
  </si>
  <si>
    <t>Intereses Compensatorios Devengados</t>
  </si>
  <si>
    <t>Fecha de Pago</t>
  </si>
  <si>
    <t>IGV Compensatorios</t>
  </si>
  <si>
    <t>Intereses Moratorios Devengados</t>
  </si>
  <si>
    <t>IGV Moratorios</t>
  </si>
  <si>
    <t>Moratorio</t>
  </si>
  <si>
    <t>Liquidacion 1</t>
  </si>
  <si>
    <t>Intereses compesnatorios</t>
  </si>
  <si>
    <t>Comision</t>
  </si>
  <si>
    <t>IGV Comision</t>
  </si>
  <si>
    <t>Desembolso</t>
  </si>
  <si>
    <t>Resultado</t>
  </si>
  <si>
    <t>Liquidacion 2</t>
  </si>
  <si>
    <t>Liquidacion 3</t>
  </si>
  <si>
    <t>Liquidacion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</si>
</sst>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1">
    <numFmt numFmtId="43" formatCode="_-* #,##0.00_-;\-* #,##0.00_-;_-* &quot;-&quot;??_-;_-@_-"/>
    <numFmt numFmtId="164" formatCode="_-&quot;S/&quot;* #,##0.00_-;\-&quot;S/&quot;* #,##0.00_-;_-&quot;S/&quot;* &quot;-&quot;??_-;_-@_-"/>
    <numFmt numFmtId="165" formatCode="_ * #,##0.00_ ;_ * \-#,##0.00_ ;_ * &quot;-&quot;??_ ;_ @_ "/>
    <numFmt numFmtId="166" formatCode="_ [$PEN]\ * #,##0.00_ ;_ [$PEN]\ * \-#,##0.00_ ;_ [$PEN]\ * &quot;-&quot;??_ ;_ @_ "/>
    <numFmt numFmtId="167" formatCode="_(* #,##0.00_);_(* \(#,##0.00\);_(* &quot;-&quot;??_);_(@_)"/>
    <numFmt numFmtId="168" formatCode="0.0%"/>
    <numFmt numFmtId="169" formatCode="_(* #,##0.000_);_(* \(#,##0.000\);_(* &quot;-&quot;??_);_(@_)"/>
    <numFmt numFmtId="170" formatCode="0.0000%"/>
    <numFmt numFmtId="171" formatCode="&quot;E001 - &quot;000000"/>
    <numFmt numFmtId="172" formatCode="[$-1540A]dd\ mmmm\,\ yyyy"/>
    <numFmt numFmtId="173" formatCode="[$USD]\ #,##0.00;\-[$USD]\ #,##0.00"/>
    <numFmt numFmtId="174" formatCode="_(* #,##0.0000_);_(* \(#,##0.0000\);_(* &quot;-&quot;??_);_(@_)"/>
    <numFmt numFmtId="175" formatCode="[$-1540A]dd\-mmm\-yy"/>
    <numFmt numFmtId="176" formatCode="&quot;001 - &quot;000000"/>
    <numFmt numFmtId="177" formatCode="#,##0_ ;[Red]\-#,##0\ "/>
    <numFmt numFmtId="178" formatCode="[$PEN]\ #,##0.00;[Red]\-[$PEN]\ #,##0.00"/>
    <numFmt numFmtId="179" formatCode="_-[$S/-280A]* #,##0.00_-;\-[$S/-280A]* #,##0.00_-;_-[$S/-280A]* &quot;-&quot;??_-;_-@"/>
    <numFmt numFmtId="180" formatCode="[$-1540A]dddd\,\ mmmm\ dd\,\ yyyy"/>
    <numFmt numFmtId="181" formatCode="[$$-1009]#,##0.00"/>
    <numFmt numFmtId="182" formatCode="_-* #,##0.00_-;\-* #,##0.00_-;_-* &quot;-&quot;??_-;_-@"/>
    <numFmt numFmtId="183" formatCode="[$-1540A]dd\-mmm\-yy;@"/>
    <numFmt numFmtId="184" formatCode="0.0000"/>
    <numFmt numFmtId="185" formatCode="[$S/-280A]#,##0.00;[Red]\-[$S/-280A]#,##0.00"/>
    <numFmt numFmtId="186" formatCode="_-[$USD]\ * #,##0.00_-;\-[$USD]\ * #,##0.00_-;_-[$USD]\ * &quot;-&quot;??_-;_-@_-"/>
    <numFmt numFmtId="187" formatCode="[$-40A]dddd\,\ dd&quot; de &quot;mmmm&quot; de &quot;yyyy;@"/>
    <numFmt numFmtId="188" formatCode="00"/>
    <numFmt numFmtId="189" formatCode="[$-1540A]dddd\,\ dd\ mmm\ yy;@"/>
    <numFmt numFmtId="190" formatCode="0.000%"/>
    <numFmt numFmtId="191" formatCode="dd/mm/yyyy;@"/>
    <numFmt numFmtId="192" formatCode="#,##0.00_ ;\-#,##0.00\ "/>
    <numFmt numFmtId="214" formatCode="0.00000000000%"/>
  </numFmts>
  <fonts count="84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b/>
      <sz val="8"/>
      <color rgb="FF0000FF"/>
      <name val="Calibri"/>
      <family val="2"/>
    </font>
    <font>
      <b/>
      <sz val="8"/>
      <color rgb="FFFF0000"/>
      <name val="Calibri"/>
      <family val="2"/>
    </font>
    <font>
      <sz val="10"/>
      <name val="Arimo"/>
      <family val="2"/>
    </font>
    <font>
      <b/>
      <u/>
      <sz val="8"/>
      <name val="Calibri"/>
      <family val="2"/>
    </font>
    <font>
      <b/>
      <sz val="18"/>
      <name val="Arimo"/>
      <family val="2"/>
    </font>
    <font>
      <b/>
      <sz val="8"/>
      <color rgb="FFD8D8D8"/>
      <name val="Calibri"/>
      <family val="2"/>
    </font>
    <font>
      <b/>
      <sz val="28"/>
      <name val="Calibri"/>
      <family val="2"/>
    </font>
    <font>
      <sz val="11"/>
      <name val="Calibri"/>
      <family val="2"/>
    </font>
    <font>
      <b/>
      <u/>
      <sz val="8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  <font>
      <sz val="8"/>
      <color rgb="FFC00000"/>
      <name val="Calibri"/>
      <family val="2"/>
    </font>
    <font>
      <b/>
      <sz val="11"/>
      <color rgb="FFFF0000"/>
      <name val="Calibri"/>
      <family val="2"/>
    </font>
    <font>
      <sz val="11"/>
      <name val="Arimo"/>
      <family val="2"/>
    </font>
    <font>
      <b/>
      <sz val="8"/>
      <color rgb="FFFFFFFF"/>
      <name val="Calibri"/>
      <family val="2"/>
    </font>
    <font>
      <b/>
      <sz val="14"/>
      <name val="Arimo"/>
      <family val="2"/>
    </font>
    <font>
      <b/>
      <sz val="11"/>
      <name val="Arimo"/>
      <family val="2"/>
    </font>
    <font>
      <b/>
      <sz val="8"/>
      <color rgb="FFC00000"/>
      <name val="Calibri"/>
      <family val="2"/>
    </font>
    <font>
      <b/>
      <sz val="11"/>
      <color rgb="FFFF0000"/>
      <name val="Arimo"/>
      <family val="2"/>
    </font>
    <font>
      <b/>
      <sz val="11"/>
      <color rgb="FF0000FF"/>
      <name val="Calibri"/>
      <family val="2"/>
    </font>
    <font>
      <b/>
      <sz val="11"/>
      <color rgb="FF0000FF"/>
      <name val="Arimo"/>
      <family val="2"/>
    </font>
    <font>
      <b/>
      <u/>
      <sz val="10"/>
      <name val="Arimo"/>
      <family val="2"/>
    </font>
    <font>
      <b/>
      <sz val="10"/>
      <name val="Arimo"/>
      <family val="2"/>
    </font>
    <font>
      <b/>
      <u/>
      <sz val="11"/>
      <name val="Calibri"/>
      <family val="2"/>
    </font>
    <font>
      <b/>
      <sz val="11"/>
      <color rgb="FFD8D8D8"/>
      <name val="Calibri"/>
      <family val="2"/>
    </font>
    <font>
      <b/>
      <u/>
      <sz val="10"/>
      <name val="Arimo"/>
      <family val="2"/>
    </font>
    <font>
      <b/>
      <u/>
      <sz val="11"/>
      <name val="Calibri"/>
      <family val="2"/>
    </font>
    <font>
      <sz val="10"/>
      <name val="Arial"/>
      <family val="2"/>
    </font>
    <font>
      <sz val="11"/>
      <color rgb="FFFFFFFF"/>
      <name val="Calibri"/>
      <family val="2"/>
    </font>
    <font>
      <sz val="9"/>
      <name val="Arimo"/>
      <family val="2"/>
    </font>
    <font>
      <sz val="8"/>
      <color rgb="FF0000FF"/>
      <name val="Calibri"/>
      <family val="2"/>
    </font>
    <font>
      <sz val="11"/>
      <color rgb="FF0000FF"/>
      <name val="Calibri"/>
      <family val="2"/>
    </font>
    <font>
      <b/>
      <sz val="12"/>
      <name val="Calibri"/>
      <family val="2"/>
    </font>
    <font>
      <b/>
      <sz val="8"/>
      <color rgb="FFFFFF00"/>
      <name val="Calibri"/>
      <family val="2"/>
    </font>
    <font>
      <sz val="11"/>
      <color rgb="FF000000"/>
      <name val="Calibri"/>
      <family val="2"/>
    </font>
    <font>
      <b/>
      <sz val="8"/>
      <color rgb="FF002060"/>
      <name val="Calibri"/>
      <family val="2"/>
    </font>
    <font>
      <b/>
      <sz val="11"/>
      <color rgb="FFFFFFFF"/>
      <name val="Calibri"/>
      <family val="2"/>
    </font>
    <font>
      <b/>
      <sz val="9"/>
      <color rgb="FF0000FF"/>
      <name val="Arial Narrow"/>
      <family val="2"/>
    </font>
    <font>
      <sz val="8"/>
      <name val="Arimo"/>
      <family val="2"/>
    </font>
    <font>
      <b/>
      <sz val="28"/>
      <name val="Arial"/>
      <family val="2"/>
    </font>
    <font>
      <sz val="11"/>
      <name val="Arial"/>
      <family val="2"/>
    </font>
    <font>
      <b/>
      <sz val="10"/>
      <color rgb="FFFF0000"/>
      <name val="Arimo"/>
      <family val="2"/>
    </font>
    <font>
      <b/>
      <sz val="10"/>
      <color rgb="FF0000FF"/>
      <name val="Arimo"/>
      <family val="2"/>
    </font>
    <font>
      <b/>
      <u/>
      <sz val="10"/>
      <name val="Arimo"/>
      <family val="2"/>
    </font>
    <font>
      <b/>
      <sz val="10"/>
      <color rgb="FFD8D8D8"/>
      <name val="Arimo"/>
      <family val="2"/>
    </font>
    <font>
      <b/>
      <u/>
      <sz val="10"/>
      <name val="Arimo"/>
      <family val="2"/>
    </font>
    <font>
      <sz val="10"/>
      <color rgb="FFFFFFFF"/>
      <name val="Arimo"/>
      <family val="2"/>
    </font>
    <font>
      <sz val="10"/>
      <color rgb="FF0000FF"/>
      <name val="Arimo"/>
      <family val="2"/>
    </font>
    <font>
      <b/>
      <sz val="9"/>
      <name val="Arimo"/>
      <family val="2"/>
    </font>
    <font>
      <sz val="12"/>
      <color rgb="FF0000FF"/>
      <name val="Arimo"/>
      <family val="2"/>
    </font>
    <font>
      <sz val="12"/>
      <name val="Arimo"/>
      <family val="2"/>
    </font>
    <font>
      <sz val="12"/>
      <color rgb="FF000000"/>
      <name val="Arial Narrow"/>
      <family val="2"/>
    </font>
    <font>
      <b/>
      <sz val="12"/>
      <name val="Arimo"/>
      <family val="2"/>
    </font>
    <font>
      <b/>
      <sz val="10"/>
      <name val="Arial Narrow"/>
      <family val="2"/>
    </font>
    <font>
      <sz val="10"/>
      <name val="Corbel"/>
      <family val="2"/>
    </font>
    <font>
      <sz val="10"/>
      <color rgb="FF000000"/>
      <name val="Arial"/>
      <family val="2"/>
    </font>
    <font>
      <b/>
      <sz val="8"/>
      <color theme="0"/>
      <name val="Calibri"/>
      <family val="2"/>
    </font>
    <font>
      <sz val="8"/>
      <color rgb="FFFF0000"/>
      <name val="Calibri"/>
      <family val="2"/>
    </font>
    <font>
      <sz val="10"/>
      <color rgb="FF000000"/>
      <name val="Arial"/>
      <family val="2"/>
    </font>
    <font>
      <b/>
      <sz val="11"/>
      <color theme="0"/>
      <name val="Calibri"/>
      <family val="2"/>
    </font>
    <font>
      <sz val="10"/>
      <name val="Arial Narrow"/>
      <family val="2"/>
    </font>
    <font>
      <sz val="9.5"/>
      <name val="Calibri"/>
      <family val="2"/>
    </font>
    <font>
      <b/>
      <sz val="10"/>
      <color theme="0"/>
      <name val="Calibri"/>
      <family val="2"/>
    </font>
    <font>
      <b/>
      <sz val="10"/>
      <name val="Arimo"/>
    </font>
    <font>
      <sz val="9"/>
      <name val="Arial Narro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theme="1"/>
      <name val="Calibri"/>
      <family val="2"/>
      <scheme val="minor"/>
    </font>
    <font>
      <b/>
      <sz val="6"/>
      <color rgb="FF000000"/>
      <name val="Tahoma"/>
      <family val="2"/>
    </font>
    <font>
      <sz val="6"/>
      <color rgb="FF000000"/>
      <name val="Tahoma"/>
      <family val="2"/>
    </font>
    <font>
      <sz val="9"/>
      <color rgb="FF000000"/>
      <name val="Arial"/>
      <family val="2"/>
    </font>
    <font>
      <sz val="8"/>
      <color rgb="FF000000"/>
      <name val="Tahoma"/>
      <family val="2"/>
    </font>
    <font>
      <sz val="7"/>
      <color rgb="FF000000"/>
      <name val="Tahoma"/>
      <family val="2"/>
    </font>
    <font>
      <sz val="7"/>
      <color rgb="FF000000"/>
      <name val="Calibri"/>
      <family val="2"/>
      <scheme val="minor"/>
    </font>
    <font>
      <sz val="7"/>
      <color rgb="FF000000"/>
      <name val="Arial"/>
      <family val="2"/>
    </font>
    <font>
      <sz val="11"/>
      <color rgb="FF000000"/>
      <name val="Agency FB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rgb="FFFF000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FFFFCC"/>
        <bgColor rgb="FFFFFFCC"/>
      </patternFill>
    </fill>
    <fill>
      <patternFill patternType="solid">
        <fgColor rgb="FF002060"/>
        <bgColor rgb="FF002060"/>
      </patternFill>
    </fill>
    <fill>
      <patternFill patternType="solid">
        <fgColor rgb="FFF2F2F2"/>
        <bgColor rgb="FFF2F2F2"/>
      </patternFill>
    </fill>
    <fill>
      <patternFill patternType="solid">
        <fgColor rgb="FFC00000"/>
        <bgColor rgb="FFC00000"/>
      </patternFill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4F6128"/>
        <bgColor rgb="FF4F6128"/>
      </patternFill>
    </fill>
    <fill>
      <patternFill patternType="solid">
        <fgColor rgb="FFFABF8F"/>
        <bgColor rgb="FFFABF8F"/>
      </patternFill>
    </fill>
    <fill>
      <patternFill patternType="solid">
        <fgColor theme="0"/>
        <bgColor rgb="FFD8D8D8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9" tint="0.79998168889431442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rgb="FF4F6128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4.9989318521683403E-2"/>
        <bgColor rgb="FFD8D8D8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rgb="FFFABF8F"/>
      </patternFill>
    </fill>
    <fill>
      <patternFill patternType="solid">
        <fgColor theme="9" tint="0.39997558519241921"/>
        <bgColor rgb="FFFABF8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FFFFFF"/>
      </patternFill>
    </fill>
    <fill>
      <patternFill patternType="solid">
        <fgColor theme="6"/>
        <bgColor rgb="FFD8D8D8"/>
      </patternFill>
    </fill>
    <fill>
      <patternFill patternType="solid">
        <fgColor theme="6"/>
        <bgColor rgb="FFFDE9D9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FFFFFF"/>
      </right>
      <top style="thin">
        <color rgb="FF000000"/>
      </top>
      <bottom/>
      <diagonal/>
    </border>
    <border>
      <left style="thin">
        <color rgb="FFFFFFFF"/>
      </left>
      <right style="thin">
        <color rgb="FFFFFFFF"/>
      </right>
      <top style="thin">
        <color rgb="FF000000"/>
      </top>
      <bottom/>
      <diagonal/>
    </border>
    <border>
      <left style="thin">
        <color rgb="FFFFFFFF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164" fontId="60" fillId="0" borderId="0" applyFont="0" applyFill="0" applyBorder="0" applyAlignment="0" applyProtection="0"/>
    <xf numFmtId="9" fontId="63" fillId="0" borderId="0" applyFont="0" applyFill="0" applyBorder="0" applyAlignment="0" applyProtection="0"/>
    <xf numFmtId="0" fontId="72" fillId="0" borderId="1"/>
    <xf numFmtId="0" fontId="60" fillId="0" borderId="1"/>
    <xf numFmtId="43" fontId="60" fillId="0" borderId="1" applyFont="0" applyFill="0" applyBorder="0" applyAlignment="0" applyProtection="0"/>
    <xf numFmtId="0" fontId="1" fillId="0" borderId="1"/>
    <xf numFmtId="9" fontId="1" fillId="0" borderId="1" applyFont="0" applyFill="0" applyBorder="0" applyAlignment="0" applyProtection="0"/>
    <xf numFmtId="0" fontId="60" fillId="0" borderId="1"/>
    <xf numFmtId="43" fontId="1" fillId="0" borderId="1" applyFont="0" applyFill="0" applyBorder="0" applyAlignment="0" applyProtection="0"/>
  </cellStyleXfs>
  <cellXfs count="55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6" fontId="3" fillId="0" borderId="0" xfId="0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49" fontId="5" fillId="2" borderId="1" xfId="0" applyNumberFormat="1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166" fontId="3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1" fontId="5" fillId="2" borderId="1" xfId="0" applyNumberFormat="1" applyFont="1" applyFill="1" applyBorder="1" applyAlignment="1">
      <alignment horizontal="left" vertical="center"/>
    </xf>
    <xf numFmtId="166" fontId="2" fillId="0" borderId="0" xfId="0" applyNumberFormat="1" applyFont="1" applyAlignment="1">
      <alignment vertical="center"/>
    </xf>
    <xf numFmtId="165" fontId="3" fillId="0" borderId="0" xfId="0" applyNumberFormat="1" applyFont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167" fontId="7" fillId="0" borderId="0" xfId="0" applyNumberFormat="1" applyFont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166" fontId="4" fillId="3" borderId="1" xfId="0" applyNumberFormat="1" applyFont="1" applyFill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166" fontId="12" fillId="0" borderId="0" xfId="0" applyNumberFormat="1" applyFont="1" applyAlignment="1">
      <alignment vertical="center"/>
    </xf>
    <xf numFmtId="0" fontId="13" fillId="0" borderId="0" xfId="0" applyFont="1" applyAlignment="1">
      <alignment horizontal="left" vertical="center"/>
    </xf>
    <xf numFmtId="167" fontId="12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66" fontId="4" fillId="0" borderId="0" xfId="0" applyNumberFormat="1" applyFont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7" fillId="2" borderId="1" xfId="0" applyFont="1" applyFill="1" applyBorder="1" applyAlignment="1">
      <alignment horizontal="left" vertical="center"/>
    </xf>
    <xf numFmtId="167" fontId="16" fillId="2" borderId="1" xfId="0" applyNumberFormat="1" applyFont="1" applyFill="1" applyBorder="1" applyAlignment="1">
      <alignment vertical="center"/>
    </xf>
    <xf numFmtId="0" fontId="12" fillId="2" borderId="1" xfId="0" applyFont="1" applyFill="1" applyBorder="1" applyAlignment="1">
      <alignment horizontal="left" vertical="center"/>
    </xf>
    <xf numFmtId="0" fontId="16" fillId="2" borderId="1" xfId="0" applyFont="1" applyFill="1" applyBorder="1" applyAlignment="1">
      <alignment vertical="center"/>
    </xf>
    <xf numFmtId="167" fontId="18" fillId="0" borderId="0" xfId="0" applyNumberFormat="1" applyFont="1" applyAlignment="1">
      <alignment vertical="center"/>
    </xf>
    <xf numFmtId="2" fontId="19" fillId="5" borderId="1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10" fontId="22" fillId="2" borderId="1" xfId="0" applyNumberFormat="1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center"/>
    </xf>
    <xf numFmtId="49" fontId="24" fillId="2" borderId="1" xfId="0" applyNumberFormat="1" applyFont="1" applyFill="1" applyBorder="1" applyAlignment="1">
      <alignment horizontal="right" vertical="center"/>
    </xf>
    <xf numFmtId="49" fontId="25" fillId="2" borderId="1" xfId="0" applyNumberFormat="1" applyFont="1" applyFill="1" applyBorder="1" applyAlignment="1">
      <alignment horizontal="right" vertical="center"/>
    </xf>
    <xf numFmtId="166" fontId="1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5" fillId="2" borderId="1" xfId="0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25" fillId="2" borderId="1" xfId="0" applyNumberFormat="1" applyFont="1" applyFill="1" applyBorder="1" applyAlignment="1">
      <alignment horizontal="left" vertical="center"/>
    </xf>
    <xf numFmtId="167" fontId="16" fillId="2" borderId="1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166" fontId="16" fillId="0" borderId="0" xfId="0" applyNumberFormat="1" applyFont="1" applyAlignment="1">
      <alignment vertical="center"/>
    </xf>
    <xf numFmtId="0" fontId="26" fillId="0" borderId="0" xfId="0" applyFont="1" applyAlignment="1">
      <alignment vertical="center"/>
    </xf>
    <xf numFmtId="0" fontId="27" fillId="3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left" vertical="center"/>
    </xf>
    <xf numFmtId="9" fontId="22" fillId="0" borderId="0" xfId="0" applyNumberFormat="1" applyFont="1" applyAlignment="1">
      <alignment horizontal="center" vertical="center"/>
    </xf>
    <xf numFmtId="0" fontId="28" fillId="3" borderId="1" xfId="0" applyFont="1" applyFill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5" fillId="3" borderId="1" xfId="0" applyFont="1" applyFill="1" applyBorder="1" applyAlignment="1">
      <alignment horizontal="center" vertical="center"/>
    </xf>
    <xf numFmtId="2" fontId="22" fillId="2" borderId="1" xfId="0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left" vertical="center"/>
    </xf>
    <xf numFmtId="0" fontId="29" fillId="3" borderId="1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vertical="center"/>
    </xf>
    <xf numFmtId="166" fontId="15" fillId="3" borderId="1" xfId="0" applyNumberFormat="1" applyFont="1" applyFill="1" applyBorder="1" applyAlignment="1">
      <alignment horizontal="left" vertical="center"/>
    </xf>
    <xf numFmtId="0" fontId="27" fillId="3" borderId="1" xfId="0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right" vertical="center"/>
    </xf>
    <xf numFmtId="0" fontId="12" fillId="0" borderId="0" xfId="0" applyFont="1" applyAlignment="1">
      <alignment vertical="center" wrapText="1"/>
    </xf>
    <xf numFmtId="0" fontId="31" fillId="0" borderId="0" xfId="0" applyFont="1" applyAlignment="1">
      <alignment vertical="center" wrapText="1"/>
    </xf>
    <xf numFmtId="167" fontId="27" fillId="0" borderId="0" xfId="0" applyNumberFormat="1" applyFont="1" applyAlignment="1">
      <alignment vertical="center"/>
    </xf>
    <xf numFmtId="0" fontId="2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2" fillId="0" borderId="0" xfId="0" applyFont="1" applyAlignment="1">
      <alignment horizontal="center" vertical="center" wrapText="1"/>
    </xf>
    <xf numFmtId="166" fontId="27" fillId="0" borderId="4" xfId="0" applyNumberFormat="1" applyFont="1" applyBorder="1" applyAlignment="1">
      <alignment vertical="center"/>
    </xf>
    <xf numFmtId="0" fontId="15" fillId="2" borderId="5" xfId="0" applyFont="1" applyFill="1" applyBorder="1" applyAlignment="1">
      <alignment horizontal="left" vertical="center"/>
    </xf>
    <xf numFmtId="169" fontId="7" fillId="0" borderId="0" xfId="0" applyNumberFormat="1" applyFont="1" applyAlignment="1">
      <alignment vertical="center"/>
    </xf>
    <xf numFmtId="0" fontId="12" fillId="2" borderId="6" xfId="0" applyFont="1" applyFill="1" applyBorder="1" applyAlignment="1">
      <alignment horizontal="center" vertical="center" wrapText="1"/>
    </xf>
    <xf numFmtId="0" fontId="27" fillId="6" borderId="7" xfId="0" applyFont="1" applyFill="1" applyBorder="1" applyAlignment="1">
      <alignment horizontal="center" vertical="center"/>
    </xf>
    <xf numFmtId="10" fontId="33" fillId="2" borderId="6" xfId="0" applyNumberFormat="1" applyFont="1" applyFill="1" applyBorder="1" applyAlignment="1">
      <alignment horizontal="center" vertical="center" wrapText="1"/>
    </xf>
    <xf numFmtId="0" fontId="27" fillId="6" borderId="7" xfId="0" applyFont="1" applyFill="1" applyBorder="1" applyAlignment="1">
      <alignment horizontal="center" vertical="center" wrapText="1"/>
    </xf>
    <xf numFmtId="166" fontId="15" fillId="2" borderId="8" xfId="0" applyNumberFormat="1" applyFont="1" applyFill="1" applyBorder="1" applyAlignment="1">
      <alignment horizontal="center" vertical="center" wrapText="1"/>
    </xf>
    <xf numFmtId="166" fontId="19" fillId="7" borderId="1" xfId="0" applyNumberFormat="1" applyFont="1" applyFill="1" applyBorder="1"/>
    <xf numFmtId="167" fontId="27" fillId="6" borderId="7" xfId="0" applyNumberFormat="1" applyFont="1" applyFill="1" applyBorder="1" applyAlignment="1">
      <alignment horizontal="center" vertical="center" wrapText="1"/>
    </xf>
    <xf numFmtId="167" fontId="21" fillId="6" borderId="7" xfId="0" applyNumberFormat="1" applyFont="1" applyFill="1" applyBorder="1" applyAlignment="1">
      <alignment horizontal="center" vertical="center" wrapText="1"/>
    </xf>
    <xf numFmtId="166" fontId="19" fillId="5" borderId="1" xfId="0" applyNumberFormat="1" applyFont="1" applyFill="1" applyBorder="1"/>
    <xf numFmtId="10" fontId="17" fillId="0" borderId="0" xfId="0" applyNumberFormat="1" applyFont="1" applyAlignment="1">
      <alignment horizontal="left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3" fontId="7" fillId="0" borderId="9" xfId="0" applyNumberFormat="1" applyFont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171" fontId="34" fillId="0" borderId="7" xfId="0" applyNumberFormat="1" applyFont="1" applyBorder="1" applyAlignment="1">
      <alignment horizontal="center" vertical="center" wrapText="1"/>
    </xf>
    <xf numFmtId="0" fontId="19" fillId="5" borderId="12" xfId="0" applyFont="1" applyFill="1" applyBorder="1" applyAlignment="1">
      <alignment horizontal="center" vertical="center" wrapText="1"/>
    </xf>
    <xf numFmtId="172" fontId="34" fillId="0" borderId="7" xfId="0" applyNumberFormat="1" applyFont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 wrapText="1"/>
    </xf>
    <xf numFmtId="0" fontId="19" fillId="7" borderId="7" xfId="0" applyFont="1" applyFill="1" applyBorder="1" applyAlignment="1">
      <alignment horizontal="center" vertical="center" wrapText="1"/>
    </xf>
    <xf numFmtId="3" fontId="34" fillId="0" borderId="7" xfId="0" applyNumberFormat="1" applyFont="1" applyBorder="1" applyAlignment="1">
      <alignment horizontal="center" vertical="center" wrapText="1"/>
    </xf>
    <xf numFmtId="3" fontId="34" fillId="0" borderId="7" xfId="0" applyNumberFormat="1" applyFont="1" applyBorder="1" applyAlignment="1">
      <alignment horizontal="left" vertical="center" wrapText="1"/>
    </xf>
    <xf numFmtId="1" fontId="4" fillId="2" borderId="7" xfId="0" applyNumberFormat="1" applyFont="1" applyFill="1" applyBorder="1" applyAlignment="1">
      <alignment horizontal="center" vertical="center"/>
    </xf>
    <xf numFmtId="166" fontId="34" fillId="2" borderId="7" xfId="0" applyNumberFormat="1" applyFont="1" applyFill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10" fontId="7" fillId="0" borderId="7" xfId="0" applyNumberFormat="1" applyFont="1" applyBorder="1" applyAlignment="1">
      <alignment horizontal="center" vertical="center" wrapText="1"/>
    </xf>
    <xf numFmtId="4" fontId="4" fillId="3" borderId="7" xfId="0" applyNumberFormat="1" applyFont="1" applyFill="1" applyBorder="1" applyAlignment="1">
      <alignment horizontal="center" vertical="center"/>
    </xf>
    <xf numFmtId="167" fontId="12" fillId="0" borderId="0" xfId="0" applyNumberFormat="1" applyFont="1" applyAlignment="1">
      <alignment horizontal="right" vertical="center" wrapText="1"/>
    </xf>
    <xf numFmtId="10" fontId="35" fillId="0" borderId="7" xfId="0" applyNumberFormat="1" applyFont="1" applyBorder="1" applyAlignment="1">
      <alignment horizontal="center" vertical="center"/>
    </xf>
    <xf numFmtId="0" fontId="36" fillId="0" borderId="0" xfId="0" applyFont="1" applyAlignment="1">
      <alignment horizontal="left" vertical="center" wrapText="1"/>
    </xf>
    <xf numFmtId="173" fontId="4" fillId="3" borderId="7" xfId="0" applyNumberFormat="1" applyFont="1" applyFill="1" applyBorder="1" applyAlignment="1">
      <alignment horizontal="right" vertical="center"/>
    </xf>
    <xf numFmtId="0" fontId="15" fillId="6" borderId="7" xfId="0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166" fontId="15" fillId="6" borderId="7" xfId="0" applyNumberFormat="1" applyFont="1" applyFill="1" applyBorder="1" applyAlignment="1">
      <alignment horizontal="center" vertical="center" wrapText="1"/>
    </xf>
    <xf numFmtId="166" fontId="3" fillId="2" borderId="7" xfId="0" applyNumberFormat="1" applyFont="1" applyFill="1" applyBorder="1" applyAlignment="1">
      <alignment horizontal="right" vertical="center"/>
    </xf>
    <xf numFmtId="167" fontId="15" fillId="6" borderId="7" xfId="0" applyNumberFormat="1" applyFont="1" applyFill="1" applyBorder="1" applyAlignment="1">
      <alignment horizontal="center" vertical="center" wrapText="1"/>
    </xf>
    <xf numFmtId="175" fontId="38" fillId="5" borderId="7" xfId="0" applyNumberFormat="1" applyFont="1" applyFill="1" applyBorder="1" applyAlignment="1">
      <alignment horizontal="center" vertical="center"/>
    </xf>
    <xf numFmtId="177" fontId="4" fillId="2" borderId="13" xfId="0" applyNumberFormat="1" applyFont="1" applyFill="1" applyBorder="1" applyAlignment="1">
      <alignment horizontal="center" vertical="center"/>
    </xf>
    <xf numFmtId="1" fontId="12" fillId="2" borderId="7" xfId="0" applyNumberFormat="1" applyFont="1" applyFill="1" applyBorder="1" applyAlignment="1">
      <alignment horizontal="center" vertical="center" wrapText="1"/>
    </xf>
    <xf numFmtId="179" fontId="38" fillId="5" borderId="7" xfId="0" applyNumberFormat="1" applyFont="1" applyFill="1" applyBorder="1" applyAlignment="1">
      <alignment horizontal="right" vertical="center"/>
    </xf>
    <xf numFmtId="0" fontId="12" fillId="0" borderId="7" xfId="0" applyFont="1" applyBorder="1" applyAlignment="1">
      <alignment horizontal="left" vertical="center" wrapText="1"/>
    </xf>
    <xf numFmtId="173" fontId="35" fillId="3" borderId="7" xfId="0" applyNumberFormat="1" applyFont="1" applyFill="1" applyBorder="1" applyAlignment="1">
      <alignment horizontal="right" vertical="center"/>
    </xf>
    <xf numFmtId="166" fontId="35" fillId="3" borderId="7" xfId="0" applyNumberFormat="1" applyFont="1" applyFill="1" applyBorder="1" applyAlignment="1">
      <alignment horizontal="right" vertical="center"/>
    </xf>
    <xf numFmtId="166" fontId="39" fillId="0" borderId="7" xfId="0" applyNumberFormat="1" applyFont="1" applyBorder="1" applyAlignment="1">
      <alignment vertical="center" wrapText="1"/>
    </xf>
    <xf numFmtId="178" fontId="40" fillId="4" borderId="7" xfId="0" applyNumberFormat="1" applyFont="1" applyFill="1" applyBorder="1" applyAlignment="1">
      <alignment vertical="center"/>
    </xf>
    <xf numFmtId="0" fontId="3" fillId="0" borderId="0" xfId="0" applyFont="1"/>
    <xf numFmtId="165" fontId="3" fillId="0" borderId="0" xfId="0" applyNumberFormat="1" applyFont="1"/>
    <xf numFmtId="0" fontId="3" fillId="4" borderId="13" xfId="0" applyFont="1" applyFill="1" applyBorder="1"/>
    <xf numFmtId="166" fontId="4" fillId="4" borderId="7" xfId="0" applyNumberFormat="1" applyFont="1" applyFill="1" applyBorder="1" applyAlignment="1">
      <alignment horizontal="right"/>
    </xf>
    <xf numFmtId="178" fontId="4" fillId="4" borderId="7" xfId="0" applyNumberFormat="1" applyFont="1" applyFill="1" applyBorder="1"/>
    <xf numFmtId="175" fontId="12" fillId="0" borderId="0" xfId="0" applyNumberFormat="1" applyFont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4" fontId="12" fillId="0" borderId="0" xfId="0" applyNumberFormat="1" applyFont="1" applyAlignment="1">
      <alignment horizontal="center" vertical="center" wrapText="1"/>
    </xf>
    <xf numFmtId="1" fontId="12" fillId="2" borderId="1" xfId="0" applyNumberFormat="1" applyFont="1" applyFill="1" applyBorder="1" applyAlignment="1">
      <alignment horizontal="center" vertical="center" wrapText="1"/>
    </xf>
    <xf numFmtId="0" fontId="15" fillId="3" borderId="16" xfId="0" applyFont="1" applyFill="1" applyBorder="1" applyAlignment="1">
      <alignment horizontal="center" vertical="center" wrapText="1"/>
    </xf>
    <xf numFmtId="166" fontId="15" fillId="3" borderId="7" xfId="0" applyNumberFormat="1" applyFont="1" applyFill="1" applyBorder="1" applyAlignment="1">
      <alignment vertical="center" wrapText="1"/>
    </xf>
    <xf numFmtId="166" fontId="15" fillId="0" borderId="0" xfId="0" applyNumberFormat="1" applyFont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167" fontId="12" fillId="2" borderId="1" xfId="0" applyNumberFormat="1" applyFont="1" applyFill="1" applyBorder="1" applyAlignment="1">
      <alignment vertical="center" wrapText="1"/>
    </xf>
    <xf numFmtId="167" fontId="12" fillId="2" borderId="1" xfId="0" applyNumberFormat="1" applyFont="1" applyFill="1" applyBorder="1" applyAlignment="1">
      <alignment horizontal="center" vertical="center" wrapText="1"/>
    </xf>
    <xf numFmtId="170" fontId="17" fillId="8" borderId="1" xfId="0" applyNumberFormat="1" applyFont="1" applyFill="1" applyBorder="1" applyAlignment="1">
      <alignment horizontal="center" vertical="center" wrapText="1"/>
    </xf>
    <xf numFmtId="166" fontId="7" fillId="2" borderId="7" xfId="0" applyNumberFormat="1" applyFont="1" applyFill="1" applyBorder="1" applyAlignment="1">
      <alignment vertical="center"/>
    </xf>
    <xf numFmtId="9" fontId="17" fillId="8" borderId="1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166" fontId="12" fillId="0" borderId="7" xfId="0" applyNumberFormat="1" applyFont="1" applyBorder="1" applyAlignment="1">
      <alignment horizontal="right" vertical="center" wrapText="1"/>
    </xf>
    <xf numFmtId="14" fontId="7" fillId="0" borderId="0" xfId="0" applyNumberFormat="1" applyFont="1" applyAlignment="1">
      <alignment vertical="center"/>
    </xf>
    <xf numFmtId="0" fontId="7" fillId="2" borderId="1" xfId="0" applyFont="1" applyFill="1" applyBorder="1" applyAlignment="1">
      <alignment vertical="center"/>
    </xf>
    <xf numFmtId="14" fontId="7" fillId="0" borderId="0" xfId="0" applyNumberFormat="1" applyFont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/>
    </xf>
    <xf numFmtId="0" fontId="27" fillId="3" borderId="16" xfId="0" applyFont="1" applyFill="1" applyBorder="1" applyAlignment="1">
      <alignment horizontal="center" vertical="center"/>
    </xf>
    <xf numFmtId="166" fontId="7" fillId="3" borderId="7" xfId="0" applyNumberFormat="1" applyFont="1" applyFill="1" applyBorder="1" applyAlignment="1">
      <alignment horizontal="right" vertical="center"/>
    </xf>
    <xf numFmtId="0" fontId="27" fillId="0" borderId="7" xfId="0" applyFont="1" applyBorder="1" applyAlignment="1">
      <alignment horizontal="center" vertical="center"/>
    </xf>
    <xf numFmtId="166" fontId="7" fillId="0" borderId="7" xfId="0" applyNumberFormat="1" applyFont="1" applyBorder="1" applyAlignment="1">
      <alignment horizontal="right" vertical="center"/>
    </xf>
    <xf numFmtId="0" fontId="27" fillId="3" borderId="7" xfId="0" applyFont="1" applyFill="1" applyBorder="1" applyAlignment="1">
      <alignment horizontal="center" vertical="center"/>
    </xf>
    <xf numFmtId="167" fontId="7" fillId="2" borderId="1" xfId="0" applyNumberFormat="1" applyFont="1" applyFill="1" applyBorder="1" applyAlignment="1">
      <alignment vertical="center"/>
    </xf>
    <xf numFmtId="167" fontId="7" fillId="2" borderId="1" xfId="0" applyNumberFormat="1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vertical="center"/>
    </xf>
    <xf numFmtId="171" fontId="7" fillId="0" borderId="7" xfId="0" applyNumberFormat="1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166" fontId="15" fillId="3" borderId="7" xfId="0" applyNumberFormat="1" applyFont="1" applyFill="1" applyBorder="1" applyAlignment="1">
      <alignment horizontal="right" vertical="center" wrapText="1"/>
    </xf>
    <xf numFmtId="166" fontId="15" fillId="3" borderId="13" xfId="0" applyNumberFormat="1" applyFont="1" applyFill="1" applyBorder="1" applyAlignment="1">
      <alignment vertical="center" wrapText="1"/>
    </xf>
    <xf numFmtId="0" fontId="15" fillId="0" borderId="0" xfId="0" applyFont="1" applyAlignment="1">
      <alignment vertical="center" wrapText="1"/>
    </xf>
    <xf numFmtId="167" fontId="15" fillId="0" borderId="0" xfId="0" applyNumberFormat="1" applyFont="1" applyAlignment="1">
      <alignment vertical="center" wrapText="1"/>
    </xf>
    <xf numFmtId="174" fontId="15" fillId="0" borderId="0" xfId="0" applyNumberFormat="1" applyFont="1" applyAlignment="1">
      <alignment vertical="center" wrapText="1"/>
    </xf>
    <xf numFmtId="167" fontId="15" fillId="0" borderId="18" xfId="0" applyNumberFormat="1" applyFont="1" applyBorder="1" applyAlignment="1">
      <alignment vertical="center" wrapText="1"/>
    </xf>
    <xf numFmtId="166" fontId="15" fillId="0" borderId="7" xfId="0" applyNumberFormat="1" applyFont="1" applyBorder="1" applyAlignment="1">
      <alignment vertical="center" wrapText="1"/>
    </xf>
    <xf numFmtId="181" fontId="12" fillId="0" borderId="0" xfId="0" applyNumberFormat="1" applyFont="1" applyAlignment="1">
      <alignment vertical="center" wrapText="1"/>
    </xf>
    <xf numFmtId="175" fontId="12" fillId="0" borderId="0" xfId="0" applyNumberFormat="1" applyFont="1" applyAlignment="1">
      <alignment horizontal="right" vertical="center" wrapText="1"/>
    </xf>
    <xf numFmtId="167" fontId="15" fillId="3" borderId="19" xfId="0" applyNumberFormat="1" applyFont="1" applyFill="1" applyBorder="1" applyAlignment="1">
      <alignment horizontal="left" vertical="center" wrapText="1"/>
    </xf>
    <xf numFmtId="166" fontId="15" fillId="3" borderId="20" xfId="0" applyNumberFormat="1" applyFont="1" applyFill="1" applyBorder="1" applyAlignment="1">
      <alignment vertical="center" wrapText="1"/>
    </xf>
    <xf numFmtId="165" fontId="15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right" vertical="center"/>
    </xf>
    <xf numFmtId="166" fontId="41" fillId="10" borderId="15" xfId="0" applyNumberFormat="1" applyFont="1" applyFill="1" applyBorder="1" applyAlignment="1">
      <alignment vertical="center"/>
    </xf>
    <xf numFmtId="166" fontId="12" fillId="0" borderId="0" xfId="0" applyNumberFormat="1" applyFont="1" applyAlignment="1">
      <alignment vertical="center" wrapText="1"/>
    </xf>
    <xf numFmtId="167" fontId="15" fillId="0" borderId="0" xfId="0" applyNumberFormat="1" applyFont="1" applyAlignment="1">
      <alignment horizontal="right" vertical="center" wrapText="1"/>
    </xf>
    <xf numFmtId="166" fontId="15" fillId="11" borderId="7" xfId="0" applyNumberFormat="1" applyFont="1" applyFill="1" applyBorder="1" applyAlignment="1">
      <alignment vertical="center" wrapText="1"/>
    </xf>
    <xf numFmtId="167" fontId="12" fillId="0" borderId="24" xfId="0" applyNumberFormat="1" applyFont="1" applyBorder="1" applyAlignment="1">
      <alignment horizontal="center" vertical="center" wrapText="1"/>
    </xf>
    <xf numFmtId="166" fontId="12" fillId="0" borderId="25" xfId="0" applyNumberFormat="1" applyFont="1" applyBorder="1" applyAlignment="1">
      <alignment horizontal="right" vertical="center" wrapText="1"/>
    </xf>
    <xf numFmtId="0" fontId="12" fillId="0" borderId="28" xfId="0" applyFont="1" applyBorder="1" applyAlignment="1">
      <alignment horizontal="center" vertical="center" wrapText="1"/>
    </xf>
    <xf numFmtId="166" fontId="12" fillId="0" borderId="29" xfId="0" applyNumberFormat="1" applyFont="1" applyBorder="1" applyAlignment="1">
      <alignment horizontal="right" vertical="center" wrapText="1"/>
    </xf>
    <xf numFmtId="167" fontId="12" fillId="0" borderId="0" xfId="0" applyNumberFormat="1" applyFont="1" applyAlignment="1">
      <alignment horizontal="center" vertical="center"/>
    </xf>
    <xf numFmtId="166" fontId="12" fillId="0" borderId="0" xfId="0" applyNumberFormat="1" applyFont="1" applyAlignment="1">
      <alignment horizontal="right" vertical="center"/>
    </xf>
    <xf numFmtId="166" fontId="15" fillId="3" borderId="30" xfId="0" applyNumberFormat="1" applyFont="1" applyFill="1" applyBorder="1" applyAlignment="1">
      <alignment horizontal="right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27" fillId="0" borderId="31" xfId="0" applyFont="1" applyBorder="1" applyAlignment="1">
      <alignment horizontal="center" vertical="center"/>
    </xf>
    <xf numFmtId="167" fontId="27" fillId="0" borderId="0" xfId="0" applyNumberFormat="1" applyFont="1" applyAlignment="1">
      <alignment horizontal="right" vertical="center"/>
    </xf>
    <xf numFmtId="167" fontId="7" fillId="0" borderId="24" xfId="0" applyNumberFormat="1" applyFont="1" applyBorder="1" applyAlignment="1">
      <alignment horizontal="center" vertical="center"/>
    </xf>
    <xf numFmtId="167" fontId="7" fillId="0" borderId="24" xfId="0" applyNumberFormat="1" applyFont="1" applyBorder="1" applyAlignment="1">
      <alignment horizontal="center" vertical="center" wrapText="1"/>
    </xf>
    <xf numFmtId="9" fontId="7" fillId="0" borderId="0" xfId="0" applyNumberFormat="1" applyFont="1" applyAlignment="1">
      <alignment vertical="center"/>
    </xf>
    <xf numFmtId="9" fontId="7" fillId="0" borderId="33" xfId="0" applyNumberFormat="1" applyFont="1" applyBorder="1" applyAlignment="1">
      <alignment horizontal="center" vertical="center"/>
    </xf>
    <xf numFmtId="167" fontId="27" fillId="3" borderId="26" xfId="0" applyNumberFormat="1" applyFont="1" applyFill="1" applyBorder="1" applyAlignment="1">
      <alignment horizontal="center" vertical="center"/>
    </xf>
    <xf numFmtId="0" fontId="27" fillId="3" borderId="26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166" fontId="7" fillId="0" borderId="0" xfId="0" applyNumberFormat="1" applyFont="1" applyAlignment="1">
      <alignment vertical="center"/>
    </xf>
    <xf numFmtId="0" fontId="44" fillId="0" borderId="0" xfId="0" applyFont="1" applyAlignment="1">
      <alignment horizontal="left" vertical="center"/>
    </xf>
    <xf numFmtId="0" fontId="45" fillId="0" borderId="0" xfId="0" applyFont="1" applyAlignment="1">
      <alignment vertical="center"/>
    </xf>
    <xf numFmtId="166" fontId="45" fillId="0" borderId="0" xfId="0" applyNumberFormat="1" applyFont="1" applyAlignment="1">
      <alignment vertical="center"/>
    </xf>
    <xf numFmtId="167" fontId="45" fillId="0" borderId="0" xfId="0" applyNumberFormat="1" applyFont="1" applyAlignment="1">
      <alignment vertical="center"/>
    </xf>
    <xf numFmtId="0" fontId="7" fillId="0" borderId="0" xfId="0" applyFont="1" applyAlignment="1">
      <alignment horizontal="left" vertical="center"/>
    </xf>
    <xf numFmtId="0" fontId="46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49" fontId="47" fillId="2" borderId="1" xfId="0" applyNumberFormat="1" applyFont="1" applyFill="1" applyBorder="1" applyAlignment="1">
      <alignment horizontal="right" vertical="center"/>
    </xf>
    <xf numFmtId="166" fontId="7" fillId="0" borderId="0" xfId="0" applyNumberFormat="1" applyFont="1" applyAlignment="1">
      <alignment horizontal="left" vertical="center"/>
    </xf>
    <xf numFmtId="0" fontId="27" fillId="2" borderId="1" xfId="0" applyFont="1" applyFill="1" applyBorder="1" applyAlignment="1">
      <alignment horizontal="left" vertical="center"/>
    </xf>
    <xf numFmtId="0" fontId="47" fillId="2" borderId="1" xfId="0" applyFont="1" applyFill="1" applyBorder="1" applyAlignment="1">
      <alignment horizontal="left" vertical="center"/>
    </xf>
    <xf numFmtId="1" fontId="47" fillId="2" borderId="1" xfId="0" applyNumberFormat="1" applyFont="1" applyFill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48" fillId="3" borderId="1" xfId="0" applyFont="1" applyFill="1" applyBorder="1" applyAlignment="1">
      <alignment horizontal="left" vertical="center"/>
    </xf>
    <xf numFmtId="0" fontId="27" fillId="3" borderId="1" xfId="0" applyFont="1" applyFill="1" applyBorder="1" applyAlignment="1">
      <alignment horizontal="left" vertical="center"/>
    </xf>
    <xf numFmtId="0" fontId="49" fillId="3" borderId="1" xfId="0" applyFont="1" applyFill="1" applyBorder="1" applyAlignment="1">
      <alignment horizontal="center" vertical="center"/>
    </xf>
    <xf numFmtId="166" fontId="27" fillId="3" borderId="1" xfId="0" applyNumberFormat="1" applyFont="1" applyFill="1" applyBorder="1" applyAlignment="1">
      <alignment horizontal="left" vertical="center"/>
    </xf>
    <xf numFmtId="175" fontId="27" fillId="3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50" fillId="0" borderId="0" xfId="0" applyFont="1" applyAlignment="1">
      <alignment vertical="center" wrapText="1"/>
    </xf>
    <xf numFmtId="167" fontId="7" fillId="0" borderId="0" xfId="0" applyNumberFormat="1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27" fillId="2" borderId="5" xfId="0" applyFont="1" applyFill="1" applyBorder="1" applyAlignment="1">
      <alignment horizontal="left" vertical="center"/>
    </xf>
    <xf numFmtId="0" fontId="7" fillId="2" borderId="6" xfId="0" applyFont="1" applyFill="1" applyBorder="1" applyAlignment="1">
      <alignment horizontal="center" vertical="center" wrapText="1"/>
    </xf>
    <xf numFmtId="10" fontId="51" fillId="2" borderId="6" xfId="0" applyNumberFormat="1" applyFont="1" applyFill="1" applyBorder="1" applyAlignment="1">
      <alignment horizontal="center" vertical="center" wrapText="1"/>
    </xf>
    <xf numFmtId="166" fontId="27" fillId="2" borderId="8" xfId="0" applyNumberFormat="1" applyFont="1" applyFill="1" applyBorder="1" applyAlignment="1">
      <alignment horizontal="center" vertical="center" wrapText="1"/>
    </xf>
    <xf numFmtId="170" fontId="46" fillId="8" borderId="1" xfId="0" applyNumberFormat="1" applyFont="1" applyFill="1" applyBorder="1" applyAlignment="1">
      <alignment horizontal="center" vertical="center" wrapText="1"/>
    </xf>
    <xf numFmtId="10" fontId="46" fillId="0" borderId="0" xfId="0" applyNumberFormat="1" applyFont="1" applyAlignment="1">
      <alignment horizontal="left" vertical="center" wrapText="1"/>
    </xf>
    <xf numFmtId="165" fontId="46" fillId="8" borderId="1" xfId="0" applyNumberFormat="1" applyFont="1" applyFill="1" applyBorder="1" applyAlignment="1">
      <alignment horizontal="left" vertical="center" wrapText="1"/>
    </xf>
    <xf numFmtId="0" fontId="46" fillId="0" borderId="0" xfId="0" applyFont="1" applyAlignment="1">
      <alignment horizontal="left" vertical="center" wrapText="1"/>
    </xf>
    <xf numFmtId="167" fontId="7" fillId="0" borderId="0" xfId="0" applyNumberFormat="1" applyFont="1" applyAlignment="1">
      <alignment horizontal="right" vertical="center" wrapText="1"/>
    </xf>
    <xf numFmtId="0" fontId="52" fillId="0" borderId="0" xfId="0" applyFont="1" applyAlignment="1">
      <alignment horizontal="left" vertical="center" wrapText="1"/>
    </xf>
    <xf numFmtId="169" fontId="46" fillId="8" borderId="1" xfId="0" applyNumberFormat="1" applyFont="1" applyFill="1" applyBorder="1" applyAlignment="1">
      <alignment vertical="center" wrapText="1"/>
    </xf>
    <xf numFmtId="0" fontId="21" fillId="6" borderId="7" xfId="0" applyFont="1" applyFill="1" applyBorder="1" applyAlignment="1">
      <alignment horizontal="center" vertical="center" wrapText="1"/>
    </xf>
    <xf numFmtId="0" fontId="21" fillId="6" borderId="13" xfId="0" applyFont="1" applyFill="1" applyBorder="1" applyAlignment="1">
      <alignment horizontal="center" vertical="center" wrapText="1"/>
    </xf>
    <xf numFmtId="0" fontId="53" fillId="6" borderId="13" xfId="0" applyFont="1" applyFill="1" applyBorder="1" applyAlignment="1">
      <alignment horizontal="center" vertical="center" wrapText="1"/>
    </xf>
    <xf numFmtId="166" fontId="21" fillId="6" borderId="7" xfId="0" applyNumberFormat="1" applyFont="1" applyFill="1" applyBorder="1" applyAlignment="1">
      <alignment horizontal="center" vertical="center" wrapText="1"/>
    </xf>
    <xf numFmtId="176" fontId="54" fillId="0" borderId="7" xfId="0" applyNumberFormat="1" applyFont="1" applyBorder="1" applyAlignment="1">
      <alignment horizontal="center" vertical="center" wrapText="1"/>
    </xf>
    <xf numFmtId="175" fontId="54" fillId="0" borderId="7" xfId="0" applyNumberFormat="1" applyFont="1" applyBorder="1" applyAlignment="1">
      <alignment horizontal="center" vertical="center" wrapText="1"/>
    </xf>
    <xf numFmtId="1" fontId="54" fillId="2" borderId="7" xfId="0" applyNumberFormat="1" applyFont="1" applyFill="1" applyBorder="1" applyAlignment="1">
      <alignment horizontal="center" vertical="center" wrapText="1"/>
    </xf>
    <xf numFmtId="175" fontId="55" fillId="0" borderId="7" xfId="0" applyNumberFormat="1" applyFont="1" applyBorder="1" applyAlignment="1">
      <alignment horizontal="center" vertical="center" wrapText="1"/>
    </xf>
    <xf numFmtId="1" fontId="55" fillId="2" borderId="7" xfId="0" applyNumberFormat="1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 wrapText="1"/>
    </xf>
    <xf numFmtId="0" fontId="52" fillId="0" borderId="7" xfId="0" applyFont="1" applyBorder="1" applyAlignment="1">
      <alignment horizontal="left" vertical="center" wrapText="1"/>
    </xf>
    <xf numFmtId="0" fontId="54" fillId="0" borderId="7" xfId="0" applyFont="1" applyBorder="1" applyAlignment="1">
      <alignment horizontal="center" vertical="center" wrapText="1"/>
    </xf>
    <xf numFmtId="165" fontId="54" fillId="0" borderId="7" xfId="0" applyNumberFormat="1" applyFont="1" applyBorder="1" applyAlignment="1">
      <alignment horizontal="left" vertical="center" wrapText="1"/>
    </xf>
    <xf numFmtId="166" fontId="56" fillId="0" borderId="7" xfId="0" applyNumberFormat="1" applyFont="1" applyBorder="1" applyAlignment="1">
      <alignment vertical="center" wrapText="1"/>
    </xf>
    <xf numFmtId="10" fontId="54" fillId="0" borderId="7" xfId="0" applyNumberFormat="1" applyFont="1" applyBorder="1" applyAlignment="1">
      <alignment horizontal="center" vertical="center" wrapText="1"/>
    </xf>
    <xf numFmtId="165" fontId="18" fillId="0" borderId="0" xfId="0" applyNumberFormat="1" applyFont="1" applyAlignment="1">
      <alignment vertical="center"/>
    </xf>
    <xf numFmtId="175" fontId="7" fillId="0" borderId="0" xfId="0" applyNumberFormat="1" applyFont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0" fontId="57" fillId="3" borderId="16" xfId="0" applyFont="1" applyFill="1" applyBorder="1" applyAlignment="1">
      <alignment horizontal="center" vertical="center" wrapText="1"/>
    </xf>
    <xf numFmtId="166" fontId="57" fillId="3" borderId="7" xfId="0" applyNumberFormat="1" applyFont="1" applyFill="1" applyBorder="1" applyAlignment="1">
      <alignment vertical="center" wrapText="1"/>
    </xf>
    <xf numFmtId="166" fontId="57" fillId="0" borderId="0" xfId="0" applyNumberFormat="1" applyFont="1" applyAlignment="1">
      <alignment vertical="center" wrapText="1"/>
    </xf>
    <xf numFmtId="165" fontId="7" fillId="0" borderId="0" xfId="0" applyNumberFormat="1" applyFont="1" applyAlignment="1">
      <alignment vertical="center"/>
    </xf>
    <xf numFmtId="0" fontId="7" fillId="2" borderId="1" xfId="0" applyFont="1" applyFill="1" applyBorder="1" applyAlignment="1">
      <alignment vertical="center" wrapText="1"/>
    </xf>
    <xf numFmtId="167" fontId="7" fillId="2" borderId="1" xfId="0" applyNumberFormat="1" applyFont="1" applyFill="1" applyBorder="1" applyAlignment="1">
      <alignment vertical="center" wrapText="1"/>
    </xf>
    <xf numFmtId="167" fontId="7" fillId="2" borderId="1" xfId="0" applyNumberFormat="1" applyFont="1" applyFill="1" applyBorder="1" applyAlignment="1">
      <alignment horizontal="center" vertical="center" wrapText="1"/>
    </xf>
    <xf numFmtId="0" fontId="58" fillId="6" borderId="7" xfId="0" applyFont="1" applyFill="1" applyBorder="1" applyAlignment="1">
      <alignment horizontal="center" vertical="center" wrapText="1"/>
    </xf>
    <xf numFmtId="10" fontId="46" fillId="8" borderId="1" xfId="0" applyNumberFormat="1" applyFont="1" applyFill="1" applyBorder="1" applyAlignment="1">
      <alignment horizontal="center" vertical="center" wrapText="1"/>
    </xf>
    <xf numFmtId="9" fontId="46" fillId="8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166" fontId="18" fillId="0" borderId="7" xfId="0" applyNumberFormat="1" applyFont="1" applyBorder="1" applyAlignment="1">
      <alignment horizontal="right" vertical="center" wrapText="1"/>
    </xf>
    <xf numFmtId="166" fontId="7" fillId="0" borderId="7" xfId="0" applyNumberFormat="1" applyFont="1" applyBorder="1" applyAlignment="1">
      <alignment horizontal="right" vertical="center" wrapText="1"/>
    </xf>
    <xf numFmtId="0" fontId="27" fillId="0" borderId="17" xfId="0" applyFont="1" applyBorder="1" applyAlignment="1">
      <alignment horizontal="center" vertical="center" wrapText="1"/>
    </xf>
    <xf numFmtId="166" fontId="21" fillId="3" borderId="7" xfId="0" applyNumberFormat="1" applyFont="1" applyFill="1" applyBorder="1" applyAlignment="1">
      <alignment horizontal="right" vertical="center" wrapText="1"/>
    </xf>
    <xf numFmtId="166" fontId="27" fillId="3" borderId="13" xfId="0" applyNumberFormat="1" applyFont="1" applyFill="1" applyBorder="1" applyAlignment="1">
      <alignment vertical="center" wrapText="1"/>
    </xf>
    <xf numFmtId="166" fontId="27" fillId="3" borderId="7" xfId="0" applyNumberFormat="1" applyFont="1" applyFill="1" applyBorder="1" applyAlignment="1">
      <alignment vertical="center" wrapText="1"/>
    </xf>
    <xf numFmtId="181" fontId="7" fillId="0" borderId="0" xfId="0" applyNumberFormat="1" applyFont="1" applyAlignment="1">
      <alignment horizontal="center" vertical="center" wrapText="1"/>
    </xf>
    <xf numFmtId="0" fontId="27" fillId="0" borderId="0" xfId="0" applyFont="1" applyAlignment="1">
      <alignment vertical="center" wrapText="1"/>
    </xf>
    <xf numFmtId="167" fontId="27" fillId="0" borderId="0" xfId="0" applyNumberFormat="1" applyFont="1" applyAlignment="1">
      <alignment vertical="center" wrapText="1"/>
    </xf>
    <xf numFmtId="174" fontId="27" fillId="0" borderId="0" xfId="0" applyNumberFormat="1" applyFont="1" applyAlignment="1">
      <alignment vertical="center" wrapText="1"/>
    </xf>
    <xf numFmtId="167" fontId="27" fillId="0" borderId="18" xfId="0" applyNumberFormat="1" applyFont="1" applyBorder="1" applyAlignment="1">
      <alignment vertical="center" wrapText="1"/>
    </xf>
    <xf numFmtId="166" fontId="27" fillId="0" borderId="7" xfId="0" applyNumberFormat="1" applyFont="1" applyBorder="1" applyAlignment="1">
      <alignment vertical="center" wrapText="1"/>
    </xf>
    <xf numFmtId="175" fontId="7" fillId="0" borderId="0" xfId="0" applyNumberFormat="1" applyFont="1" applyAlignment="1">
      <alignment horizontal="right" vertical="center" wrapText="1"/>
    </xf>
    <xf numFmtId="167" fontId="27" fillId="3" borderId="19" xfId="0" applyNumberFormat="1" applyFont="1" applyFill="1" applyBorder="1" applyAlignment="1">
      <alignment horizontal="left" vertical="center" wrapText="1"/>
    </xf>
    <xf numFmtId="166" fontId="27" fillId="3" borderId="20" xfId="0" applyNumberFormat="1" applyFont="1" applyFill="1" applyBorder="1" applyAlignment="1">
      <alignment vertical="center" wrapText="1"/>
    </xf>
    <xf numFmtId="181" fontId="7" fillId="0" borderId="0" xfId="0" applyNumberFormat="1" applyFont="1" applyAlignment="1">
      <alignment vertical="center" wrapText="1"/>
    </xf>
    <xf numFmtId="167" fontId="27" fillId="0" borderId="0" xfId="0" applyNumberFormat="1" applyFont="1" applyAlignment="1">
      <alignment horizontal="right" vertical="center" wrapText="1"/>
    </xf>
    <xf numFmtId="165" fontId="7" fillId="0" borderId="0" xfId="0" applyNumberFormat="1" applyFont="1" applyAlignment="1">
      <alignment horizontal="left" vertical="center" wrapText="1"/>
    </xf>
    <xf numFmtId="167" fontId="27" fillId="3" borderId="19" xfId="0" applyNumberFormat="1" applyFont="1" applyFill="1" applyBorder="1" applyAlignment="1">
      <alignment horizontal="center" vertical="center" wrapText="1"/>
    </xf>
    <xf numFmtId="167" fontId="46" fillId="3" borderId="36" xfId="0" applyNumberFormat="1" applyFont="1" applyFill="1" applyBorder="1" applyAlignment="1">
      <alignment vertical="center" wrapText="1"/>
    </xf>
    <xf numFmtId="166" fontId="27" fillId="0" borderId="0" xfId="0" applyNumberFormat="1" applyFont="1" applyAlignment="1">
      <alignment vertical="center"/>
    </xf>
    <xf numFmtId="166" fontId="7" fillId="0" borderId="25" xfId="0" applyNumberFormat="1" applyFont="1" applyBorder="1" applyAlignment="1">
      <alignment horizontal="right" vertical="center" wrapText="1"/>
    </xf>
    <xf numFmtId="0" fontId="27" fillId="8" borderId="1" xfId="0" applyFont="1" applyFill="1" applyBorder="1" applyAlignment="1">
      <alignment vertical="center" wrapText="1"/>
    </xf>
    <xf numFmtId="166" fontId="27" fillId="8" borderId="1" xfId="0" applyNumberFormat="1" applyFont="1" applyFill="1" applyBorder="1" applyAlignment="1">
      <alignment vertical="center"/>
    </xf>
    <xf numFmtId="167" fontId="7" fillId="0" borderId="26" xfId="0" applyNumberFormat="1" applyFont="1" applyBorder="1" applyAlignment="1">
      <alignment horizontal="center" vertical="center" wrapText="1"/>
    </xf>
    <xf numFmtId="166" fontId="7" fillId="0" borderId="27" xfId="0" applyNumberFormat="1" applyFont="1" applyBorder="1" applyAlignment="1">
      <alignment horizontal="right" vertical="center" wrapText="1"/>
    </xf>
    <xf numFmtId="0" fontId="7" fillId="0" borderId="28" xfId="0" applyFont="1" applyBorder="1" applyAlignment="1">
      <alignment horizontal="center" vertical="center" wrapText="1"/>
    </xf>
    <xf numFmtId="166" fontId="7" fillId="0" borderId="29" xfId="0" applyNumberFormat="1" applyFont="1" applyBorder="1" applyAlignment="1">
      <alignment horizontal="right" vertical="center" wrapText="1"/>
    </xf>
    <xf numFmtId="167" fontId="27" fillId="3" borderId="5" xfId="0" applyNumberFormat="1" applyFont="1" applyFill="1" applyBorder="1" applyAlignment="1">
      <alignment horizontal="center" vertical="center" wrapText="1"/>
    </xf>
    <xf numFmtId="166" fontId="27" fillId="3" borderId="30" xfId="0" applyNumberFormat="1" applyFont="1" applyFill="1" applyBorder="1" applyAlignment="1">
      <alignment horizontal="right" vertical="center" wrapText="1"/>
    </xf>
    <xf numFmtId="0" fontId="27" fillId="3" borderId="5" xfId="0" applyFont="1" applyFill="1" applyBorder="1" applyAlignment="1">
      <alignment horizontal="center" vertical="center" wrapText="1"/>
    </xf>
    <xf numFmtId="165" fontId="7" fillId="0" borderId="0" xfId="0" applyNumberFormat="1" applyFont="1" applyAlignment="1">
      <alignment horizontal="center" vertical="center" wrapText="1"/>
    </xf>
    <xf numFmtId="165" fontId="59" fillId="2" borderId="1" xfId="0" applyNumberFormat="1" applyFont="1" applyFill="1" applyBorder="1" applyAlignment="1">
      <alignment horizontal="center" vertical="center"/>
    </xf>
    <xf numFmtId="170" fontId="7" fillId="0" borderId="0" xfId="0" applyNumberFormat="1" applyFont="1" applyAlignment="1">
      <alignment vertical="center"/>
    </xf>
    <xf numFmtId="10" fontId="7" fillId="0" borderId="0" xfId="0" applyNumberFormat="1" applyFont="1" applyAlignment="1">
      <alignment vertical="center"/>
    </xf>
    <xf numFmtId="165" fontId="27" fillId="0" borderId="0" xfId="0" applyNumberFormat="1" applyFont="1" applyAlignment="1">
      <alignment vertical="center"/>
    </xf>
    <xf numFmtId="0" fontId="37" fillId="9" borderId="18" xfId="0" applyFont="1" applyFill="1" applyBorder="1" applyAlignment="1">
      <alignment horizontal="center" vertical="center" wrapText="1"/>
    </xf>
    <xf numFmtId="166" fontId="12" fillId="9" borderId="18" xfId="0" applyNumberFormat="1" applyFont="1" applyFill="1" applyBorder="1" applyAlignment="1">
      <alignment vertical="center" wrapText="1"/>
    </xf>
    <xf numFmtId="183" fontId="4" fillId="3" borderId="1" xfId="0" applyNumberFormat="1" applyFont="1" applyFill="1" applyBorder="1" applyAlignment="1">
      <alignment horizontal="center" vertical="center"/>
    </xf>
    <xf numFmtId="166" fontId="5" fillId="6" borderId="18" xfId="0" applyNumberFormat="1" applyFont="1" applyFill="1" applyBorder="1" applyAlignment="1">
      <alignment horizontal="right" vertical="center"/>
    </xf>
    <xf numFmtId="166" fontId="4" fillId="3" borderId="15" xfId="0" applyNumberFormat="1" applyFont="1" applyFill="1" applyBorder="1" applyAlignment="1">
      <alignment horizontal="right" vertical="center"/>
    </xf>
    <xf numFmtId="0" fontId="4" fillId="3" borderId="38" xfId="0" applyFont="1" applyFill="1" applyBorder="1" applyAlignment="1">
      <alignment horizontal="center" vertical="center" wrapText="1"/>
    </xf>
    <xf numFmtId="183" fontId="5" fillId="12" borderId="37" xfId="0" applyNumberFormat="1" applyFont="1" applyFill="1" applyBorder="1" applyAlignment="1">
      <alignment horizontal="center" vertical="center"/>
    </xf>
    <xf numFmtId="184" fontId="22" fillId="0" borderId="7" xfId="0" applyNumberFormat="1" applyFont="1" applyBorder="1" applyAlignment="1">
      <alignment horizontal="center" vertical="center"/>
    </xf>
    <xf numFmtId="185" fontId="4" fillId="2" borderId="14" xfId="1" applyNumberFormat="1" applyFont="1" applyFill="1" applyBorder="1" applyAlignment="1">
      <alignment vertical="center"/>
    </xf>
    <xf numFmtId="185" fontId="4" fillId="2" borderId="15" xfId="1" applyNumberFormat="1" applyFont="1" applyFill="1" applyBorder="1" applyAlignment="1">
      <alignment vertical="center"/>
    </xf>
    <xf numFmtId="0" fontId="4" fillId="3" borderId="15" xfId="0" applyFont="1" applyFill="1" applyBorder="1" applyAlignment="1">
      <alignment horizontal="center" vertical="center" wrapText="1"/>
    </xf>
    <xf numFmtId="1" fontId="5" fillId="0" borderId="15" xfId="0" applyNumberFormat="1" applyFont="1" applyBorder="1" applyAlignment="1">
      <alignment horizontal="center" vertical="center"/>
    </xf>
    <xf numFmtId="0" fontId="4" fillId="3" borderId="37" xfId="0" applyFont="1" applyFill="1" applyBorder="1" applyAlignment="1">
      <alignment horizontal="center" vertical="center" wrapText="1"/>
    </xf>
    <xf numFmtId="0" fontId="3" fillId="0" borderId="37" xfId="0" applyFont="1" applyBorder="1" applyAlignment="1">
      <alignment vertical="center"/>
    </xf>
    <xf numFmtId="168" fontId="61" fillId="2" borderId="1" xfId="0" applyNumberFormat="1" applyFont="1" applyFill="1" applyBorder="1" applyAlignment="1">
      <alignment horizontal="center" vertical="center"/>
    </xf>
    <xf numFmtId="10" fontId="61" fillId="2" borderId="1" xfId="0" applyNumberFormat="1" applyFont="1" applyFill="1" applyBorder="1" applyAlignment="1">
      <alignment horizontal="center" vertical="center"/>
    </xf>
    <xf numFmtId="9" fontId="61" fillId="2" borderId="1" xfId="0" applyNumberFormat="1" applyFont="1" applyFill="1" applyBorder="1" applyAlignment="1">
      <alignment horizontal="center" vertical="center"/>
    </xf>
    <xf numFmtId="4" fontId="61" fillId="0" borderId="0" xfId="0" applyNumberFormat="1" applyFont="1" applyAlignment="1">
      <alignment horizontal="center" vertical="center" wrapText="1"/>
    </xf>
    <xf numFmtId="0" fontId="40" fillId="3" borderId="7" xfId="0" applyFont="1" applyFill="1" applyBorder="1" applyAlignment="1">
      <alignment horizontal="center" vertical="center" wrapText="1"/>
    </xf>
    <xf numFmtId="166" fontId="40" fillId="2" borderId="7" xfId="0" applyNumberFormat="1" applyFont="1" applyFill="1" applyBorder="1" applyAlignment="1">
      <alignment horizontal="right" vertical="center"/>
    </xf>
    <xf numFmtId="0" fontId="62" fillId="0" borderId="0" xfId="0" applyFont="1"/>
    <xf numFmtId="9" fontId="61" fillId="0" borderId="0" xfId="0" applyNumberFormat="1" applyFont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1" fontId="24" fillId="13" borderId="42" xfId="0" applyNumberFormat="1" applyFont="1" applyFill="1" applyBorder="1" applyAlignment="1">
      <alignment horizontal="left" vertical="center"/>
    </xf>
    <xf numFmtId="0" fontId="12" fillId="0" borderId="43" xfId="0" applyFont="1" applyBorder="1" applyAlignment="1">
      <alignment vertical="center" wrapText="1"/>
    </xf>
    <xf numFmtId="0" fontId="31" fillId="0" borderId="43" xfId="0" applyFont="1" applyBorder="1" applyAlignment="1">
      <alignment vertical="center" wrapText="1"/>
    </xf>
    <xf numFmtId="167" fontId="12" fillId="0" borderId="43" xfId="0" applyNumberFormat="1" applyFont="1" applyBorder="1" applyAlignment="1">
      <alignment vertical="center" wrapText="1"/>
    </xf>
    <xf numFmtId="0" fontId="12" fillId="0" borderId="43" xfId="0" applyFont="1" applyBorder="1" applyAlignment="1">
      <alignment horizontal="center" vertical="center" wrapText="1"/>
    </xf>
    <xf numFmtId="166" fontId="12" fillId="0" borderId="43" xfId="0" applyNumberFormat="1" applyFont="1" applyBorder="1" applyAlignment="1">
      <alignment vertical="center"/>
    </xf>
    <xf numFmtId="0" fontId="12" fillId="0" borderId="43" xfId="0" applyFont="1" applyBorder="1" applyAlignment="1">
      <alignment vertical="center"/>
    </xf>
    <xf numFmtId="0" fontId="2" fillId="0" borderId="43" xfId="0" applyFont="1" applyBorder="1" applyAlignment="1">
      <alignment vertical="center"/>
    </xf>
    <xf numFmtId="175" fontId="36" fillId="14" borderId="7" xfId="0" applyNumberFormat="1" applyFont="1" applyFill="1" applyBorder="1" applyAlignment="1">
      <alignment horizontal="center" vertical="center" wrapText="1"/>
    </xf>
    <xf numFmtId="1" fontId="36" fillId="14" borderId="7" xfId="0" applyNumberFormat="1" applyFont="1" applyFill="1" applyBorder="1" applyAlignment="1">
      <alignment horizontal="center" vertical="center" wrapText="1"/>
    </xf>
    <xf numFmtId="171" fontId="12" fillId="0" borderId="7" xfId="0" applyNumberFormat="1" applyFont="1" applyBorder="1" applyAlignment="1">
      <alignment horizontal="center" vertical="center" wrapText="1"/>
    </xf>
    <xf numFmtId="0" fontId="15" fillId="6" borderId="38" xfId="0" applyFont="1" applyFill="1" applyBorder="1" applyAlignment="1">
      <alignment horizontal="center" vertical="center" wrapText="1"/>
    </xf>
    <xf numFmtId="166" fontId="12" fillId="0" borderId="16" xfId="0" applyNumberFormat="1" applyFont="1" applyBorder="1" applyAlignment="1">
      <alignment horizontal="right" vertical="center" wrapText="1"/>
    </xf>
    <xf numFmtId="10" fontId="17" fillId="16" borderId="37" xfId="0" applyNumberFormat="1" applyFont="1" applyFill="1" applyBorder="1" applyAlignment="1">
      <alignment horizontal="center" vertical="center" wrapText="1"/>
    </xf>
    <xf numFmtId="0" fontId="37" fillId="9" borderId="37" xfId="0" applyFont="1" applyFill="1" applyBorder="1" applyAlignment="1">
      <alignment horizontal="center" vertical="center" wrapText="1"/>
    </xf>
    <xf numFmtId="167" fontId="12" fillId="0" borderId="48" xfId="0" applyNumberFormat="1" applyFont="1" applyBorder="1" applyAlignment="1">
      <alignment horizontal="center" vertical="center" wrapText="1"/>
    </xf>
    <xf numFmtId="167" fontId="12" fillId="0" borderId="49" xfId="0" applyNumberFormat="1" applyFont="1" applyBorder="1" applyAlignment="1">
      <alignment horizontal="center" vertical="center" wrapText="1"/>
    </xf>
    <xf numFmtId="167" fontId="15" fillId="3" borderId="50" xfId="0" applyNumberFormat="1" applyFont="1" applyFill="1" applyBorder="1" applyAlignment="1">
      <alignment horizontal="center" vertical="center" wrapText="1"/>
    </xf>
    <xf numFmtId="186" fontId="12" fillId="17" borderId="37" xfId="0" applyNumberFormat="1" applyFont="1" applyFill="1" applyBorder="1" applyAlignment="1">
      <alignment horizontal="left" vertical="center" wrapText="1"/>
    </xf>
    <xf numFmtId="186" fontId="15" fillId="3" borderId="7" xfId="0" applyNumberFormat="1" applyFont="1" applyFill="1" applyBorder="1" applyAlignment="1">
      <alignment vertical="center" wrapText="1"/>
    </xf>
    <xf numFmtId="166" fontId="15" fillId="18" borderId="37" xfId="0" applyNumberFormat="1" applyFont="1" applyFill="1" applyBorder="1" applyAlignment="1">
      <alignment vertical="center"/>
    </xf>
    <xf numFmtId="176" fontId="36" fillId="14" borderId="7" xfId="0" applyNumberFormat="1" applyFont="1" applyFill="1" applyBorder="1" applyAlignment="1">
      <alignment horizontal="center" vertical="center" wrapText="1"/>
    </xf>
    <xf numFmtId="0" fontId="36" fillId="14" borderId="7" xfId="0" applyFont="1" applyFill="1" applyBorder="1" applyAlignment="1">
      <alignment horizontal="left" vertical="center" wrapText="1"/>
    </xf>
    <xf numFmtId="0" fontId="36" fillId="14" borderId="7" xfId="0" applyFont="1" applyFill="1" applyBorder="1" applyAlignment="1">
      <alignment horizontal="center" vertical="center" wrapText="1"/>
    </xf>
    <xf numFmtId="165" fontId="36" fillId="14" borderId="7" xfId="0" applyNumberFormat="1" applyFont="1" applyFill="1" applyBorder="1" applyAlignment="1">
      <alignment horizontal="left" vertical="center" wrapText="1"/>
    </xf>
    <xf numFmtId="10" fontId="36" fillId="14" borderId="7" xfId="0" applyNumberFormat="1" applyFont="1" applyFill="1" applyBorder="1" applyAlignment="1">
      <alignment horizontal="center" vertical="center" wrapText="1"/>
    </xf>
    <xf numFmtId="1" fontId="24" fillId="0" borderId="1" xfId="0" applyNumberFormat="1" applyFont="1" applyBorder="1" applyAlignment="1">
      <alignment horizontal="center" vertical="center"/>
    </xf>
    <xf numFmtId="170" fontId="17" fillId="16" borderId="1" xfId="0" applyNumberFormat="1" applyFont="1" applyFill="1" applyBorder="1" applyAlignment="1">
      <alignment horizontal="right" vertical="center" wrapText="1"/>
    </xf>
    <xf numFmtId="174" fontId="17" fillId="16" borderId="1" xfId="0" applyNumberFormat="1" applyFont="1" applyFill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167" fontId="15" fillId="0" borderId="1" xfId="0" applyNumberFormat="1" applyFont="1" applyBorder="1" applyAlignment="1">
      <alignment vertical="center" wrapText="1"/>
    </xf>
    <xf numFmtId="188" fontId="15" fillId="15" borderId="1" xfId="0" applyNumberFormat="1" applyFont="1" applyFill="1" applyBorder="1" applyAlignment="1">
      <alignment horizontal="center" vertical="center"/>
    </xf>
    <xf numFmtId="0" fontId="15" fillId="19" borderId="1" xfId="0" applyFont="1" applyFill="1" applyBorder="1" applyAlignment="1">
      <alignment horizontal="center" vertical="center"/>
    </xf>
    <xf numFmtId="4" fontId="15" fillId="0" borderId="1" xfId="0" applyNumberFormat="1" applyFont="1" applyBorder="1" applyAlignment="1">
      <alignment horizontal="right" vertical="center" wrapText="1"/>
    </xf>
    <xf numFmtId="186" fontId="17" fillId="16" borderId="1" xfId="0" applyNumberFormat="1" applyFont="1" applyFill="1" applyBorder="1" applyAlignment="1">
      <alignment vertical="center" wrapText="1"/>
    </xf>
    <xf numFmtId="10" fontId="15" fillId="0" borderId="0" xfId="2" applyNumberFormat="1" applyFont="1" applyAlignment="1">
      <alignment horizontal="right" vertical="center" indent="1"/>
    </xf>
    <xf numFmtId="189" fontId="65" fillId="0" borderId="7" xfId="0" applyNumberFormat="1" applyFont="1" applyBorder="1" applyAlignment="1">
      <alignment horizontal="left" vertical="center" wrapText="1"/>
    </xf>
    <xf numFmtId="0" fontId="64" fillId="20" borderId="7" xfId="0" applyFont="1" applyFill="1" applyBorder="1" applyAlignment="1">
      <alignment horizontal="center" vertical="center" wrapText="1"/>
    </xf>
    <xf numFmtId="180" fontId="58" fillId="13" borderId="7" xfId="0" applyNumberFormat="1" applyFont="1" applyFill="1" applyBorder="1" applyAlignment="1">
      <alignment horizontal="left" vertical="center" wrapText="1"/>
    </xf>
    <xf numFmtId="167" fontId="15" fillId="0" borderId="0" xfId="0" applyNumberFormat="1" applyFont="1" applyAlignment="1">
      <alignment horizontal="left" vertical="center"/>
    </xf>
    <xf numFmtId="187" fontId="27" fillId="3" borderId="1" xfId="0" applyNumberFormat="1" applyFont="1" applyFill="1" applyBorder="1" applyAlignment="1">
      <alignment vertical="center"/>
    </xf>
    <xf numFmtId="166" fontId="34" fillId="0" borderId="32" xfId="0" applyNumberFormat="1" applyFont="1" applyBorder="1" applyAlignment="1">
      <alignment horizontal="right" vertical="center"/>
    </xf>
    <xf numFmtId="166" fontId="34" fillId="0" borderId="34" xfId="0" applyNumberFormat="1" applyFont="1" applyBorder="1" applyAlignment="1">
      <alignment horizontal="right" vertical="center"/>
    </xf>
    <xf numFmtId="166" fontId="34" fillId="0" borderId="25" xfId="0" applyNumberFormat="1" applyFont="1" applyBorder="1" applyAlignment="1">
      <alignment horizontal="right" vertical="center"/>
    </xf>
    <xf numFmtId="166" fontId="34" fillId="3" borderId="27" xfId="0" applyNumberFormat="1" applyFont="1" applyFill="1" applyBorder="1" applyAlignment="1">
      <alignment horizontal="right" vertical="center"/>
    </xf>
    <xf numFmtId="166" fontId="34" fillId="3" borderId="35" xfId="0" applyNumberFormat="1" applyFont="1" applyFill="1" applyBorder="1" applyAlignment="1">
      <alignment horizontal="right" vertical="center"/>
    </xf>
    <xf numFmtId="190" fontId="17" fillId="16" borderId="37" xfId="0" applyNumberFormat="1" applyFont="1" applyFill="1" applyBorder="1" applyAlignment="1">
      <alignment horizontal="center" vertical="center" wrapText="1"/>
    </xf>
    <xf numFmtId="0" fontId="15" fillId="3" borderId="46" xfId="0" applyFont="1" applyFill="1" applyBorder="1" applyAlignment="1">
      <alignment vertical="center" wrapText="1"/>
    </xf>
    <xf numFmtId="166" fontId="12" fillId="0" borderId="62" xfId="0" applyNumberFormat="1" applyFont="1" applyBorder="1" applyAlignment="1">
      <alignment vertical="center" wrapText="1"/>
    </xf>
    <xf numFmtId="166" fontId="12" fillId="0" borderId="63" xfId="0" applyNumberFormat="1" applyFont="1" applyBorder="1" applyAlignment="1">
      <alignment vertical="center" wrapText="1"/>
    </xf>
    <xf numFmtId="167" fontId="15" fillId="3" borderId="61" xfId="0" applyNumberFormat="1" applyFont="1" applyFill="1" applyBorder="1" applyAlignment="1">
      <alignment vertical="center" wrapText="1"/>
    </xf>
    <xf numFmtId="166" fontId="15" fillId="3" borderId="64" xfId="0" applyNumberFormat="1" applyFont="1" applyFill="1" applyBorder="1" applyAlignment="1">
      <alignment vertical="center" wrapText="1"/>
    </xf>
    <xf numFmtId="166" fontId="12" fillId="21" borderId="7" xfId="0" applyNumberFormat="1" applyFont="1" applyFill="1" applyBorder="1" applyAlignment="1">
      <alignment vertical="center" wrapText="1"/>
    </xf>
    <xf numFmtId="166" fontId="15" fillId="21" borderId="7" xfId="0" applyNumberFormat="1" applyFont="1" applyFill="1" applyBorder="1" applyAlignment="1">
      <alignment vertical="center" wrapText="1"/>
    </xf>
    <xf numFmtId="165" fontId="12" fillId="23" borderId="0" xfId="0" applyNumberFormat="1" applyFont="1" applyFill="1" applyAlignment="1">
      <alignment horizontal="left" vertical="center" wrapText="1"/>
    </xf>
    <xf numFmtId="0" fontId="12" fillId="23" borderId="0" xfId="0" applyFont="1" applyFill="1" applyAlignment="1">
      <alignment vertical="center"/>
    </xf>
    <xf numFmtId="0" fontId="0" fillId="23" borderId="0" xfId="0" applyFill="1"/>
    <xf numFmtId="165" fontId="12" fillId="24" borderId="0" xfId="0" applyNumberFormat="1" applyFont="1" applyFill="1" applyAlignment="1">
      <alignment horizontal="left" vertical="center" wrapText="1"/>
    </xf>
    <xf numFmtId="0" fontId="12" fillId="24" borderId="0" xfId="0" applyFont="1" applyFill="1" applyAlignment="1">
      <alignment vertical="center"/>
    </xf>
    <xf numFmtId="0" fontId="0" fillId="24" borderId="0" xfId="0" applyFill="1"/>
    <xf numFmtId="166" fontId="15" fillId="25" borderId="7" xfId="0" applyNumberFormat="1" applyFont="1" applyFill="1" applyBorder="1" applyAlignment="1">
      <alignment vertical="center" wrapText="1"/>
    </xf>
    <xf numFmtId="166" fontId="15" fillId="26" borderId="7" xfId="0" applyNumberFormat="1" applyFont="1" applyFill="1" applyBorder="1" applyAlignment="1">
      <alignment vertical="center" wrapText="1"/>
    </xf>
    <xf numFmtId="171" fontId="36" fillId="14" borderId="7" xfId="0" applyNumberFormat="1" applyFont="1" applyFill="1" applyBorder="1" applyAlignment="1">
      <alignment horizontal="center" vertical="center" wrapText="1"/>
    </xf>
    <xf numFmtId="167" fontId="58" fillId="0" borderId="7" xfId="0" applyNumberFormat="1" applyFont="1" applyBorder="1" applyAlignment="1">
      <alignment vertical="center" wrapText="1"/>
    </xf>
    <xf numFmtId="167" fontId="58" fillId="3" borderId="7" xfId="0" applyNumberFormat="1" applyFont="1" applyFill="1" applyBorder="1" applyAlignment="1">
      <alignment horizontal="left" vertical="center"/>
    </xf>
    <xf numFmtId="0" fontId="68" fillId="27" borderId="37" xfId="0" applyFont="1" applyFill="1" applyBorder="1" applyAlignment="1">
      <alignment vertical="center" wrapText="1"/>
    </xf>
    <xf numFmtId="167" fontId="27" fillId="0" borderId="37" xfId="0" applyNumberFormat="1" applyFont="1" applyBorder="1" applyAlignment="1">
      <alignment vertical="center"/>
    </xf>
    <xf numFmtId="0" fontId="12" fillId="17" borderId="1" xfId="0" applyFont="1" applyFill="1" applyBorder="1" applyAlignment="1">
      <alignment vertical="center"/>
    </xf>
    <xf numFmtId="167" fontId="12" fillId="17" borderId="0" xfId="0" applyNumberFormat="1" applyFont="1" applyFill="1" applyAlignment="1">
      <alignment horizontal="center" vertical="center"/>
    </xf>
    <xf numFmtId="166" fontId="12" fillId="17" borderId="0" xfId="0" applyNumberFormat="1" applyFont="1" applyFill="1" applyAlignment="1">
      <alignment horizontal="right" vertical="center"/>
    </xf>
    <xf numFmtId="10" fontId="15" fillId="17" borderId="0" xfId="2" applyNumberFormat="1" applyFont="1" applyFill="1" applyAlignment="1">
      <alignment horizontal="right" vertical="center" indent="1"/>
    </xf>
    <xf numFmtId="0" fontId="12" fillId="17" borderId="0" xfId="0" applyFont="1" applyFill="1" applyAlignment="1">
      <alignment vertical="center"/>
    </xf>
    <xf numFmtId="0" fontId="0" fillId="17" borderId="0" xfId="0" applyFill="1"/>
    <xf numFmtId="10" fontId="15" fillId="17" borderId="0" xfId="0" applyNumberFormat="1" applyFont="1" applyFill="1" applyAlignment="1">
      <alignment horizontal="right" vertical="center" indent="1"/>
    </xf>
    <xf numFmtId="166" fontId="12" fillId="17" borderId="0" xfId="0" applyNumberFormat="1" applyFont="1" applyFill="1" applyAlignment="1">
      <alignment vertical="center"/>
    </xf>
    <xf numFmtId="165" fontId="12" fillId="17" borderId="0" xfId="0" applyNumberFormat="1" applyFont="1" applyFill="1" applyAlignment="1">
      <alignment vertical="center"/>
    </xf>
    <xf numFmtId="10" fontId="15" fillId="17" borderId="54" xfId="2" applyNumberFormat="1" applyFont="1" applyFill="1" applyBorder="1" applyAlignment="1">
      <alignment horizontal="right" vertical="center" indent="1"/>
    </xf>
    <xf numFmtId="0" fontId="64" fillId="20" borderId="18" xfId="0" applyFont="1" applyFill="1" applyBorder="1" applyAlignment="1">
      <alignment horizontal="center" vertical="center" wrapText="1"/>
    </xf>
    <xf numFmtId="0" fontId="67" fillId="22" borderId="37" xfId="0" applyFont="1" applyFill="1" applyBorder="1" applyAlignment="1">
      <alignment horizontal="center" vertical="center"/>
    </xf>
    <xf numFmtId="0" fontId="12" fillId="28" borderId="1" xfId="0" applyFont="1" applyFill="1" applyBorder="1" applyAlignment="1">
      <alignment vertical="center"/>
    </xf>
    <xf numFmtId="167" fontId="12" fillId="28" borderId="0" xfId="0" applyNumberFormat="1" applyFont="1" applyFill="1" applyAlignment="1">
      <alignment horizontal="center" vertical="center"/>
    </xf>
    <xf numFmtId="166" fontId="12" fillId="28" borderId="0" xfId="0" applyNumberFormat="1" applyFont="1" applyFill="1" applyAlignment="1">
      <alignment horizontal="right" vertical="center"/>
    </xf>
    <xf numFmtId="10" fontId="15" fillId="28" borderId="0" xfId="2" applyNumberFormat="1" applyFont="1" applyFill="1" applyAlignment="1">
      <alignment horizontal="right" vertical="center" indent="1"/>
    </xf>
    <xf numFmtId="0" fontId="12" fillId="28" borderId="0" xfId="0" applyFont="1" applyFill="1" applyAlignment="1">
      <alignment vertical="center"/>
    </xf>
    <xf numFmtId="0" fontId="0" fillId="28" borderId="0" xfId="0" applyFill="1"/>
    <xf numFmtId="10" fontId="15" fillId="28" borderId="0" xfId="0" applyNumberFormat="1" applyFont="1" applyFill="1" applyAlignment="1">
      <alignment horizontal="right" vertical="center" indent="1"/>
    </xf>
    <xf numFmtId="166" fontId="12" fillId="28" borderId="0" xfId="0" applyNumberFormat="1" applyFont="1" applyFill="1" applyAlignment="1">
      <alignment vertical="center"/>
    </xf>
    <xf numFmtId="165" fontId="12" fillId="28" borderId="0" xfId="0" applyNumberFormat="1" applyFont="1" applyFill="1" applyAlignment="1">
      <alignment vertical="center"/>
    </xf>
    <xf numFmtId="10" fontId="15" fillId="28" borderId="54" xfId="2" applyNumberFormat="1" applyFont="1" applyFill="1" applyBorder="1" applyAlignment="1">
      <alignment horizontal="right" vertical="center" indent="1"/>
    </xf>
    <xf numFmtId="0" fontId="72" fillId="0" borderId="1" xfId="3"/>
    <xf numFmtId="0" fontId="72" fillId="29" borderId="1" xfId="3" applyFill="1" applyAlignment="1">
      <alignment horizontal="center" vertical="center" wrapText="1"/>
    </xf>
    <xf numFmtId="0" fontId="72" fillId="0" borderId="1" xfId="3" applyAlignment="1">
      <alignment vertical="center" wrapText="1"/>
    </xf>
    <xf numFmtId="0" fontId="72" fillId="0" borderId="1" xfId="3" applyAlignment="1">
      <alignment horizontal="center" vertical="center" wrapText="1"/>
    </xf>
    <xf numFmtId="14" fontId="72" fillId="0" borderId="1" xfId="3" applyNumberFormat="1"/>
    <xf numFmtId="1" fontId="72" fillId="0" borderId="1" xfId="3" applyNumberFormat="1"/>
    <xf numFmtId="4" fontId="72" fillId="0" borderId="1" xfId="3" applyNumberFormat="1"/>
    <xf numFmtId="0" fontId="73" fillId="30" borderId="1" xfId="4" applyFont="1" applyFill="1"/>
    <xf numFmtId="0" fontId="73" fillId="0" borderId="1" xfId="4" applyFont="1"/>
    <xf numFmtId="0" fontId="74" fillId="0" borderId="1" xfId="4" applyFont="1"/>
    <xf numFmtId="0" fontId="60" fillId="0" borderId="1" xfId="4"/>
    <xf numFmtId="1" fontId="73" fillId="0" borderId="1" xfId="4" applyNumberFormat="1" applyFont="1"/>
    <xf numFmtId="0" fontId="70" fillId="0" borderId="1" xfId="4" applyFont="1"/>
    <xf numFmtId="0" fontId="75" fillId="0" borderId="1" xfId="4" applyFont="1"/>
    <xf numFmtId="0" fontId="60" fillId="31" borderId="1" xfId="4" applyFill="1"/>
    <xf numFmtId="191" fontId="77" fillId="0" borderId="1" xfId="4" applyNumberFormat="1" applyFont="1"/>
    <xf numFmtId="0" fontId="76" fillId="0" borderId="1" xfId="4" applyFont="1"/>
    <xf numFmtId="192" fontId="70" fillId="0" borderId="1" xfId="5" applyNumberFormat="1" applyFont="1"/>
    <xf numFmtId="0" fontId="77" fillId="0" borderId="1" xfId="4" applyFont="1"/>
    <xf numFmtId="192" fontId="78" fillId="0" borderId="1" xfId="5" applyNumberFormat="1" applyFont="1"/>
    <xf numFmtId="0" fontId="79" fillId="0" borderId="1" xfId="4" applyFont="1"/>
    <xf numFmtId="0" fontId="70" fillId="30" borderId="1" xfId="4" applyFont="1" applyFill="1"/>
    <xf numFmtId="0" fontId="80" fillId="0" borderId="1" xfId="4" applyFont="1"/>
    <xf numFmtId="0" fontId="60" fillId="0" borderId="0" xfId="0" applyFont="1"/>
    <xf numFmtId="0" fontId="0" fillId="0" borderId="1" xfId="0" applyBorder="1"/>
    <xf numFmtId="166" fontId="0" fillId="0" borderId="1" xfId="0" applyNumberFormat="1" applyBorder="1"/>
    <xf numFmtId="0" fontId="0" fillId="0" borderId="55" xfId="0" applyBorder="1"/>
    <xf numFmtId="4" fontId="0" fillId="0" borderId="0" xfId="0" applyNumberFormat="1"/>
    <xf numFmtId="0" fontId="12" fillId="32" borderId="0" xfId="0" applyFont="1" applyFill="1" applyAlignment="1">
      <alignment vertical="center" wrapText="1"/>
    </xf>
    <xf numFmtId="171" fontId="12" fillId="32" borderId="7" xfId="0" applyNumberFormat="1" applyFont="1" applyFill="1" applyBorder="1" applyAlignment="1">
      <alignment horizontal="center" vertical="center" wrapText="1"/>
    </xf>
    <xf numFmtId="166" fontId="12" fillId="32" borderId="16" xfId="0" applyNumberFormat="1" applyFont="1" applyFill="1" applyBorder="1" applyAlignment="1">
      <alignment horizontal="right" vertical="center" wrapText="1"/>
    </xf>
    <xf numFmtId="166" fontId="12" fillId="32" borderId="7" xfId="0" applyNumberFormat="1" applyFont="1" applyFill="1" applyBorder="1" applyAlignment="1">
      <alignment horizontal="right" vertical="center" wrapText="1"/>
    </xf>
    <xf numFmtId="180" fontId="58" fillId="33" borderId="7" xfId="0" applyNumberFormat="1" applyFont="1" applyFill="1" applyBorder="1" applyAlignment="1">
      <alignment horizontal="left" vertical="center" wrapText="1"/>
    </xf>
    <xf numFmtId="1" fontId="12" fillId="33" borderId="7" xfId="0" applyNumberFormat="1" applyFont="1" applyFill="1" applyBorder="1" applyAlignment="1">
      <alignment horizontal="center" vertical="center" wrapText="1"/>
    </xf>
    <xf numFmtId="166" fontId="12" fillId="34" borderId="7" xfId="0" applyNumberFormat="1" applyFont="1" applyFill="1" applyBorder="1" applyAlignment="1">
      <alignment vertical="center" wrapText="1"/>
    </xf>
    <xf numFmtId="166" fontId="15" fillId="34" borderId="7" xfId="0" applyNumberFormat="1" applyFont="1" applyFill="1" applyBorder="1" applyAlignment="1">
      <alignment vertical="center" wrapText="1"/>
    </xf>
    <xf numFmtId="0" fontId="0" fillId="32" borderId="0" xfId="0" applyFill="1"/>
    <xf numFmtId="171" fontId="36" fillId="32" borderId="7" xfId="0" applyNumberFormat="1" applyFont="1" applyFill="1" applyBorder="1" applyAlignment="1">
      <alignment horizontal="center" vertical="center" wrapText="1"/>
    </xf>
    <xf numFmtId="175" fontId="36" fillId="32" borderId="7" xfId="0" applyNumberFormat="1" applyFont="1" applyFill="1" applyBorder="1" applyAlignment="1">
      <alignment horizontal="center" vertical="center" wrapText="1"/>
    </xf>
    <xf numFmtId="1" fontId="36" fillId="32" borderId="7" xfId="0" applyNumberFormat="1" applyFont="1" applyFill="1" applyBorder="1" applyAlignment="1">
      <alignment horizontal="center" vertical="center" wrapText="1"/>
    </xf>
    <xf numFmtId="189" fontId="65" fillId="32" borderId="7" xfId="0" applyNumberFormat="1" applyFont="1" applyFill="1" applyBorder="1" applyAlignment="1">
      <alignment horizontal="left" vertical="center" wrapText="1"/>
    </xf>
    <xf numFmtId="0" fontId="12" fillId="32" borderId="7" xfId="0" applyFont="1" applyFill="1" applyBorder="1" applyAlignment="1">
      <alignment horizontal="left" vertical="center" wrapText="1"/>
    </xf>
    <xf numFmtId="0" fontId="36" fillId="32" borderId="7" xfId="0" applyFont="1" applyFill="1" applyBorder="1" applyAlignment="1">
      <alignment horizontal="left" vertical="center" wrapText="1"/>
    </xf>
    <xf numFmtId="0" fontId="36" fillId="32" borderId="7" xfId="0" applyFont="1" applyFill="1" applyBorder="1" applyAlignment="1">
      <alignment horizontal="center" vertical="center" wrapText="1"/>
    </xf>
    <xf numFmtId="165" fontId="36" fillId="32" borderId="7" xfId="0" applyNumberFormat="1" applyFont="1" applyFill="1" applyBorder="1" applyAlignment="1">
      <alignment horizontal="left" vertical="center" wrapText="1"/>
    </xf>
    <xf numFmtId="166" fontId="39" fillId="32" borderId="7" xfId="0" applyNumberFormat="1" applyFont="1" applyFill="1" applyBorder="1" applyAlignment="1">
      <alignment vertical="center" wrapText="1"/>
    </xf>
    <xf numFmtId="10" fontId="36" fillId="32" borderId="7" xfId="0" applyNumberFormat="1" applyFont="1" applyFill="1" applyBorder="1" applyAlignment="1">
      <alignment horizontal="center" vertical="center" wrapText="1"/>
    </xf>
    <xf numFmtId="166" fontId="12" fillId="35" borderId="18" xfId="0" applyNumberFormat="1" applyFont="1" applyFill="1" applyBorder="1" applyAlignment="1">
      <alignment vertical="center" wrapText="1"/>
    </xf>
    <xf numFmtId="186" fontId="12" fillId="32" borderId="37" xfId="0" applyNumberFormat="1" applyFont="1" applyFill="1" applyBorder="1" applyAlignment="1">
      <alignment horizontal="left" vertical="center" wrapText="1"/>
    </xf>
    <xf numFmtId="0" fontId="82" fillId="31" borderId="1" xfId="6" applyFont="1" applyFill="1" applyAlignment="1">
      <alignment horizontal="center"/>
    </xf>
    <xf numFmtId="0" fontId="1" fillId="31" borderId="1" xfId="6" applyFill="1"/>
    <xf numFmtId="0" fontId="81" fillId="31" borderId="1" xfId="6" applyFont="1" applyFill="1"/>
    <xf numFmtId="10" fontId="1" fillId="31" borderId="1" xfId="7" applyNumberFormat="1" applyFill="1"/>
    <xf numFmtId="171" fontId="12" fillId="0" borderId="1" xfId="8" applyNumberFormat="1" applyFont="1" applyAlignment="1">
      <alignment horizontal="left" vertical="center" wrapText="1"/>
    </xf>
    <xf numFmtId="14" fontId="1" fillId="31" borderId="1" xfId="6" applyNumberFormat="1" applyFill="1"/>
    <xf numFmtId="1" fontId="1" fillId="31" borderId="1" xfId="6" applyNumberFormat="1" applyFill="1"/>
    <xf numFmtId="43" fontId="1" fillId="31" borderId="1" xfId="9" applyFill="1"/>
    <xf numFmtId="0" fontId="81" fillId="29" borderId="37" xfId="6" applyFont="1" applyFill="1" applyBorder="1" applyAlignment="1">
      <alignment horizontal="center" vertical="center" wrapText="1"/>
    </xf>
    <xf numFmtId="0" fontId="81" fillId="29" borderId="39" xfId="6" applyFont="1" applyFill="1" applyBorder="1" applyAlignment="1">
      <alignment horizontal="center" vertical="center" wrapText="1"/>
    </xf>
    <xf numFmtId="0" fontId="1" fillId="0" borderId="1" xfId="6"/>
    <xf numFmtId="0" fontId="1" fillId="0" borderId="1" xfId="6" applyAlignment="1">
      <alignment horizontal="center"/>
    </xf>
    <xf numFmtId="14" fontId="1" fillId="0" borderId="1" xfId="6" applyNumberFormat="1"/>
    <xf numFmtId="1" fontId="1" fillId="0" borderId="1" xfId="6" applyNumberFormat="1"/>
    <xf numFmtId="4" fontId="1" fillId="0" borderId="1" xfId="6" applyNumberFormat="1"/>
    <xf numFmtId="43" fontId="0" fillId="0" borderId="1" xfId="9" applyFont="1" applyFill="1" applyBorder="1" applyAlignment="1">
      <alignment vertical="center"/>
    </xf>
    <xf numFmtId="0" fontId="1" fillId="0" borderId="50" xfId="6" applyBorder="1"/>
    <xf numFmtId="43" fontId="1" fillId="0" borderId="51" xfId="6" applyNumberFormat="1" applyBorder="1"/>
    <xf numFmtId="43" fontId="83" fillId="0" borderId="1" xfId="9" applyFont="1" applyFill="1" applyBorder="1" applyAlignment="1">
      <alignment horizontal="center" vertical="center"/>
    </xf>
    <xf numFmtId="43" fontId="83" fillId="0" borderId="1" xfId="9" applyFont="1" applyFill="1" applyBorder="1" applyAlignment="1">
      <alignment vertical="center"/>
    </xf>
    <xf numFmtId="43" fontId="0" fillId="0" borderId="1" xfId="9" applyFont="1"/>
    <xf numFmtId="0" fontId="81" fillId="36" borderId="39" xfId="6" applyFont="1" applyFill="1" applyBorder="1" applyAlignment="1">
      <alignment horizontal="center" vertical="center" wrapText="1"/>
    </xf>
    <xf numFmtId="0" fontId="64" fillId="20" borderId="38" xfId="0" applyFont="1" applyFill="1" applyBorder="1" applyAlignment="1">
      <alignment horizontal="center" vertical="center" wrapText="1"/>
    </xf>
    <xf numFmtId="166" fontId="0" fillId="0" borderId="0" xfId="0" applyNumberFormat="1"/>
    <xf numFmtId="0" fontId="0" fillId="0" borderId="0" xfId="0"/>
    <xf numFmtId="14" fontId="2" fillId="36" borderId="37" xfId="0" applyNumberFormat="1" applyFont="1" applyFill="1" applyBorder="1" applyAlignment="1">
      <alignment vertical="center"/>
    </xf>
    <xf numFmtId="166" fontId="15" fillId="36" borderId="7" xfId="0" applyNumberFormat="1" applyFont="1" applyFill="1" applyBorder="1" applyAlignment="1">
      <alignment vertical="center" wrapText="1"/>
    </xf>
    <xf numFmtId="1" fontId="12" fillId="36" borderId="37" xfId="0" applyNumberFormat="1" applyFont="1" applyFill="1" applyBorder="1" applyAlignment="1">
      <alignment horizontal="center" vertical="center" wrapText="1"/>
    </xf>
    <xf numFmtId="166" fontId="12" fillId="36" borderId="37" xfId="0" applyNumberFormat="1" applyFont="1" applyFill="1" applyBorder="1" applyAlignment="1">
      <alignment vertical="center" wrapText="1"/>
    </xf>
    <xf numFmtId="0" fontId="42" fillId="3" borderId="5" xfId="0" applyFont="1" applyFill="1" applyBorder="1" applyAlignment="1">
      <alignment horizontal="left" vertical="center" wrapText="1"/>
    </xf>
    <xf numFmtId="0" fontId="42" fillId="3" borderId="8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0" fillId="0" borderId="0" xfId="0"/>
    <xf numFmtId="0" fontId="27" fillId="0" borderId="2" xfId="0" applyFont="1" applyBorder="1" applyAlignment="1">
      <alignment horizontal="center" vertical="center"/>
    </xf>
    <xf numFmtId="0" fontId="32" fillId="0" borderId="3" xfId="0" applyFont="1" applyBorder="1"/>
    <xf numFmtId="187" fontId="27" fillId="3" borderId="1" xfId="0" applyNumberFormat="1" applyFont="1" applyFill="1" applyBorder="1" applyAlignment="1">
      <alignment horizontal="left" vertical="center"/>
    </xf>
    <xf numFmtId="0" fontId="69" fillId="0" borderId="43" xfId="0" applyFont="1" applyBorder="1" applyAlignment="1">
      <alignment horizontal="justify" vertical="center" wrapText="1"/>
    </xf>
    <xf numFmtId="0" fontId="69" fillId="0" borderId="1" xfId="0" applyFont="1" applyBorder="1" applyAlignment="1">
      <alignment horizontal="justify" vertical="center" wrapText="1"/>
    </xf>
    <xf numFmtId="0" fontId="11" fillId="0" borderId="0" xfId="0" applyFont="1" applyAlignment="1">
      <alignment horizontal="left" vertical="center"/>
    </xf>
    <xf numFmtId="182" fontId="15" fillId="24" borderId="0" xfId="0" applyNumberFormat="1" applyFont="1" applyFill="1" applyAlignment="1">
      <alignment horizontal="center" vertical="center" wrapText="1"/>
    </xf>
    <xf numFmtId="0" fontId="24" fillId="13" borderId="39" xfId="0" applyFont="1" applyFill="1" applyBorder="1" applyAlignment="1">
      <alignment horizontal="left" vertical="center"/>
    </xf>
    <xf numFmtId="0" fontId="24" fillId="13" borderId="40" xfId="0" applyFont="1" applyFill="1" applyBorder="1" applyAlignment="1">
      <alignment horizontal="left" vertical="center"/>
    </xf>
    <xf numFmtId="0" fontId="24" fillId="13" borderId="41" xfId="0" applyFont="1" applyFill="1" applyBorder="1" applyAlignment="1">
      <alignment horizontal="left" vertical="center"/>
    </xf>
    <xf numFmtId="1" fontId="24" fillId="13" borderId="39" xfId="0" applyNumberFormat="1" applyFont="1" applyFill="1" applyBorder="1" applyAlignment="1">
      <alignment horizontal="left" vertical="center"/>
    </xf>
    <xf numFmtId="1" fontId="24" fillId="13" borderId="40" xfId="0" applyNumberFormat="1" applyFont="1" applyFill="1" applyBorder="1" applyAlignment="1">
      <alignment horizontal="left" vertical="center"/>
    </xf>
    <xf numFmtId="1" fontId="24" fillId="13" borderId="41" xfId="0" applyNumberFormat="1" applyFont="1" applyFill="1" applyBorder="1" applyAlignment="1">
      <alignment horizontal="left" vertical="center"/>
    </xf>
    <xf numFmtId="0" fontId="15" fillId="3" borderId="44" xfId="0" applyFont="1" applyFill="1" applyBorder="1" applyAlignment="1">
      <alignment horizontal="center" vertical="center" wrapText="1"/>
    </xf>
    <xf numFmtId="0" fontId="15" fillId="3" borderId="45" xfId="0" applyFont="1" applyFill="1" applyBorder="1" applyAlignment="1">
      <alignment horizontal="center" vertical="center" wrapText="1"/>
    </xf>
    <xf numFmtId="182" fontId="15" fillId="23" borderId="0" xfId="0" applyNumberFormat="1" applyFont="1" applyFill="1" applyAlignment="1">
      <alignment horizontal="center" vertical="center" wrapText="1"/>
    </xf>
    <xf numFmtId="0" fontId="15" fillId="28" borderId="1" xfId="0" applyFont="1" applyFill="1" applyBorder="1" applyAlignment="1">
      <alignment horizontal="right" vertical="center" wrapText="1" indent="1"/>
    </xf>
    <xf numFmtId="0" fontId="15" fillId="28" borderId="9" xfId="0" applyFont="1" applyFill="1" applyBorder="1" applyAlignment="1">
      <alignment horizontal="right" vertical="center" wrapText="1" indent="1"/>
    </xf>
    <xf numFmtId="0" fontId="15" fillId="3" borderId="46" xfId="0" applyFont="1" applyFill="1" applyBorder="1" applyAlignment="1">
      <alignment horizontal="center" vertical="center" wrapText="1"/>
    </xf>
    <xf numFmtId="0" fontId="15" fillId="17" borderId="1" xfId="0" applyFont="1" applyFill="1" applyBorder="1" applyAlignment="1">
      <alignment horizontal="right" vertical="center" wrapText="1" indent="1"/>
    </xf>
    <xf numFmtId="0" fontId="15" fillId="17" borderId="9" xfId="0" applyFont="1" applyFill="1" applyBorder="1" applyAlignment="1">
      <alignment horizontal="right" vertical="center" wrapText="1" indent="1"/>
    </xf>
    <xf numFmtId="0" fontId="15" fillId="3" borderId="21" xfId="0" applyFont="1" applyFill="1" applyBorder="1" applyAlignment="1">
      <alignment horizontal="center" vertical="center" wrapText="1"/>
    </xf>
    <xf numFmtId="0" fontId="15" fillId="3" borderId="32" xfId="0" applyFont="1" applyFill="1" applyBorder="1" applyAlignment="1">
      <alignment horizontal="center" vertical="center" wrapText="1"/>
    </xf>
    <xf numFmtId="167" fontId="15" fillId="3" borderId="47" xfId="0" applyNumberFormat="1" applyFont="1" applyFill="1" applyBorder="1" applyAlignment="1">
      <alignment horizontal="center" vertical="center" wrapText="1"/>
    </xf>
    <xf numFmtId="167" fontId="15" fillId="3" borderId="59" xfId="0" applyNumberFormat="1" applyFont="1" applyFill="1" applyBorder="1" applyAlignment="1">
      <alignment horizontal="center" vertical="center" wrapText="1"/>
    </xf>
    <xf numFmtId="187" fontId="15" fillId="15" borderId="55" xfId="0" applyNumberFormat="1" applyFont="1" applyFill="1" applyBorder="1" applyAlignment="1">
      <alignment horizontal="left" vertical="center"/>
    </xf>
    <xf numFmtId="166" fontId="12" fillId="0" borderId="52" xfId="0" applyNumberFormat="1" applyFont="1" applyBorder="1" applyAlignment="1">
      <alignment horizontal="center" vertical="center" wrapText="1"/>
    </xf>
    <xf numFmtId="166" fontId="12" fillId="0" borderId="53" xfId="0" applyNumberFormat="1" applyFont="1" applyBorder="1" applyAlignment="1">
      <alignment horizontal="center" vertical="center" wrapText="1"/>
    </xf>
    <xf numFmtId="166" fontId="15" fillId="3" borderId="50" xfId="0" applyNumberFormat="1" applyFont="1" applyFill="1" applyBorder="1" applyAlignment="1">
      <alignment horizontal="center" vertical="center" wrapText="1"/>
    </xf>
    <xf numFmtId="166" fontId="15" fillId="3" borderId="51" xfId="0" applyNumberFormat="1" applyFont="1" applyFill="1" applyBorder="1" applyAlignment="1">
      <alignment horizontal="center" vertical="center" wrapText="1"/>
    </xf>
    <xf numFmtId="167" fontId="15" fillId="3" borderId="47" xfId="0" applyNumberFormat="1" applyFont="1" applyFill="1" applyBorder="1" applyAlignment="1">
      <alignment horizontal="left" vertical="center" wrapText="1"/>
    </xf>
    <xf numFmtId="167" fontId="15" fillId="3" borderId="58" xfId="0" applyNumberFormat="1" applyFont="1" applyFill="1" applyBorder="1" applyAlignment="1">
      <alignment horizontal="left" vertical="center" wrapText="1"/>
    </xf>
    <xf numFmtId="167" fontId="15" fillId="3" borderId="59" xfId="0" applyNumberFormat="1" applyFont="1" applyFill="1" applyBorder="1" applyAlignment="1">
      <alignment horizontal="left" vertical="center" wrapText="1"/>
    </xf>
    <xf numFmtId="166" fontId="12" fillId="0" borderId="56" xfId="0" applyNumberFormat="1" applyFont="1" applyBorder="1" applyAlignment="1">
      <alignment horizontal="center" vertical="center" wrapText="1"/>
    </xf>
    <xf numFmtId="166" fontId="12" fillId="0" borderId="57" xfId="0" applyNumberFormat="1" applyFont="1" applyBorder="1" applyAlignment="1">
      <alignment horizontal="center" vertical="center" wrapText="1"/>
    </xf>
    <xf numFmtId="167" fontId="15" fillId="3" borderId="23" xfId="0" applyNumberFormat="1" applyFont="1" applyFill="1" applyBorder="1" applyAlignment="1">
      <alignment horizontal="left" vertical="center" wrapText="1"/>
    </xf>
    <xf numFmtId="167" fontId="15" fillId="3" borderId="36" xfId="0" applyNumberFormat="1" applyFont="1" applyFill="1" applyBorder="1" applyAlignment="1">
      <alignment horizontal="left" vertical="center" wrapText="1"/>
    </xf>
    <xf numFmtId="167" fontId="15" fillId="3" borderId="60" xfId="0" applyNumberFormat="1" applyFont="1" applyFill="1" applyBorder="1" applyAlignment="1">
      <alignment horizontal="left" vertical="center" wrapText="1"/>
    </xf>
    <xf numFmtId="167" fontId="15" fillId="3" borderId="1" xfId="0" applyNumberFormat="1" applyFont="1" applyFill="1" applyBorder="1" applyAlignment="1">
      <alignment horizontal="left" vertical="center" wrapText="1"/>
    </xf>
    <xf numFmtId="167" fontId="66" fillId="0" borderId="52" xfId="0" applyNumberFormat="1" applyFont="1" applyBorder="1" applyAlignment="1">
      <alignment horizontal="left" vertical="center" wrapText="1"/>
    </xf>
    <xf numFmtId="167" fontId="66" fillId="0" borderId="53" xfId="0" applyNumberFormat="1" applyFont="1" applyBorder="1" applyAlignment="1">
      <alignment horizontal="left" vertical="center" wrapText="1"/>
    </xf>
    <xf numFmtId="167" fontId="12" fillId="0" borderId="47" xfId="0" applyNumberFormat="1" applyFont="1" applyBorder="1" applyAlignment="1">
      <alignment horizontal="center" vertical="center" wrapText="1"/>
    </xf>
    <xf numFmtId="167" fontId="12" fillId="0" borderId="59" xfId="0" applyNumberFormat="1" applyFont="1" applyBorder="1" applyAlignment="1">
      <alignment horizontal="center" vertical="center" wrapText="1"/>
    </xf>
    <xf numFmtId="0" fontId="82" fillId="31" borderId="1" xfId="6" applyFont="1" applyFill="1" applyAlignment="1">
      <alignment horizontal="center"/>
    </xf>
    <xf numFmtId="0" fontId="44" fillId="0" borderId="0" xfId="0" applyFont="1" applyAlignment="1">
      <alignment horizontal="left" vertical="center"/>
    </xf>
    <xf numFmtId="0" fontId="27" fillId="3" borderId="21" xfId="0" applyFont="1" applyFill="1" applyBorder="1" applyAlignment="1">
      <alignment horizontal="center" vertical="center" wrapText="1"/>
    </xf>
    <xf numFmtId="0" fontId="32" fillId="0" borderId="22" xfId="0" applyFont="1" applyBorder="1"/>
    <xf numFmtId="191" fontId="0" fillId="0" borderId="0" xfId="0" applyNumberFormat="1"/>
    <xf numFmtId="9" fontId="0" fillId="0" borderId="0" xfId="0" applyNumberFormat="1"/>
    <xf numFmtId="2" fontId="0" fillId="0" borderId="0" xfId="0" applyNumberFormat="1"/>
    <xf numFmtId="0" fontId="0" fillId="0" borderId="0" xfId="0" applyAlignment="1">
      <alignment vertical="center" wrapText="1"/>
    </xf>
    <xf numFmtId="0" fontId="60" fillId="0" borderId="0" xfId="0" applyFont="1" applyAlignment="1">
      <alignment vertical="center" wrapText="1"/>
    </xf>
    <xf numFmtId="2" fontId="0" fillId="36" borderId="0" xfId="0" applyNumberFormat="1" applyFill="1"/>
    <xf numFmtId="2" fontId="60" fillId="0" borderId="0" xfId="0" applyNumberFormat="1" applyFont="1"/>
    <xf numFmtId="214" fontId="0" fillId="0" borderId="0" xfId="2" applyNumberFormat="1" applyFont="1"/>
  </cellXfs>
  <cellStyles count="10">
    <cellStyle name="Currency" xfId="1" builtinId="4"/>
    <cellStyle name="Millares 2" xfId="5"/>
    <cellStyle name="Millares 3" xfId="9"/>
    <cellStyle name="Normal" xfId="0" builtinId="0"/>
    <cellStyle name="Normal 2" xfId="3"/>
    <cellStyle name="Normal 2 2" xfId="6"/>
    <cellStyle name="Normal 2 3" xfId="8"/>
    <cellStyle name="Normal 3" xfId="4"/>
    <cellStyle name="Percent" xfId="2" builtinId="5"/>
    <cellStyle name="Porcentaje 2" xfId="7"/>
  </cellStyles>
  <dxfs count="13">
    <dxf>
      <numFmt numFmtId="186" formatCode="_-[$USD]\ * #,##0.00_-;\-[$USD]\ * #,##0.00_-;_-[$USD]\ * &quot;-&quot;??_-;_-@_-"/>
    </dxf>
    <dxf>
      <numFmt numFmtId="186" formatCode="_-[$USD]\ * #,##0.00_-;\-[$USD]\ * #,##0.00_-;_-[$USD]\ * &quot;-&quot;??_-;_-@_-"/>
    </dxf>
    <dxf>
      <numFmt numFmtId="186" formatCode="_-[$USD]\ * #,##0.00_-;\-[$USD]\ * #,##0.00_-;_-[$USD]\ * &quot;-&quot;??_-;_-@_-"/>
    </dxf>
    <dxf>
      <numFmt numFmtId="186" formatCode="_-[$USD]\ * #,##0.00_-;\-[$USD]\ * #,##0.00_-;_-[$USD]\ * &quot;-&quot;??_-;_-@_-"/>
    </dxf>
    <dxf>
      <numFmt numFmtId="186" formatCode="_-[$USD]\ * #,##0.00_-;\-[$USD]\ * #,##0.00_-;_-[$USD]\ * &quot;-&quot;??_-;_-@_-"/>
    </dxf>
    <dxf>
      <numFmt numFmtId="186" formatCode="_-[$USD]\ * #,##0.00_-;\-[$USD]\ * #,##0.00_-;_-[$USD]\ * &quot;-&quot;??_-;_-@_-"/>
    </dxf>
    <dxf>
      <numFmt numFmtId="186" formatCode="_-[$USD]\ * #,##0.00_-;\-[$USD]\ * #,##0.00_-;_-[$USD]\ * &quot;-&quot;??_-;_-@_-"/>
    </dxf>
    <dxf>
      <numFmt numFmtId="186" formatCode="_-[$USD]\ * #,##0.00_-;\-[$USD]\ * #,##0.00_-;_-[$USD]\ * &quot;-&quot;??_-;_-@_-"/>
    </dxf>
    <dxf>
      <numFmt numFmtId="186" formatCode="_-[$USD]\ * #,##0.00_-;\-[$USD]\ * #,##0.00_-;_-[$USD]\ * &quot;-&quot;??_-;_-@_-"/>
    </dxf>
    <dxf>
      <numFmt numFmtId="186" formatCode="_-[$USD]\ * #,##0.00_-;\-[$USD]\ * #,##0.00_-;_-[$USD]\ * &quot;-&quot;??_-;_-@_-"/>
    </dxf>
    <dxf>
      <numFmt numFmtId="186" formatCode="_-[$USD]\ * #,##0.00_-;\-[$USD]\ * #,##0.00_-;_-[$USD]\ * &quot;-&quot;??_-;_-@_-"/>
    </dxf>
    <dxf>
      <numFmt numFmtId="186" formatCode="_-[$USD]\ * #,##0.00_-;\-[$USD]\ * #,##0.00_-;_-[$USD]\ * &quot;-&quot;??_-;_-@_-"/>
    </dxf>
    <dxf>
      <fill>
        <patternFill patternType="solid">
          <fgColor rgb="FFF2F2F2"/>
          <bgColor rgb="FFF2F2F2"/>
        </patternFill>
      </fill>
    </dxf>
  </dxfs>
  <tableStyles count="1" defaultTableStyle="TableStyleMedium2" defaultPivotStyle="PivotStyleLight16">
    <tableStyle name="Invisible" pivot="0" table="0" count="0"/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1019175</xdr:colOff>
      <xdr:row>155</xdr:row>
      <xdr:rowOff>133350</xdr:rowOff>
    </xdr:from>
    <xdr:ext cx="2219325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266825" y="14411325"/>
          <a:ext cx="2219325" cy="38100"/>
          <a:chOff x="4236338" y="3780000"/>
          <a:chExt cx="2219325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>
            <a:off x="4236338" y="3780000"/>
            <a:ext cx="2219325" cy="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</xdr:col>
      <xdr:colOff>791051</xdr:colOff>
      <xdr:row>146</xdr:row>
      <xdr:rowOff>97502</xdr:rowOff>
    </xdr:from>
    <xdr:ext cx="2671763" cy="121227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1038701" y="12918152"/>
          <a:ext cx="2671763" cy="121227"/>
          <a:chOff x="4236338" y="3780000"/>
          <a:chExt cx="2219325" cy="0"/>
        </a:xfrm>
      </xdr:grpSpPr>
      <xdr:cxnSp macro="">
        <xdr:nvCxnSpPr>
          <xdr:cNvPr id="5" name="Shap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>
            <a:off x="4236338" y="3780000"/>
            <a:ext cx="2219325" cy="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990600</xdr:colOff>
      <xdr:row>146</xdr:row>
      <xdr:rowOff>133350</xdr:rowOff>
    </xdr:from>
    <xdr:ext cx="2333625" cy="381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6343650" y="12954000"/>
          <a:ext cx="2333625" cy="38100"/>
          <a:chOff x="4179188" y="3780000"/>
          <a:chExt cx="2333625" cy="0"/>
        </a:xfrm>
      </xdr:grpSpPr>
      <xdr:cxnSp macro="">
        <xdr:nvCxnSpPr>
          <xdr:cNvPr id="7" name="Shape 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CxnSpPr/>
        </xdr:nvCxnSpPr>
        <xdr:spPr>
          <a:xfrm>
            <a:off x="4179188" y="3780000"/>
            <a:ext cx="2333625" cy="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838200</xdr:colOff>
      <xdr:row>155</xdr:row>
      <xdr:rowOff>85725</xdr:rowOff>
    </xdr:from>
    <xdr:ext cx="2714625" cy="381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6191250" y="14363700"/>
          <a:ext cx="2714625" cy="38100"/>
          <a:chOff x="3988688" y="3780000"/>
          <a:chExt cx="2714625" cy="0"/>
        </a:xfrm>
      </xdr:grpSpPr>
      <xdr:cxnSp macro="">
        <xdr:nvCxnSpPr>
          <xdr:cNvPr id="9" name="Shape 6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CxnSpPr/>
        </xdr:nvCxnSpPr>
        <xdr:spPr>
          <a:xfrm>
            <a:off x="3988688" y="3780000"/>
            <a:ext cx="2714625" cy="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twoCellAnchor editAs="oneCell">
    <xdr:from>
      <xdr:col>7</xdr:col>
      <xdr:colOff>596900</xdr:colOff>
      <xdr:row>0</xdr:row>
      <xdr:rowOff>88900</xdr:rowOff>
    </xdr:from>
    <xdr:to>
      <xdr:col>8</xdr:col>
      <xdr:colOff>1241266</xdr:colOff>
      <xdr:row>3</xdr:row>
      <xdr:rowOff>2540</xdr:rowOff>
    </xdr:to>
    <xdr:pic>
      <xdr:nvPicPr>
        <xdr:cNvPr id="10" name="Imagen 9" descr="Imagen que contiene imágenes prediseñadas&#10;&#10;Descripción generada automáticamente">
          <a:extLst>
            <a:ext uri="{FF2B5EF4-FFF2-40B4-BE49-F238E27FC236}">
              <a16:creationId xmlns:a16="http://schemas.microsoft.com/office/drawing/2014/main" id="{5BFC0210-1218-E443-8AB1-A5DEA282C87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3400" y="88900"/>
          <a:ext cx="2161540" cy="6756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207818</xdr:colOff>
      <xdr:row>0</xdr:row>
      <xdr:rowOff>23091</xdr:rowOff>
    </xdr:from>
    <xdr:ext cx="1228725" cy="1504949"/>
    <xdr:pic>
      <xdr:nvPicPr>
        <xdr:cNvPr id="4" name="image2.png">
          <a:extLst>
            <a:ext uri="{FF2B5EF4-FFF2-40B4-BE49-F238E27FC236}">
              <a16:creationId xmlns:a16="http://schemas.microsoft.com/office/drawing/2014/main" id="{46D2E260-079A-784E-99B5-88955AF1FFF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133454" y="23091"/>
          <a:ext cx="1228725" cy="1504949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10583</xdr:colOff>
      <xdr:row>157</xdr:row>
      <xdr:rowOff>31750</xdr:rowOff>
    </xdr:from>
    <xdr:to>
      <xdr:col>9</xdr:col>
      <xdr:colOff>1465652</xdr:colOff>
      <xdr:row>166</xdr:row>
      <xdr:rowOff>98674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AE5D8E7-AF93-31A0-94F1-B4911B153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2583" y="16774583"/>
          <a:ext cx="14165652" cy="17814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81191</xdr:colOff>
      <xdr:row>0</xdr:row>
      <xdr:rowOff>74458</xdr:rowOff>
    </xdr:from>
    <xdr:to>
      <xdr:col>9</xdr:col>
      <xdr:colOff>858791</xdr:colOff>
      <xdr:row>26</xdr:row>
      <xdr:rowOff>131458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161AEEB4-863C-496B-B0B6-760917238777}"/>
            </a:ext>
          </a:extLst>
        </xdr:cNvPr>
        <xdr:cNvGrpSpPr/>
      </xdr:nvGrpSpPr>
      <xdr:grpSpPr>
        <a:xfrm>
          <a:off x="81191" y="74458"/>
          <a:ext cx="7831543" cy="4443943"/>
          <a:chOff x="438150" y="571500"/>
          <a:chExt cx="7634288" cy="4248150"/>
        </a:xfrm>
      </xdr:grpSpPr>
      <xdr:sp macro="" textlink="">
        <xdr:nvSpPr>
          <xdr:cNvPr id="3" name="3 Rectángulo">
            <a:extLst>
              <a:ext uri="{FF2B5EF4-FFF2-40B4-BE49-F238E27FC236}">
                <a16:creationId xmlns:a16="http://schemas.microsoft.com/office/drawing/2014/main" id="{ECBBF67C-11C7-7DAC-AE9D-E6E76CB4F08B}"/>
              </a:ext>
            </a:extLst>
          </xdr:cNvPr>
          <xdr:cNvSpPr/>
        </xdr:nvSpPr>
        <xdr:spPr>
          <a:xfrm>
            <a:off x="500063" y="571500"/>
            <a:ext cx="7559675" cy="4248150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defPPr>
              <a:defRPr lang="es-PE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fontAlgn="auto">
              <a:spcBef>
                <a:spcPts val="0"/>
              </a:spcBef>
              <a:spcAft>
                <a:spcPts val="0"/>
              </a:spcAft>
              <a:defRPr/>
            </a:pPr>
            <a:endParaRPr lang="es-ES" sz="1100"/>
          </a:p>
        </xdr:txBody>
      </xdr:sp>
      <xdr:sp macro="" textlink="">
        <xdr:nvSpPr>
          <xdr:cNvPr id="4" name="4 Rectángulo">
            <a:extLst>
              <a:ext uri="{FF2B5EF4-FFF2-40B4-BE49-F238E27FC236}">
                <a16:creationId xmlns:a16="http://schemas.microsoft.com/office/drawing/2014/main" id="{79DF44C6-2629-7359-F2CE-723ADDFAF107}"/>
              </a:ext>
            </a:extLst>
          </xdr:cNvPr>
          <xdr:cNvSpPr/>
        </xdr:nvSpPr>
        <xdr:spPr>
          <a:xfrm>
            <a:off x="2324100" y="642938"/>
            <a:ext cx="5688013" cy="503237"/>
          </a:xfrm>
          <a:prstGeom prst="rect">
            <a:avLst/>
          </a:prstGeom>
          <a:noFill/>
          <a:ln w="12700" cap="rnd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defPPr>
              <a:defRPr lang="es-PE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fontAlgn="auto">
              <a:spcBef>
                <a:spcPts val="0"/>
              </a:spcBef>
              <a:spcAft>
                <a:spcPts val="0"/>
              </a:spcAft>
              <a:defRPr/>
            </a:pPr>
            <a:endParaRPr lang="es-ES" sz="1100"/>
          </a:p>
        </xdr:txBody>
      </xdr:sp>
      <xdr:sp macro="" textlink="Datos!D9">
        <xdr:nvSpPr>
          <xdr:cNvPr id="5" name="7 Rectángulo redondeado">
            <a:extLst>
              <a:ext uri="{FF2B5EF4-FFF2-40B4-BE49-F238E27FC236}">
                <a16:creationId xmlns:a16="http://schemas.microsoft.com/office/drawing/2014/main" id="{6756AD9A-22C5-C82D-2AEA-C98C88AEA002}"/>
              </a:ext>
            </a:extLst>
          </xdr:cNvPr>
          <xdr:cNvSpPr/>
        </xdr:nvSpPr>
        <xdr:spPr>
          <a:xfrm>
            <a:off x="2324100" y="2043113"/>
            <a:ext cx="5688013" cy="220662"/>
          </a:xfrm>
          <a:prstGeom prst="round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defPPr>
              <a:defRPr lang="es-PE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auto">
              <a:spcBef>
                <a:spcPts val="0"/>
              </a:spcBef>
              <a:spcAft>
                <a:spcPts val="0"/>
              </a:spcAft>
              <a:defRPr/>
            </a:pPr>
            <a:fld id="{8ED0C39B-3B48-408C-87D3-2812317A47F8}" type="TxLink">
              <a:rPr lang="en-US" sz="1100" b="0" i="0" u="none" strike="noStrike">
                <a:ln w="3175">
                  <a:solidFill>
                    <a:sysClr val="windowText" lastClr="000000"/>
                  </a:solidFill>
                </a:ln>
                <a:solidFill>
                  <a:srgbClr val="000000"/>
                </a:solidFill>
                <a:latin typeface="Agency FB"/>
                <a:cs typeface="Calibri"/>
              </a:rPr>
              <a:pPr fontAlgn="auto">
                <a:spcBef>
                  <a:spcPts val="0"/>
                </a:spcBef>
                <a:spcAft>
                  <a:spcPts val="0"/>
                </a:spcAft>
                <a:defRPr/>
              </a:pPr>
              <a:t>CINCUENTA Y CINCO MIL NOVECIENTOS OCHENTA Y NUEVE CON 95/100 SOLES</a:t>
            </a:fld>
            <a:endParaRPr lang="es-ES" sz="1100" b="0">
              <a:ln w="3175">
                <a:solidFill>
                  <a:sysClr val="windowText" lastClr="000000"/>
                </a:solidFill>
              </a:ln>
              <a:solidFill>
                <a:schemeClr val="tx1"/>
              </a:solidFill>
            </a:endParaRPr>
          </a:p>
        </xdr:txBody>
      </xdr:sp>
      <xdr:sp macro="" textlink="">
        <xdr:nvSpPr>
          <xdr:cNvPr id="6" name="16 CuadroTexto">
            <a:extLst>
              <a:ext uri="{FF2B5EF4-FFF2-40B4-BE49-F238E27FC236}">
                <a16:creationId xmlns:a16="http://schemas.microsoft.com/office/drawing/2014/main" id="{2342B2C2-1FA8-70BD-15C9-DC7E9511B01A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98713" y="1208835"/>
            <a:ext cx="492125" cy="17674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es-PE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eaLnBrk="1" hangingPunct="1"/>
            <a:r>
              <a:rPr lang="es-ES" sz="600">
                <a:latin typeface="Tahoma" panose="020B0604030504040204" pitchFamily="34" charset="0"/>
                <a:cs typeface="Tahoma" panose="020B0604030504040204" pitchFamily="34" charset="0"/>
              </a:rPr>
              <a:t>NUMERO</a:t>
            </a:r>
          </a:p>
        </xdr:txBody>
      </xdr:sp>
      <xdr:sp macro="" textlink="">
        <xdr:nvSpPr>
          <xdr:cNvPr id="7" name="17 CuadroTexto">
            <a:extLst>
              <a:ext uri="{FF2B5EF4-FFF2-40B4-BE49-F238E27FC236}">
                <a16:creationId xmlns:a16="http://schemas.microsoft.com/office/drawing/2014/main" id="{98BEF751-9027-38DD-591B-F953C63C7192}"/>
              </a:ext>
            </a:extLst>
          </xdr:cNvPr>
          <xdr:cNvSpPr txBox="1">
            <a:spLocks noChangeArrowheads="1"/>
          </xdr:cNvSpPr>
        </xdr:nvSpPr>
        <xdr:spPr bwMode="auto">
          <a:xfrm>
            <a:off x="3070024" y="1210423"/>
            <a:ext cx="854075" cy="17674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es-PE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eaLnBrk="1" hangingPunct="1"/>
            <a:r>
              <a:rPr lang="es-ES" sz="600">
                <a:latin typeface="Tahoma" panose="020B0604030504040204" pitchFamily="34" charset="0"/>
                <a:cs typeface="Tahoma" panose="020B0604030504040204" pitchFamily="34" charset="0"/>
              </a:rPr>
              <a:t>REF. DEL GIRADOR</a:t>
            </a:r>
          </a:p>
        </xdr:txBody>
      </xdr:sp>
      <xdr:sp macro="" textlink="">
        <xdr:nvSpPr>
          <xdr:cNvPr id="8" name="18 CuadroTexto">
            <a:extLst>
              <a:ext uri="{FF2B5EF4-FFF2-40B4-BE49-F238E27FC236}">
                <a16:creationId xmlns:a16="http://schemas.microsoft.com/office/drawing/2014/main" id="{A063600A-D2FF-0091-6F32-67C2206BB809}"/>
              </a:ext>
            </a:extLst>
          </xdr:cNvPr>
          <xdr:cNvSpPr txBox="1">
            <a:spLocks noChangeArrowheads="1"/>
          </xdr:cNvSpPr>
        </xdr:nvSpPr>
        <xdr:spPr bwMode="auto">
          <a:xfrm>
            <a:off x="4106405" y="1208835"/>
            <a:ext cx="738188" cy="17674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es-PE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eaLnBrk="1" hangingPunct="1"/>
            <a:r>
              <a:rPr lang="es-ES" sz="600">
                <a:latin typeface="Tahoma" panose="020B0604030504040204" pitchFamily="34" charset="0"/>
                <a:cs typeface="Tahoma" panose="020B0604030504040204" pitchFamily="34" charset="0"/>
              </a:rPr>
              <a:t>FECHA DE GIRO</a:t>
            </a:r>
          </a:p>
        </xdr:txBody>
      </xdr:sp>
      <xdr:sp macro="" textlink="">
        <xdr:nvSpPr>
          <xdr:cNvPr id="9" name="19 CuadroTexto">
            <a:extLst>
              <a:ext uri="{FF2B5EF4-FFF2-40B4-BE49-F238E27FC236}">
                <a16:creationId xmlns:a16="http://schemas.microsoft.com/office/drawing/2014/main" id="{78FF0829-98E4-8119-9B17-23DB668FF7CE}"/>
              </a:ext>
            </a:extLst>
          </xdr:cNvPr>
          <xdr:cNvSpPr txBox="1">
            <a:spLocks noChangeArrowheads="1"/>
          </xdr:cNvSpPr>
        </xdr:nvSpPr>
        <xdr:spPr bwMode="auto">
          <a:xfrm>
            <a:off x="4931977" y="1208835"/>
            <a:ext cx="746125" cy="17674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es-PE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eaLnBrk="1" hangingPunct="1"/>
            <a:r>
              <a:rPr lang="es-ES" sz="600">
                <a:latin typeface="Tahoma" panose="020B0604030504040204" pitchFamily="34" charset="0"/>
                <a:cs typeface="Tahoma" panose="020B0604030504040204" pitchFamily="34" charset="0"/>
              </a:rPr>
              <a:t>LUGAR DE GIRO</a:t>
            </a:r>
          </a:p>
        </xdr:txBody>
      </xdr:sp>
      <xdr:sp macro="" textlink="">
        <xdr:nvSpPr>
          <xdr:cNvPr id="10" name="20 CuadroTexto">
            <a:extLst>
              <a:ext uri="{FF2B5EF4-FFF2-40B4-BE49-F238E27FC236}">
                <a16:creationId xmlns:a16="http://schemas.microsoft.com/office/drawing/2014/main" id="{667AADCD-D658-6CAF-1DB5-11EDB0C0FFE3}"/>
              </a:ext>
            </a:extLst>
          </xdr:cNvPr>
          <xdr:cNvSpPr txBox="1">
            <a:spLocks noChangeArrowheads="1"/>
          </xdr:cNvSpPr>
        </xdr:nvSpPr>
        <xdr:spPr bwMode="auto">
          <a:xfrm>
            <a:off x="5827443" y="1210423"/>
            <a:ext cx="1055687" cy="17674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es-PE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eaLnBrk="1" hangingPunct="1"/>
            <a:r>
              <a:rPr lang="es-ES" sz="600">
                <a:latin typeface="Tahoma" panose="020B0604030504040204" pitchFamily="34" charset="0"/>
                <a:cs typeface="Tahoma" panose="020B0604030504040204" pitchFamily="34" charset="0"/>
              </a:rPr>
              <a:t>FECHA DE VENCIMIENTO</a:t>
            </a:r>
          </a:p>
        </xdr:txBody>
      </xdr:sp>
      <xdr:sp macro="" textlink="">
        <xdr:nvSpPr>
          <xdr:cNvPr id="11" name="21 CuadroTexto">
            <a:extLst>
              <a:ext uri="{FF2B5EF4-FFF2-40B4-BE49-F238E27FC236}">
                <a16:creationId xmlns:a16="http://schemas.microsoft.com/office/drawing/2014/main" id="{3B06592A-B975-B9E9-5319-639C097A4742}"/>
              </a:ext>
            </a:extLst>
          </xdr:cNvPr>
          <xdr:cNvSpPr txBox="1">
            <a:spLocks noChangeArrowheads="1"/>
          </xdr:cNvSpPr>
        </xdr:nvSpPr>
        <xdr:spPr bwMode="auto">
          <a:xfrm>
            <a:off x="7001756" y="1215970"/>
            <a:ext cx="904875" cy="17674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es-PE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eaLnBrk="1" hangingPunct="1"/>
            <a:r>
              <a:rPr lang="es-ES" sz="600">
                <a:latin typeface="Tahoma" panose="020B0604030504040204" pitchFamily="34" charset="0"/>
                <a:cs typeface="Tahoma" panose="020B0604030504040204" pitchFamily="34" charset="0"/>
              </a:rPr>
              <a:t>MONEDA E IMPORTE</a:t>
            </a:r>
          </a:p>
        </xdr:txBody>
      </xdr:sp>
      <xdr:sp macro="" textlink="">
        <xdr:nvSpPr>
          <xdr:cNvPr id="12" name="6 Rectángulo redondeado">
            <a:extLst>
              <a:ext uri="{FF2B5EF4-FFF2-40B4-BE49-F238E27FC236}">
                <a16:creationId xmlns:a16="http://schemas.microsoft.com/office/drawing/2014/main" id="{87EEC4B5-6BB4-AF30-51A3-EEAA538FCA83}"/>
              </a:ext>
            </a:extLst>
          </xdr:cNvPr>
          <xdr:cNvSpPr/>
        </xdr:nvSpPr>
        <xdr:spPr>
          <a:xfrm>
            <a:off x="2324100" y="1219572"/>
            <a:ext cx="5688013" cy="647700"/>
          </a:xfrm>
          <a:prstGeom prst="round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defPPr>
              <a:defRPr lang="es-PE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fontAlgn="auto">
              <a:spcBef>
                <a:spcPts val="0"/>
              </a:spcBef>
              <a:spcAft>
                <a:spcPts val="0"/>
              </a:spcAft>
              <a:defRPr/>
            </a:pPr>
            <a:endParaRPr lang="es-ES" sz="1100">
              <a:ln w="3175">
                <a:solidFill>
                  <a:sysClr val="windowText" lastClr="000000"/>
                </a:solidFill>
              </a:ln>
            </a:endParaRPr>
          </a:p>
        </xdr:txBody>
      </xdr:sp>
      <xdr:cxnSp macro="">
        <xdr:nvCxnSpPr>
          <xdr:cNvPr id="13" name="9 Conector recto">
            <a:extLst>
              <a:ext uri="{FF2B5EF4-FFF2-40B4-BE49-F238E27FC236}">
                <a16:creationId xmlns:a16="http://schemas.microsoft.com/office/drawing/2014/main" id="{BAEFF74C-AE12-9746-CF97-EBB260FEE02D}"/>
              </a:ext>
            </a:extLst>
          </xdr:cNvPr>
          <xdr:cNvCxnSpPr/>
        </xdr:nvCxnSpPr>
        <xdr:spPr>
          <a:xfrm>
            <a:off x="2324100" y="1357313"/>
            <a:ext cx="5688013" cy="1587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11 Conector recto">
            <a:extLst>
              <a:ext uri="{FF2B5EF4-FFF2-40B4-BE49-F238E27FC236}">
                <a16:creationId xmlns:a16="http://schemas.microsoft.com/office/drawing/2014/main" id="{BC63CD8E-FE33-8037-09C4-E3999DCF1847}"/>
              </a:ext>
            </a:extLst>
          </xdr:cNvPr>
          <xdr:cNvCxnSpPr/>
        </xdr:nvCxnSpPr>
        <xdr:spPr>
          <a:xfrm flipH="1">
            <a:off x="2960689" y="1214438"/>
            <a:ext cx="1587" cy="642937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12 Conector recto">
            <a:extLst>
              <a:ext uri="{FF2B5EF4-FFF2-40B4-BE49-F238E27FC236}">
                <a16:creationId xmlns:a16="http://schemas.microsoft.com/office/drawing/2014/main" id="{8624F604-4535-78D1-CE6D-C63DA8FB64C0}"/>
              </a:ext>
            </a:extLst>
          </xdr:cNvPr>
          <xdr:cNvCxnSpPr/>
        </xdr:nvCxnSpPr>
        <xdr:spPr>
          <a:xfrm flipH="1">
            <a:off x="3997325" y="1214438"/>
            <a:ext cx="1588" cy="642937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13 Conector recto">
            <a:extLst>
              <a:ext uri="{FF2B5EF4-FFF2-40B4-BE49-F238E27FC236}">
                <a16:creationId xmlns:a16="http://schemas.microsoft.com/office/drawing/2014/main" id="{5AF95729-A7A9-F0AD-CFEE-FD2DF2CEB37C}"/>
              </a:ext>
            </a:extLst>
          </xdr:cNvPr>
          <xdr:cNvCxnSpPr/>
        </xdr:nvCxnSpPr>
        <xdr:spPr>
          <a:xfrm flipH="1">
            <a:off x="4906964" y="1214438"/>
            <a:ext cx="1587" cy="642937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14 Conector recto">
            <a:extLst>
              <a:ext uri="{FF2B5EF4-FFF2-40B4-BE49-F238E27FC236}">
                <a16:creationId xmlns:a16="http://schemas.microsoft.com/office/drawing/2014/main" id="{7E660DE1-8C58-EA03-F734-5311938C618F}"/>
              </a:ext>
            </a:extLst>
          </xdr:cNvPr>
          <xdr:cNvCxnSpPr/>
        </xdr:nvCxnSpPr>
        <xdr:spPr>
          <a:xfrm flipH="1">
            <a:off x="5727700" y="1214438"/>
            <a:ext cx="1588" cy="642937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15 Conector recto">
            <a:extLst>
              <a:ext uri="{FF2B5EF4-FFF2-40B4-BE49-F238E27FC236}">
                <a16:creationId xmlns:a16="http://schemas.microsoft.com/office/drawing/2014/main" id="{C332543B-90A1-038D-9397-A60D68FE862C}"/>
              </a:ext>
            </a:extLst>
          </xdr:cNvPr>
          <xdr:cNvCxnSpPr/>
        </xdr:nvCxnSpPr>
        <xdr:spPr>
          <a:xfrm flipH="1">
            <a:off x="6926264" y="1214438"/>
            <a:ext cx="1587" cy="642937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23 Conector recto">
            <a:extLst>
              <a:ext uri="{FF2B5EF4-FFF2-40B4-BE49-F238E27FC236}">
                <a16:creationId xmlns:a16="http://schemas.microsoft.com/office/drawing/2014/main" id="{0F76B950-E160-AAF3-3CC3-D65F4C0285F5}"/>
              </a:ext>
            </a:extLst>
          </xdr:cNvPr>
          <xdr:cNvCxnSpPr/>
        </xdr:nvCxnSpPr>
        <xdr:spPr>
          <a:xfrm>
            <a:off x="4002088" y="1533525"/>
            <a:ext cx="900112" cy="1588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24 Conector recto">
            <a:extLst>
              <a:ext uri="{FF2B5EF4-FFF2-40B4-BE49-F238E27FC236}">
                <a16:creationId xmlns:a16="http://schemas.microsoft.com/office/drawing/2014/main" id="{3E1ABCD3-9E28-225E-BAB8-E9195DAF1A75}"/>
              </a:ext>
            </a:extLst>
          </xdr:cNvPr>
          <xdr:cNvCxnSpPr/>
        </xdr:nvCxnSpPr>
        <xdr:spPr>
          <a:xfrm>
            <a:off x="5737225" y="1530350"/>
            <a:ext cx="1187450" cy="1588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" name="25 CuadroTexto">
            <a:extLst>
              <a:ext uri="{FF2B5EF4-FFF2-40B4-BE49-F238E27FC236}">
                <a16:creationId xmlns:a16="http://schemas.microsoft.com/office/drawing/2014/main" id="{8EFABC35-C073-866A-5377-81E185876B1D}"/>
              </a:ext>
            </a:extLst>
          </xdr:cNvPr>
          <xdr:cNvSpPr txBox="1">
            <a:spLocks noChangeArrowheads="1"/>
          </xdr:cNvSpPr>
        </xdr:nvSpPr>
        <xdr:spPr bwMode="auto">
          <a:xfrm>
            <a:off x="4093961" y="1375505"/>
            <a:ext cx="765175" cy="17674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es-PE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eaLnBrk="1" hangingPunct="1"/>
            <a:r>
              <a:rPr lang="es-ES" sz="600">
                <a:latin typeface="Tahoma" panose="020B0604030504040204" pitchFamily="34" charset="0"/>
                <a:cs typeface="Tahoma" panose="020B0604030504040204" pitchFamily="34" charset="0"/>
              </a:rPr>
              <a:t>DIA / MES / AÑO</a:t>
            </a:r>
          </a:p>
        </xdr:txBody>
      </xdr:sp>
      <xdr:sp macro="" textlink="">
        <xdr:nvSpPr>
          <xdr:cNvPr id="22" name="26 CuadroTexto">
            <a:extLst>
              <a:ext uri="{FF2B5EF4-FFF2-40B4-BE49-F238E27FC236}">
                <a16:creationId xmlns:a16="http://schemas.microsoft.com/office/drawing/2014/main" id="{E4032638-B09E-53C9-8325-1A56391E938A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60353" y="1369957"/>
            <a:ext cx="765175" cy="17674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es-PE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eaLnBrk="1" hangingPunct="1"/>
            <a:r>
              <a:rPr lang="es-ES" sz="600">
                <a:latin typeface="Tahoma" panose="020B0604030504040204" pitchFamily="34" charset="0"/>
                <a:cs typeface="Tahoma" panose="020B0604030504040204" pitchFamily="34" charset="0"/>
              </a:rPr>
              <a:t>DIA / MES / AÑO</a:t>
            </a:r>
          </a:p>
        </xdr:txBody>
      </xdr:sp>
      <xdr:sp macro="" textlink="">
        <xdr:nvSpPr>
          <xdr:cNvPr id="23" name="28 CuadroTexto">
            <a:extLst>
              <a:ext uri="{FF2B5EF4-FFF2-40B4-BE49-F238E27FC236}">
                <a16:creationId xmlns:a16="http://schemas.microsoft.com/office/drawing/2014/main" id="{A9B34630-E074-E1AA-472D-90877214176A}"/>
              </a:ext>
            </a:extLst>
          </xdr:cNvPr>
          <xdr:cNvSpPr txBox="1">
            <a:spLocks noChangeArrowheads="1"/>
          </xdr:cNvSpPr>
        </xdr:nvSpPr>
        <xdr:spPr bwMode="auto">
          <a:xfrm>
            <a:off x="2233612" y="1855788"/>
            <a:ext cx="4142718" cy="18096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es-PE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eaLnBrk="1" hangingPunct="1"/>
            <a:r>
              <a:rPr lang="es-ES" sz="600">
                <a:latin typeface="Tahoma" panose="020B0604030504040204" pitchFamily="34" charset="0"/>
                <a:cs typeface="Tahoma" panose="020B0604030504040204" pitchFamily="34" charset="0"/>
              </a:rPr>
              <a:t>Por esta LETRA DE CAMBIO, se servirá(n) pagar incondicionalmente a la Orden del </a:t>
            </a:r>
            <a:r>
              <a:rPr lang="es-ES" sz="600" b="1">
                <a:latin typeface="Tahoma" panose="020B0604030504040204" pitchFamily="34" charset="0"/>
                <a:cs typeface="Tahoma" panose="020B0604030504040204" pitchFamily="34" charset="0"/>
              </a:rPr>
              <a:t>GIRADOR </a:t>
            </a:r>
            <a:r>
              <a:rPr lang="es-ES" sz="600">
                <a:latin typeface="Tahoma" panose="020B0604030504040204" pitchFamily="34" charset="0"/>
                <a:cs typeface="Tahoma" panose="020B0604030504040204" pitchFamily="34" charset="0"/>
              </a:rPr>
              <a:t>la cantidad de:</a:t>
            </a:r>
          </a:p>
        </xdr:txBody>
      </xdr:sp>
      <xdr:sp macro="" textlink="">
        <xdr:nvSpPr>
          <xdr:cNvPr id="24" name="29 CuadroTexto">
            <a:extLst>
              <a:ext uri="{FF2B5EF4-FFF2-40B4-BE49-F238E27FC236}">
                <a16:creationId xmlns:a16="http://schemas.microsoft.com/office/drawing/2014/main" id="{EAC32CEF-03D0-5CBA-C9AF-0456EB40F0B3}"/>
              </a:ext>
            </a:extLst>
          </xdr:cNvPr>
          <xdr:cNvSpPr txBox="1">
            <a:spLocks noChangeArrowheads="1"/>
          </xdr:cNvSpPr>
        </xdr:nvSpPr>
        <xdr:spPr bwMode="auto">
          <a:xfrm>
            <a:off x="2252663" y="2244725"/>
            <a:ext cx="2767012" cy="17674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es-PE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eaLnBrk="1" hangingPunct="1"/>
            <a:r>
              <a:rPr lang="es-PE" sz="600">
                <a:latin typeface="Tahoma" panose="020B0604030504040204" pitchFamily="34" charset="0"/>
                <a:cs typeface="Tahoma" panose="020B0604030504040204" pitchFamily="34" charset="0"/>
              </a:rPr>
              <a:t>En el siguiente lugar de pago, o con cargo en la cuenta corriente del Banco:</a:t>
            </a:r>
            <a:endParaRPr lang="es-ES" sz="600">
              <a:latin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5" name="39 CuadroTexto">
            <a:extLst>
              <a:ext uri="{FF2B5EF4-FFF2-40B4-BE49-F238E27FC236}">
                <a16:creationId xmlns:a16="http://schemas.microsoft.com/office/drawing/2014/main" id="{1535D8DE-D99F-A1E2-88EC-F79FDEDC678C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24100" y="2420888"/>
            <a:ext cx="3106737" cy="14699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noAutofit/>
          </a:bodyPr>
          <a:lstStyle>
            <a:defPPr>
              <a:defRPr lang="es-PE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eaLnBrk="1" hangingPunct="1"/>
            <a:r>
              <a:rPr lang="es-ES" sz="600">
                <a:latin typeface="Tahoma" panose="020B0604030504040204" pitchFamily="34" charset="0"/>
                <a:cs typeface="Tahoma" panose="020B0604030504040204" pitchFamily="34" charset="0"/>
              </a:rPr>
              <a:t>ACEPTANTE :</a:t>
            </a:r>
            <a:endParaRPr lang="es-ES" sz="600" b="1">
              <a:latin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6" name="40 CuadroTexto">
            <a:extLst>
              <a:ext uri="{FF2B5EF4-FFF2-40B4-BE49-F238E27FC236}">
                <a16:creationId xmlns:a16="http://schemas.microsoft.com/office/drawing/2014/main" id="{87A0F99F-983E-A20D-26EE-6EC6563C9A6C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10940" y="2656051"/>
            <a:ext cx="3044825" cy="17674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es-PE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eaLnBrk="1" hangingPunct="1"/>
            <a:r>
              <a:rPr lang="es-ES" sz="600">
                <a:latin typeface="Tahoma" panose="020B0604030504040204" pitchFamily="34" charset="0"/>
                <a:cs typeface="Tahoma" panose="020B0604030504040204" pitchFamily="34" charset="0"/>
              </a:rPr>
              <a:t>DOMICILIO :</a:t>
            </a:r>
            <a:endParaRPr lang="es-ES" sz="600" b="1">
              <a:latin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7" name="41 CuadroTexto">
            <a:extLst>
              <a:ext uri="{FF2B5EF4-FFF2-40B4-BE49-F238E27FC236}">
                <a16:creationId xmlns:a16="http://schemas.microsoft.com/office/drawing/2014/main" id="{EC5D5161-C946-DF08-A59A-B8F74231CDAE}"/>
              </a:ext>
            </a:extLst>
          </xdr:cNvPr>
          <xdr:cNvSpPr txBox="1">
            <a:spLocks noChangeArrowheads="1"/>
          </xdr:cNvSpPr>
        </xdr:nvSpPr>
        <xdr:spPr bwMode="auto">
          <a:xfrm>
            <a:off x="3631987" y="2999459"/>
            <a:ext cx="717790" cy="19010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es-PE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eaLnBrk="1" hangingPunct="1"/>
            <a:r>
              <a:rPr lang="es-ES" sz="600">
                <a:latin typeface="Tahoma" panose="020B0604030504040204" pitchFamily="34" charset="0"/>
                <a:cs typeface="Tahoma" panose="020B0604030504040204" pitchFamily="34" charset="0"/>
              </a:rPr>
              <a:t>TELEFONO</a:t>
            </a:r>
            <a:r>
              <a:rPr lang="es-ES" sz="700">
                <a:latin typeface="Tahoma" panose="020B0604030504040204" pitchFamily="34" charset="0"/>
                <a:cs typeface="Tahoma" panose="020B0604030504040204" pitchFamily="34" charset="0"/>
              </a:rPr>
              <a:t> :</a:t>
            </a:r>
            <a:endParaRPr lang="es-ES" sz="700" b="1">
              <a:latin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8" name="42 CuadroTexto">
            <a:extLst>
              <a:ext uri="{FF2B5EF4-FFF2-40B4-BE49-F238E27FC236}">
                <a16:creationId xmlns:a16="http://schemas.microsoft.com/office/drawing/2014/main" id="{328A9294-98F0-6CC7-18AF-4A3DD2DF1C2B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43839" y="3005935"/>
            <a:ext cx="424231" cy="19010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es-PE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algn="l" eaLnBrk="1" hangingPunct="1"/>
            <a:r>
              <a:rPr lang="es-ES" sz="600">
                <a:latin typeface="Tahoma" panose="020B0604030504040204" pitchFamily="34" charset="0"/>
                <a:cs typeface="Tahoma" panose="020B0604030504040204" pitchFamily="34" charset="0"/>
              </a:rPr>
              <a:t>RUC</a:t>
            </a:r>
            <a:r>
              <a:rPr lang="es-ES" sz="700">
                <a:latin typeface="Tahoma" panose="020B0604030504040204" pitchFamily="34" charset="0"/>
                <a:cs typeface="Tahoma" panose="020B0604030504040204" pitchFamily="34" charset="0"/>
              </a:rPr>
              <a:t> : </a:t>
            </a:r>
            <a:endParaRPr lang="es-ES" sz="7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9" name="44 Rectángulo redondeado">
            <a:extLst>
              <a:ext uri="{FF2B5EF4-FFF2-40B4-BE49-F238E27FC236}">
                <a16:creationId xmlns:a16="http://schemas.microsoft.com/office/drawing/2014/main" id="{07DFFCA3-8602-8144-F02F-33A3E3093C11}"/>
              </a:ext>
            </a:extLst>
          </xdr:cNvPr>
          <xdr:cNvSpPr/>
        </xdr:nvSpPr>
        <xdr:spPr>
          <a:xfrm>
            <a:off x="2286000" y="3214688"/>
            <a:ext cx="3181350" cy="1357312"/>
          </a:xfrm>
          <a:prstGeom prst="round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defPPr>
              <a:defRPr lang="es-PE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fontAlgn="auto">
              <a:spcBef>
                <a:spcPts val="0"/>
              </a:spcBef>
              <a:spcAft>
                <a:spcPts val="0"/>
              </a:spcAft>
              <a:defRPr/>
            </a:pPr>
            <a:endParaRPr lang="es-ES" sz="1100"/>
          </a:p>
        </xdr:txBody>
      </xdr:sp>
      <xdr:sp macro="" textlink="">
        <xdr:nvSpPr>
          <xdr:cNvPr id="30" name="45 CuadroTexto">
            <a:extLst>
              <a:ext uri="{FF2B5EF4-FFF2-40B4-BE49-F238E27FC236}">
                <a16:creationId xmlns:a16="http://schemas.microsoft.com/office/drawing/2014/main" id="{E0FD40D4-D0B5-4FA8-EF7E-8B3045AD9DEE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10358" y="3221070"/>
            <a:ext cx="1836680" cy="17674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es-PE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eaLnBrk="1" hangingPunct="1"/>
            <a:r>
              <a:rPr lang="es-ES" sz="600" b="1">
                <a:latin typeface="Tahoma" panose="020B0604030504040204" pitchFamily="34" charset="0"/>
                <a:cs typeface="Tahoma" panose="020B0604030504040204" pitchFamily="34" charset="0"/>
              </a:rPr>
              <a:t>DEPOSITARIO / FIADOR SOLIDARIO</a:t>
            </a:r>
          </a:p>
        </xdr:txBody>
      </xdr:sp>
      <xdr:grpSp>
        <xdr:nvGrpSpPr>
          <xdr:cNvPr id="31" name="62 Grupo">
            <a:extLst>
              <a:ext uri="{FF2B5EF4-FFF2-40B4-BE49-F238E27FC236}">
                <a16:creationId xmlns:a16="http://schemas.microsoft.com/office/drawing/2014/main" id="{331F8B83-0815-FA34-86B3-35EB24052A9E}"/>
              </a:ext>
            </a:extLst>
          </xdr:cNvPr>
          <xdr:cNvGrpSpPr>
            <a:grpSpLocks/>
          </xdr:cNvGrpSpPr>
        </xdr:nvGrpSpPr>
        <xdr:grpSpPr bwMode="auto">
          <a:xfrm>
            <a:off x="2324100" y="2428877"/>
            <a:ext cx="5645151" cy="785814"/>
            <a:chOff x="2285984" y="2428868"/>
            <a:chExt cx="5644874" cy="934410"/>
          </a:xfrm>
        </xdr:grpSpPr>
        <xdr:sp macro="" textlink="">
          <xdr:nvSpPr>
            <xdr:cNvPr id="53" name="31 Arco">
              <a:extLst>
                <a:ext uri="{FF2B5EF4-FFF2-40B4-BE49-F238E27FC236}">
                  <a16:creationId xmlns:a16="http://schemas.microsoft.com/office/drawing/2014/main" id="{EE38DD00-C57A-C38A-C231-8D02FB55D69E}"/>
                </a:ext>
              </a:extLst>
            </xdr:cNvPr>
            <xdr:cNvSpPr/>
          </xdr:nvSpPr>
          <xdr:spPr>
            <a:xfrm flipH="1">
              <a:off x="2287572" y="2428868"/>
              <a:ext cx="142868" cy="213310"/>
            </a:xfrm>
            <a:prstGeom prst="arc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wrap="square" anchor="ctr"/>
            <a:lstStyle>
              <a:defPPr>
                <a:defRPr lang="es-PE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auto">
                <a:spcBef>
                  <a:spcPts val="0"/>
                </a:spcBef>
                <a:spcAft>
                  <a:spcPts val="0"/>
                </a:spcAft>
                <a:defRPr/>
              </a:pPr>
              <a:endParaRPr lang="es-ES" sz="1100"/>
            </a:p>
          </xdr:txBody>
        </xdr:sp>
        <xdr:cxnSp macro="">
          <xdr:nvCxnSpPr>
            <xdr:cNvPr id="54" name="33 Conector recto">
              <a:extLst>
                <a:ext uri="{FF2B5EF4-FFF2-40B4-BE49-F238E27FC236}">
                  <a16:creationId xmlns:a16="http://schemas.microsoft.com/office/drawing/2014/main" id="{436D8ADB-8FE1-CF74-8FC5-DD3462477D06}"/>
                </a:ext>
              </a:extLst>
            </xdr:cNvPr>
            <xdr:cNvCxnSpPr>
              <a:stCxn id="53" idx="0"/>
            </xdr:cNvCxnSpPr>
          </xdr:nvCxnSpPr>
          <xdr:spPr>
            <a:xfrm>
              <a:off x="2359006" y="2428868"/>
              <a:ext cx="5471843" cy="1888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5" name="35 Conector recto">
              <a:extLst>
                <a:ext uri="{FF2B5EF4-FFF2-40B4-BE49-F238E27FC236}">
                  <a16:creationId xmlns:a16="http://schemas.microsoft.com/office/drawing/2014/main" id="{6912AE93-71ED-6EAF-FDF4-A1897C370F76}"/>
                </a:ext>
              </a:extLst>
            </xdr:cNvPr>
            <xdr:cNvCxnSpPr>
              <a:stCxn id="53" idx="2"/>
            </xdr:cNvCxnSpPr>
          </xdr:nvCxnSpPr>
          <xdr:spPr>
            <a:xfrm flipH="1">
              <a:off x="2285984" y="2535523"/>
              <a:ext cx="1588" cy="757910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56" name="36 Arco">
              <a:extLst>
                <a:ext uri="{FF2B5EF4-FFF2-40B4-BE49-F238E27FC236}">
                  <a16:creationId xmlns:a16="http://schemas.microsoft.com/office/drawing/2014/main" id="{349E189A-9A16-75D3-2672-2E24FD01EA4D}"/>
                </a:ext>
              </a:extLst>
            </xdr:cNvPr>
            <xdr:cNvSpPr/>
          </xdr:nvSpPr>
          <xdr:spPr>
            <a:xfrm>
              <a:off x="7724491" y="2428868"/>
              <a:ext cx="204778" cy="213310"/>
            </a:xfrm>
            <a:prstGeom prst="arc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wrap="square" anchor="ctr"/>
            <a:lstStyle>
              <a:defPPr>
                <a:defRPr lang="es-PE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auto">
                <a:spcBef>
                  <a:spcPts val="0"/>
                </a:spcBef>
                <a:spcAft>
                  <a:spcPts val="0"/>
                </a:spcAft>
                <a:defRPr/>
              </a:pPr>
              <a:endParaRPr lang="es-ES" sz="1100"/>
            </a:p>
          </xdr:txBody>
        </xdr:sp>
        <xdr:cxnSp macro="">
          <xdr:nvCxnSpPr>
            <xdr:cNvPr id="57" name="37 Conector recto">
              <a:extLst>
                <a:ext uri="{FF2B5EF4-FFF2-40B4-BE49-F238E27FC236}">
                  <a16:creationId xmlns:a16="http://schemas.microsoft.com/office/drawing/2014/main" id="{E285805E-2FD1-1862-329B-045A988C83ED}"/>
                </a:ext>
              </a:extLst>
            </xdr:cNvPr>
            <xdr:cNvCxnSpPr/>
          </xdr:nvCxnSpPr>
          <xdr:spPr>
            <a:xfrm flipH="1">
              <a:off x="7929271" y="2515766"/>
              <a:ext cx="1587" cy="322797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58" name="38 Arco">
              <a:extLst>
                <a:ext uri="{FF2B5EF4-FFF2-40B4-BE49-F238E27FC236}">
                  <a16:creationId xmlns:a16="http://schemas.microsoft.com/office/drawing/2014/main" id="{E38E47FD-7E0E-7CD8-B48B-2824DCABA6E7}"/>
                </a:ext>
              </a:extLst>
            </xdr:cNvPr>
            <xdr:cNvSpPr/>
          </xdr:nvSpPr>
          <xdr:spPr>
            <a:xfrm flipH="1" flipV="1">
              <a:off x="2287572" y="3221700"/>
              <a:ext cx="142868" cy="134027"/>
            </a:xfrm>
            <a:prstGeom prst="arc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wrap="square" anchor="ctr"/>
            <a:lstStyle>
              <a:defPPr>
                <a:defRPr lang="es-PE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auto">
                <a:spcBef>
                  <a:spcPts val="0"/>
                </a:spcBef>
                <a:spcAft>
                  <a:spcPts val="0"/>
                </a:spcAft>
                <a:defRPr/>
              </a:pPr>
              <a:endParaRPr lang="es-ES" sz="1100"/>
            </a:p>
          </xdr:txBody>
        </xdr:sp>
        <xdr:cxnSp macro="">
          <xdr:nvCxnSpPr>
            <xdr:cNvPr id="59" name="43 Conector recto">
              <a:extLst>
                <a:ext uri="{FF2B5EF4-FFF2-40B4-BE49-F238E27FC236}">
                  <a16:creationId xmlns:a16="http://schemas.microsoft.com/office/drawing/2014/main" id="{343304E7-47D3-603F-0334-A5E64210D6C2}"/>
                </a:ext>
              </a:extLst>
            </xdr:cNvPr>
            <xdr:cNvCxnSpPr/>
          </xdr:nvCxnSpPr>
          <xdr:spPr>
            <a:xfrm>
              <a:off x="2359005" y="3357614"/>
              <a:ext cx="3022451" cy="0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60" name="50 Arco">
              <a:extLst>
                <a:ext uri="{FF2B5EF4-FFF2-40B4-BE49-F238E27FC236}">
                  <a16:creationId xmlns:a16="http://schemas.microsoft.com/office/drawing/2014/main" id="{4C474F3F-7304-F446-0AF0-59AA33510590}"/>
                </a:ext>
              </a:extLst>
            </xdr:cNvPr>
            <xdr:cNvSpPr/>
          </xdr:nvSpPr>
          <xdr:spPr>
            <a:xfrm flipV="1">
              <a:off x="5281450" y="3229251"/>
              <a:ext cx="133343" cy="134027"/>
            </a:xfrm>
            <a:prstGeom prst="arc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wrap="square" anchor="ctr"/>
            <a:lstStyle>
              <a:defPPr>
                <a:defRPr lang="es-PE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auto">
                <a:spcBef>
                  <a:spcPts val="0"/>
                </a:spcBef>
                <a:spcAft>
                  <a:spcPts val="0"/>
                </a:spcAft>
                <a:defRPr/>
              </a:pPr>
              <a:endParaRPr lang="es-ES" sz="1100"/>
            </a:p>
          </xdr:txBody>
        </xdr:sp>
        <xdr:sp macro="" textlink="">
          <xdr:nvSpPr>
            <xdr:cNvPr id="61" name="51 Arco">
              <a:extLst>
                <a:ext uri="{FF2B5EF4-FFF2-40B4-BE49-F238E27FC236}">
                  <a16:creationId xmlns:a16="http://schemas.microsoft.com/office/drawing/2014/main" id="{CC0A0213-C143-06E1-AC7F-FBFF156DE32D}"/>
                </a:ext>
              </a:extLst>
            </xdr:cNvPr>
            <xdr:cNvSpPr/>
          </xdr:nvSpPr>
          <xdr:spPr>
            <a:xfrm flipH="1">
              <a:off x="5414793" y="2895129"/>
              <a:ext cx="142868" cy="215197"/>
            </a:xfrm>
            <a:prstGeom prst="arc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wrap="square" anchor="ctr"/>
            <a:lstStyle>
              <a:defPPr>
                <a:defRPr lang="es-PE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auto">
                <a:spcBef>
                  <a:spcPts val="0"/>
                </a:spcBef>
                <a:spcAft>
                  <a:spcPts val="0"/>
                </a:spcAft>
                <a:defRPr/>
              </a:pPr>
              <a:endParaRPr lang="es-ES" sz="1100"/>
            </a:p>
          </xdr:txBody>
        </xdr:sp>
        <xdr:sp macro="" textlink="">
          <xdr:nvSpPr>
            <xdr:cNvPr id="62" name="52 Arco">
              <a:extLst>
                <a:ext uri="{FF2B5EF4-FFF2-40B4-BE49-F238E27FC236}">
                  <a16:creationId xmlns:a16="http://schemas.microsoft.com/office/drawing/2014/main" id="{BFA75562-6D94-CF06-C80B-ACB52F6702E1}"/>
                </a:ext>
              </a:extLst>
            </xdr:cNvPr>
            <xdr:cNvSpPr/>
          </xdr:nvSpPr>
          <xdr:spPr>
            <a:xfrm flipV="1">
              <a:off x="7795926" y="2761102"/>
              <a:ext cx="133343" cy="132139"/>
            </a:xfrm>
            <a:prstGeom prst="arc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wrap="square" anchor="ctr"/>
            <a:lstStyle>
              <a:defPPr>
                <a:defRPr lang="es-PE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auto">
                <a:spcBef>
                  <a:spcPts val="0"/>
                </a:spcBef>
                <a:spcAft>
                  <a:spcPts val="0"/>
                </a:spcAft>
                <a:defRPr/>
              </a:pPr>
              <a:endParaRPr lang="es-ES" sz="1100"/>
            </a:p>
          </xdr:txBody>
        </xdr:sp>
        <xdr:cxnSp macro="">
          <xdr:nvCxnSpPr>
            <xdr:cNvPr id="63" name="53 Conector recto">
              <a:extLst>
                <a:ext uri="{FF2B5EF4-FFF2-40B4-BE49-F238E27FC236}">
                  <a16:creationId xmlns:a16="http://schemas.microsoft.com/office/drawing/2014/main" id="{9945EF7D-AD80-5F8D-C9FB-6465582D3A3F}"/>
                </a:ext>
              </a:extLst>
            </xdr:cNvPr>
            <xdr:cNvCxnSpPr/>
          </xdr:nvCxnSpPr>
          <xdr:spPr>
            <a:xfrm>
              <a:off x="5486227" y="2895129"/>
              <a:ext cx="2376371" cy="1887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" name="54 Conector recto">
              <a:extLst>
                <a:ext uri="{FF2B5EF4-FFF2-40B4-BE49-F238E27FC236}">
                  <a16:creationId xmlns:a16="http://schemas.microsoft.com/office/drawing/2014/main" id="{2517570E-C6AE-4C05-284C-F3969E4E6536}"/>
                </a:ext>
              </a:extLst>
            </xdr:cNvPr>
            <xdr:cNvCxnSpPr/>
          </xdr:nvCxnSpPr>
          <xdr:spPr>
            <a:xfrm flipH="1">
              <a:off x="5414793" y="2980076"/>
              <a:ext cx="1587" cy="326572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32" name="77 Conector recto">
            <a:extLst>
              <a:ext uri="{FF2B5EF4-FFF2-40B4-BE49-F238E27FC236}">
                <a16:creationId xmlns:a16="http://schemas.microsoft.com/office/drawing/2014/main" id="{4F89C3F0-A95D-0F63-41F4-F48938A9DABA}"/>
              </a:ext>
            </a:extLst>
          </xdr:cNvPr>
          <xdr:cNvCxnSpPr/>
        </xdr:nvCxnSpPr>
        <xdr:spPr>
          <a:xfrm>
            <a:off x="511175" y="4605338"/>
            <a:ext cx="7561263" cy="1587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" name="83 Rectángulo redondeado">
            <a:extLst>
              <a:ext uri="{FF2B5EF4-FFF2-40B4-BE49-F238E27FC236}">
                <a16:creationId xmlns:a16="http://schemas.microsoft.com/office/drawing/2014/main" id="{AA20E050-34B6-7F69-4248-CA6FB1C6C220}"/>
              </a:ext>
            </a:extLst>
          </xdr:cNvPr>
          <xdr:cNvSpPr/>
        </xdr:nvSpPr>
        <xdr:spPr>
          <a:xfrm>
            <a:off x="5492750" y="2928938"/>
            <a:ext cx="2474913" cy="1643062"/>
          </a:xfrm>
          <a:prstGeom prst="round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defPPr>
              <a:defRPr lang="es-PE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fontAlgn="auto">
              <a:spcBef>
                <a:spcPts val="0"/>
              </a:spcBef>
              <a:spcAft>
                <a:spcPts val="0"/>
              </a:spcAft>
              <a:defRPr/>
            </a:pPr>
            <a:endParaRPr lang="es-ES" sz="1100"/>
          </a:p>
        </xdr:txBody>
      </xdr:sp>
      <xdr:sp macro="" textlink="">
        <xdr:nvSpPr>
          <xdr:cNvPr id="34" name="84 CuadroTexto">
            <a:extLst>
              <a:ext uri="{FF2B5EF4-FFF2-40B4-BE49-F238E27FC236}">
                <a16:creationId xmlns:a16="http://schemas.microsoft.com/office/drawing/2014/main" id="{7E732761-3A0C-AE12-837C-F642D8D66AAC}"/>
              </a:ext>
            </a:extLst>
          </xdr:cNvPr>
          <xdr:cNvSpPr txBox="1">
            <a:spLocks noChangeArrowheads="1"/>
          </xdr:cNvSpPr>
        </xdr:nvSpPr>
        <xdr:spPr bwMode="auto">
          <a:xfrm>
            <a:off x="5483225" y="2992438"/>
            <a:ext cx="2456122" cy="7035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es-PE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eaLnBrk="1" hangingPunct="1"/>
            <a:r>
              <a:rPr lang="es-ES" sz="600">
                <a:latin typeface="Tahoma" panose="020B0604030504040204" pitchFamily="34" charset="0"/>
                <a:cs typeface="Tahoma" panose="020B0604030504040204" pitchFamily="34" charset="0"/>
              </a:rPr>
              <a:t>Girador:</a:t>
            </a:r>
          </a:p>
          <a:p>
            <a:pPr eaLnBrk="1" hangingPunct="1"/>
            <a:r>
              <a:rPr lang="es-ES" sz="600" b="1">
                <a:latin typeface="Tahoma" panose="020B0604030504040204" pitchFamily="34" charset="0"/>
                <a:cs typeface="Tahoma" panose="020B0604030504040204" pitchFamily="34" charset="0"/>
              </a:rPr>
              <a:t>INANDES FACTOR CAPITAL S.A.C.</a:t>
            </a:r>
          </a:p>
          <a:p>
            <a:pPr eaLnBrk="1" hangingPunct="1"/>
            <a:r>
              <a:rPr lang="es-ES" sz="600" b="1">
                <a:latin typeface="Tahoma" panose="020B0604030504040204" pitchFamily="34" charset="0"/>
                <a:cs typeface="Tahoma" panose="020B0604030504040204" pitchFamily="34" charset="0"/>
              </a:rPr>
              <a:t>RUC 20601555434</a:t>
            </a:r>
          </a:p>
          <a:p>
            <a:pPr eaLnBrk="1" hangingPunct="1"/>
            <a:r>
              <a:rPr lang="es-ES_tradnl" sz="600" b="1">
                <a:latin typeface="Tahoma" panose="020B0604030504040204" pitchFamily="34" charset="0"/>
                <a:cs typeface="Tahoma" panose="020B0604030504040204" pitchFamily="34" charset="0"/>
              </a:rPr>
              <a:t>Juan Ricardo Gallo Pizarro – Gerente General</a:t>
            </a:r>
          </a:p>
          <a:p>
            <a:pPr eaLnBrk="1" hangingPunct="1"/>
            <a:r>
              <a:rPr lang="es-ES" sz="600">
                <a:latin typeface="Tahoma" panose="020B0604030504040204" pitchFamily="34" charset="0"/>
                <a:cs typeface="Tahoma" panose="020B0604030504040204" pitchFamily="34" charset="0"/>
              </a:rPr>
              <a:t>DNI.: 02816271</a:t>
            </a:r>
          </a:p>
          <a:p>
            <a:pPr eaLnBrk="1" hangingPunct="1"/>
            <a:r>
              <a:rPr lang="es-PE" sz="600">
                <a:latin typeface="Tahoma" panose="020B0604030504040204" pitchFamily="34" charset="0"/>
                <a:cs typeface="Tahoma" panose="020B0604030504040204" pitchFamily="34" charset="0"/>
              </a:rPr>
              <a:t>Dirección: Calle Los Tulipanes 147 Oficina 306 - Urb. El Polo Hunt, </a:t>
            </a:r>
          </a:p>
          <a:p>
            <a:pPr eaLnBrk="1" hangingPunct="1"/>
            <a:r>
              <a:rPr lang="es-PE" sz="600">
                <a:latin typeface="Tahoma" panose="020B0604030504040204" pitchFamily="34" charset="0"/>
                <a:cs typeface="Tahoma" panose="020B0604030504040204" pitchFamily="34" charset="0"/>
              </a:rPr>
              <a:t>Distrito de Santiago de Surco, provincia y departamento de Lima</a:t>
            </a:r>
            <a:endParaRPr lang="es-ES" sz="600">
              <a:latin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35" name="85 CuadroTexto">
            <a:extLst>
              <a:ext uri="{FF2B5EF4-FFF2-40B4-BE49-F238E27FC236}">
                <a16:creationId xmlns:a16="http://schemas.microsoft.com/office/drawing/2014/main" id="{B4247ACF-970C-0655-49B6-22AB4EA452B9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09292" y="4127884"/>
            <a:ext cx="1590602" cy="35148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es-PE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algn="ctr" eaLnBrk="1" hangingPunct="1"/>
            <a:r>
              <a:rPr lang="es-ES" sz="600" b="1">
                <a:latin typeface="Tahoma" panose="020B0604030504040204" pitchFamily="34" charset="0"/>
                <a:cs typeface="Tahoma" panose="020B0604030504040204" pitchFamily="34" charset="0"/>
              </a:rPr>
              <a:t>INANDES FACTOR CAPITAL SAC</a:t>
            </a:r>
          </a:p>
          <a:p>
            <a:pPr algn="ctr" eaLnBrk="1" hangingPunct="1"/>
            <a:r>
              <a:rPr lang="es-ES" sz="600">
                <a:latin typeface="Tahoma" panose="020B0604030504040204" pitchFamily="34" charset="0"/>
                <a:cs typeface="Tahoma" panose="020B0604030504040204" pitchFamily="34" charset="0"/>
              </a:rPr>
              <a:t>Juan Ricardo Gallo Pizarro</a:t>
            </a:r>
          </a:p>
          <a:p>
            <a:pPr algn="ctr" eaLnBrk="1" hangingPunct="1"/>
            <a:endParaRPr lang="es-ES" sz="600">
              <a:latin typeface="Tahoma" panose="020B0604030504040204" pitchFamily="34" charset="0"/>
              <a:cs typeface="Tahoma" panose="020B0604030504040204" pitchFamily="34" charset="0"/>
            </a:endParaRPr>
          </a:p>
        </xdr:txBody>
      </xdr:sp>
      <xdr:cxnSp macro="">
        <xdr:nvCxnSpPr>
          <xdr:cNvPr id="36" name="86 Conector recto">
            <a:extLst>
              <a:ext uri="{FF2B5EF4-FFF2-40B4-BE49-F238E27FC236}">
                <a16:creationId xmlns:a16="http://schemas.microsoft.com/office/drawing/2014/main" id="{B1D55654-AEE7-FAA9-81DB-8030D1BADDD4}"/>
              </a:ext>
            </a:extLst>
          </xdr:cNvPr>
          <xdr:cNvCxnSpPr/>
        </xdr:nvCxnSpPr>
        <xdr:spPr>
          <a:xfrm>
            <a:off x="5954256" y="4117423"/>
            <a:ext cx="1452562" cy="0"/>
          </a:xfrm>
          <a:prstGeom prst="line">
            <a:avLst/>
          </a:prstGeom>
          <a:ln w="12700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89 CuadroTexto">
            <a:extLst>
              <a:ext uri="{FF2B5EF4-FFF2-40B4-BE49-F238E27FC236}">
                <a16:creationId xmlns:a16="http://schemas.microsoft.com/office/drawing/2014/main" id="{918D32CE-8389-89D1-1E2B-EB924ABD42FD}"/>
              </a:ext>
            </a:extLst>
          </xdr:cNvPr>
          <xdr:cNvSpPr txBox="1">
            <a:spLocks noChangeArrowheads="1"/>
          </xdr:cNvSpPr>
        </xdr:nvSpPr>
        <xdr:spPr bwMode="auto">
          <a:xfrm>
            <a:off x="6330950" y="4324522"/>
            <a:ext cx="675185" cy="17674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es-PE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eaLnBrk="1" hangingPunct="1"/>
            <a:r>
              <a:rPr lang="es-ES" sz="600">
                <a:latin typeface="Tahoma" panose="020B0604030504040204" pitchFamily="34" charset="0"/>
                <a:cs typeface="Tahoma" panose="020B0604030504040204" pitchFamily="34" charset="0"/>
              </a:rPr>
              <a:t>DNI 02816271</a:t>
            </a:r>
          </a:p>
        </xdr:txBody>
      </xdr:sp>
      <xdr:sp macro="" textlink="">
        <xdr:nvSpPr>
          <xdr:cNvPr id="38" name="91 CuadroTexto">
            <a:extLst>
              <a:ext uri="{FF2B5EF4-FFF2-40B4-BE49-F238E27FC236}">
                <a16:creationId xmlns:a16="http://schemas.microsoft.com/office/drawing/2014/main" id="{E0BFE4D2-54D1-E5D8-FE73-80813381F233}"/>
              </a:ext>
            </a:extLst>
          </xdr:cNvPr>
          <xdr:cNvSpPr txBox="1">
            <a:spLocks noChangeArrowheads="1"/>
          </xdr:cNvSpPr>
        </xdr:nvSpPr>
        <xdr:spPr bwMode="auto">
          <a:xfrm>
            <a:off x="438150" y="4576763"/>
            <a:ext cx="2375355" cy="2111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es-PE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eaLnBrk="1" hangingPunct="1"/>
            <a:r>
              <a:rPr lang="es-PE" sz="800">
                <a:latin typeface="Tahoma" panose="020B0604030504040204" pitchFamily="34" charset="0"/>
                <a:cs typeface="Tahoma" panose="020B0604030504040204" pitchFamily="34" charset="0"/>
              </a:rPr>
              <a:t>No escribir ni firmar debajo de esta línea</a:t>
            </a:r>
            <a:endParaRPr lang="es-ES" sz="800">
              <a:latin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39" name="92 CuadroTexto">
            <a:extLst>
              <a:ext uri="{FF2B5EF4-FFF2-40B4-BE49-F238E27FC236}">
                <a16:creationId xmlns:a16="http://schemas.microsoft.com/office/drawing/2014/main" id="{B0E5C674-34FD-0DBF-00E4-4C94700B6022}"/>
              </a:ext>
            </a:extLst>
          </xdr:cNvPr>
          <xdr:cNvSpPr txBox="1">
            <a:spLocks noChangeArrowheads="1"/>
          </xdr:cNvSpPr>
        </xdr:nvSpPr>
        <xdr:spPr bwMode="auto">
          <a:xfrm rot="16200000">
            <a:off x="-955041" y="2282628"/>
            <a:ext cx="3929062" cy="64968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es-PE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eaLnBrk="1" hangingPunct="1"/>
            <a:r>
              <a:rPr lang="es-PE" sz="600">
                <a:latin typeface="Tahoma" panose="020B0604030504040204" pitchFamily="34" charset="0"/>
                <a:cs typeface="Tahoma" panose="020B0604030504040204" pitchFamily="34" charset="0"/>
              </a:rPr>
              <a:t>1. En caso de mora, esta Letra de Cambio generará las tasas de interés compensatorio y moratorio </a:t>
            </a:r>
          </a:p>
          <a:p>
            <a:pPr eaLnBrk="1" hangingPunct="1"/>
            <a:r>
              <a:rPr lang="es-PE" sz="600">
                <a:latin typeface="Tahoma" panose="020B0604030504040204" pitchFamily="34" charset="0"/>
                <a:cs typeface="Tahoma" panose="020B0604030504040204" pitchFamily="34" charset="0"/>
              </a:rPr>
              <a:t>    mas altas que la ley permita a su último tenedor.</a:t>
            </a:r>
          </a:p>
          <a:p>
            <a:pPr eaLnBrk="1" hangingPunct="1"/>
            <a:r>
              <a:rPr lang="es-PE" sz="600">
                <a:latin typeface="Tahoma" panose="020B0604030504040204" pitchFamily="34" charset="0"/>
                <a:cs typeface="Tahoma" panose="020B0604030504040204" pitchFamily="34" charset="0"/>
              </a:rPr>
              <a:t>2. El plazo de su vencimiento podrá ser prorrogado por el Tenedor, por el plazo que éste señale, sin </a:t>
            </a:r>
          </a:p>
          <a:p>
            <a:pPr eaLnBrk="1" hangingPunct="1"/>
            <a:r>
              <a:rPr lang="es-PE" sz="600">
                <a:latin typeface="Tahoma" panose="020B0604030504040204" pitchFamily="34" charset="0"/>
                <a:cs typeface="Tahoma" panose="020B0604030504040204" pitchFamily="34" charset="0"/>
              </a:rPr>
              <a:t>    que sea necesaria la intervención del obligado principal ni de los solidarios.</a:t>
            </a:r>
          </a:p>
          <a:p>
            <a:pPr eaLnBrk="1" hangingPunct="1"/>
            <a:r>
              <a:rPr lang="es-PE" sz="600">
                <a:latin typeface="Tahoma" panose="020B0604030504040204" pitchFamily="34" charset="0"/>
                <a:cs typeface="Tahoma" panose="020B0604030504040204" pitchFamily="34" charset="0"/>
              </a:rPr>
              <a:t>3. Esta letra de cambio no requiere ser protestada por falta de pago.</a:t>
            </a:r>
          </a:p>
          <a:p>
            <a:pPr eaLnBrk="1" hangingPunct="1"/>
            <a:r>
              <a:rPr lang="es-PE" sz="600">
                <a:latin typeface="Tahoma" panose="020B0604030504040204" pitchFamily="34" charset="0"/>
                <a:cs typeface="Tahoma" panose="020B0604030504040204" pitchFamily="34" charset="0"/>
              </a:rPr>
              <a:t>4. Su importe debe ser pagado sólo en la misma moneda que expresa este título valor.</a:t>
            </a:r>
            <a:endParaRPr lang="es-ES" sz="600">
              <a:latin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40" name="93 CuadroTexto">
            <a:extLst>
              <a:ext uri="{FF2B5EF4-FFF2-40B4-BE49-F238E27FC236}">
                <a16:creationId xmlns:a16="http://schemas.microsoft.com/office/drawing/2014/main" id="{B3E9D3B3-8AC9-2661-1482-4ECFCCF874BE}"/>
              </a:ext>
            </a:extLst>
          </xdr:cNvPr>
          <xdr:cNvSpPr txBox="1">
            <a:spLocks noChangeArrowheads="1"/>
          </xdr:cNvSpPr>
        </xdr:nvSpPr>
        <xdr:spPr bwMode="auto">
          <a:xfrm>
            <a:off x="523081" y="1776413"/>
            <a:ext cx="98750" cy="215765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anchor="ctr">
            <a:noAutofit/>
          </a:bodyPr>
          <a:lstStyle>
            <a:defPPr>
              <a:defRPr lang="es-PE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algn="ctr" eaLnBrk="1" hangingPunct="1"/>
            <a:r>
              <a:rPr lang="es-ES" sz="600" b="1">
                <a:latin typeface="Tahoma" panose="020B0604030504040204" pitchFamily="34" charset="0"/>
                <a:cs typeface="Tahoma" panose="020B0604030504040204" pitchFamily="34" charset="0"/>
              </a:rPr>
              <a:t>CLAUSULAS </a:t>
            </a:r>
          </a:p>
          <a:p>
            <a:pPr algn="ctr" eaLnBrk="1" hangingPunct="1"/>
            <a:r>
              <a:rPr lang="es-ES" sz="600" b="1">
                <a:latin typeface="Tahoma" panose="020B0604030504040204" pitchFamily="34" charset="0"/>
                <a:cs typeface="Tahoma" panose="020B0604030504040204" pitchFamily="34" charset="0"/>
              </a:rPr>
              <a:t> ESPECIALES</a:t>
            </a:r>
          </a:p>
        </xdr:txBody>
      </xdr:sp>
      <xdr:sp macro="" textlink="">
        <xdr:nvSpPr>
          <xdr:cNvPr id="41" name="81 CuadroTexto">
            <a:extLst>
              <a:ext uri="{FF2B5EF4-FFF2-40B4-BE49-F238E27FC236}">
                <a16:creationId xmlns:a16="http://schemas.microsoft.com/office/drawing/2014/main" id="{D9F0244E-F52C-BA97-A390-9BE12EFC3374}"/>
              </a:ext>
            </a:extLst>
          </xdr:cNvPr>
          <xdr:cNvSpPr txBox="1">
            <a:spLocks noChangeArrowheads="1"/>
          </xdr:cNvSpPr>
        </xdr:nvSpPr>
        <xdr:spPr bwMode="auto">
          <a:xfrm>
            <a:off x="3015456" y="1508075"/>
            <a:ext cx="928688" cy="17674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es-PE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algn="ctr" eaLnBrk="1" hangingPunct="1"/>
            <a:endParaRPr lang="es-ES" sz="600">
              <a:latin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Datos!C3">
        <xdr:nvSpPr>
          <xdr:cNvPr id="42" name="84 CuadroTexto">
            <a:extLst>
              <a:ext uri="{FF2B5EF4-FFF2-40B4-BE49-F238E27FC236}">
                <a16:creationId xmlns:a16="http://schemas.microsoft.com/office/drawing/2014/main" id="{CB7430F6-0C52-A567-C9E8-1FBA6795CD1D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16447" y="1521857"/>
            <a:ext cx="655848" cy="19535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es-PE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eaLnBrk="1" hangingPunct="1"/>
            <a:fld id="{D6C10EDE-F99B-4B28-8B3C-EB7FF742F762}" type="TxLink">
              <a:rPr lang="en-US" sz="700" b="0" i="0" u="none" strike="noStrike">
                <a:solidFill>
                  <a:srgbClr val="000000"/>
                </a:solidFill>
                <a:latin typeface="Tahoma"/>
                <a:ea typeface="Tahoma"/>
                <a:cs typeface="Tahoma"/>
              </a:rPr>
              <a:pPr eaLnBrk="1" hangingPunct="1"/>
              <a:t>63SMI/23</a:t>
            </a:fld>
            <a:endParaRPr lang="es-ES" sz="2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43" name="103 CuadroTexto">
            <a:extLst>
              <a:ext uri="{FF2B5EF4-FFF2-40B4-BE49-F238E27FC236}">
                <a16:creationId xmlns:a16="http://schemas.microsoft.com/office/drawing/2014/main" id="{935C2649-B58D-FE88-50FE-D1B8A5588DF5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26421" y="1527126"/>
            <a:ext cx="605027" cy="19535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es-PE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eaLnBrk="1" hangingPunct="1"/>
            <a:r>
              <a:rPr lang="es-PE" sz="700">
                <a:latin typeface="Tahoma" panose="020B0604030504040204" pitchFamily="34" charset="0"/>
                <a:cs typeface="Tahoma" panose="020B0604030504040204" pitchFamily="34" charset="0"/>
              </a:rPr>
              <a:t>Lima, Perú</a:t>
            </a:r>
            <a:endParaRPr lang="es-ES" sz="700">
              <a:latin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Datos!C8">
        <xdr:nvSpPr>
          <xdr:cNvPr id="44" name="105 CuadroTexto">
            <a:extLst>
              <a:ext uri="{FF2B5EF4-FFF2-40B4-BE49-F238E27FC236}">
                <a16:creationId xmlns:a16="http://schemas.microsoft.com/office/drawing/2014/main" id="{A92A5E66-00EE-2585-6180-DEC3F22B436D}"/>
              </a:ext>
            </a:extLst>
          </xdr:cNvPr>
          <xdr:cNvSpPr txBox="1">
            <a:spLocks noChangeArrowheads="1"/>
          </xdr:cNvSpPr>
        </xdr:nvSpPr>
        <xdr:spPr bwMode="auto">
          <a:xfrm>
            <a:off x="6898790" y="1500188"/>
            <a:ext cx="1113501" cy="2104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es-PE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eaLnBrk="1" hangingPunct="1"/>
            <a:fld id="{051D7A86-EE38-4D60-99BC-C4BFE6D29F12}" type="TxLink">
              <a:rPr lang="en-US" sz="800" b="0" i="0" u="none" strike="noStrike">
                <a:solidFill>
                  <a:srgbClr val="000000"/>
                </a:solidFill>
                <a:latin typeface="Tahoma"/>
                <a:ea typeface="Tahoma"/>
                <a:cs typeface="Tahoma"/>
              </a:rPr>
              <a:pPr eaLnBrk="1" hangingPunct="1"/>
              <a:t>PEN 56,828.78</a:t>
            </a:fld>
            <a:endParaRPr lang="es-ES" sz="6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45" name="46 CuadroTexto">
            <a:extLst>
              <a:ext uri="{FF2B5EF4-FFF2-40B4-BE49-F238E27FC236}">
                <a16:creationId xmlns:a16="http://schemas.microsoft.com/office/drawing/2014/main" id="{EF52D009-EDBF-5E25-B3E4-9D13ED6AF19C}"/>
              </a:ext>
            </a:extLst>
          </xdr:cNvPr>
          <xdr:cNvSpPr txBox="1">
            <a:spLocks noChangeArrowheads="1"/>
          </xdr:cNvSpPr>
        </xdr:nvSpPr>
        <xdr:spPr bwMode="auto">
          <a:xfrm>
            <a:off x="2291841" y="3357124"/>
            <a:ext cx="517880" cy="17674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es-PE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>
              <a:defRPr/>
            </a:pPr>
            <a:r>
              <a:rPr lang="es-ES" sz="600">
                <a:latin typeface="Tahoma" pitchFamily="34" charset="0"/>
                <a:cs typeface="Tahoma" pitchFamily="34" charset="0"/>
              </a:rPr>
              <a:t>NOMBRE:</a:t>
            </a:r>
            <a:endParaRPr lang="es-ES" sz="600" b="1">
              <a:latin typeface="Tahoma" pitchFamily="34" charset="0"/>
              <a:cs typeface="Tahoma" pitchFamily="34" charset="0"/>
            </a:endParaRPr>
          </a:p>
        </xdr:txBody>
      </xdr:sp>
      <xdr:sp macro="" textlink="Datos!D11">
        <xdr:nvSpPr>
          <xdr:cNvPr id="46" name="48 CuadroTexto">
            <a:extLst>
              <a:ext uri="{FF2B5EF4-FFF2-40B4-BE49-F238E27FC236}">
                <a16:creationId xmlns:a16="http://schemas.microsoft.com/office/drawing/2014/main" id="{A54418E9-B239-2BC8-4750-7A1608B14DCA}"/>
              </a:ext>
            </a:extLst>
          </xdr:cNvPr>
          <xdr:cNvSpPr txBox="1">
            <a:spLocks noChangeArrowheads="1"/>
          </xdr:cNvSpPr>
        </xdr:nvSpPr>
        <xdr:spPr bwMode="auto">
          <a:xfrm>
            <a:off x="4897515" y="3335981"/>
            <a:ext cx="658911" cy="18031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es-PE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eaLnBrk="1" hangingPunct="1"/>
            <a:fld id="{EA3EF467-2D86-4C33-AE83-D8B7767F42D5}" type="TxLink">
              <a:rPr lang="en-US" sz="600" b="1" i="0" u="none" strike="noStrike">
                <a:solidFill>
                  <a:srgbClr val="000000"/>
                </a:solidFill>
                <a:latin typeface="Tahoma"/>
                <a:ea typeface="Tahoma"/>
                <a:cs typeface="Tahoma"/>
              </a:rPr>
              <a:pPr eaLnBrk="1" hangingPunct="1"/>
              <a:t>40485976</a:t>
            </a:fld>
            <a:endParaRPr lang="es-ES" sz="100" b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47" name="49 CuadroTexto">
            <a:extLst>
              <a:ext uri="{FF2B5EF4-FFF2-40B4-BE49-F238E27FC236}">
                <a16:creationId xmlns:a16="http://schemas.microsoft.com/office/drawing/2014/main" id="{52263417-A065-3338-C563-673331F62576}"/>
              </a:ext>
            </a:extLst>
          </xdr:cNvPr>
          <xdr:cNvSpPr txBox="1">
            <a:spLocks noChangeArrowheads="1"/>
          </xdr:cNvSpPr>
        </xdr:nvSpPr>
        <xdr:spPr bwMode="auto">
          <a:xfrm>
            <a:off x="2291173" y="3486255"/>
            <a:ext cx="617677" cy="17547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es-PE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r>
              <a:rPr lang="es-ES" sz="600">
                <a:latin typeface="Tahoma" pitchFamily="34" charset="0"/>
                <a:cs typeface="Tahoma" pitchFamily="34" charset="0"/>
              </a:rPr>
              <a:t>DOMICILIO:</a:t>
            </a:r>
            <a:endParaRPr lang="es-ES" sz="600" b="1">
              <a:latin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Datos!B6">
        <xdr:nvSpPr>
          <xdr:cNvPr id="48" name="84 CuadroTexto">
            <a:extLst>
              <a:ext uri="{FF2B5EF4-FFF2-40B4-BE49-F238E27FC236}">
                <a16:creationId xmlns:a16="http://schemas.microsoft.com/office/drawing/2014/main" id="{27EA1C4D-FFF2-3B31-57E8-5386E789586A}"/>
              </a:ext>
            </a:extLst>
          </xdr:cNvPr>
          <xdr:cNvSpPr txBox="1">
            <a:spLocks noChangeArrowheads="1"/>
          </xdr:cNvSpPr>
        </xdr:nvSpPr>
        <xdr:spPr bwMode="auto">
          <a:xfrm>
            <a:off x="4115692" y="1578391"/>
            <a:ext cx="642938" cy="19535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es-PE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eaLnBrk="1" hangingPunct="1"/>
            <a:fld id="{FB3CE565-9387-4DDB-B348-D97F5A65A963}" type="TxLink">
              <a:rPr lang="en-US" sz="700" b="0" i="0" u="none" strike="noStrike">
                <a:solidFill>
                  <a:srgbClr val="000000"/>
                </a:solidFill>
                <a:latin typeface="Tahoma"/>
                <a:ea typeface="Tahoma"/>
                <a:cs typeface="Tahoma"/>
              </a:rPr>
              <a:pPr eaLnBrk="1" hangingPunct="1"/>
              <a:t>24/12/2024</a:t>
            </a:fld>
            <a:endParaRPr lang="es-ES_tradnl" sz="2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Datos!$B$7">
        <xdr:nvSpPr>
          <xdr:cNvPr id="49" name="85 CuadroTexto">
            <a:extLst>
              <a:ext uri="{FF2B5EF4-FFF2-40B4-BE49-F238E27FC236}">
                <a16:creationId xmlns:a16="http://schemas.microsoft.com/office/drawing/2014/main" id="{49E9D93D-B8A0-76FC-5A84-C1D1BB38EEC7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04718" y="1581152"/>
            <a:ext cx="642938" cy="19535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es-PE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eaLnBrk="1" hangingPunct="1"/>
            <a:fld id="{A3BD407D-B391-4FDA-AA4F-97F8E5B73DB9}" type="TxLink">
              <a:rPr lang="en-US" sz="700" b="0" i="0" u="none" strike="noStrike">
                <a:solidFill>
                  <a:srgbClr val="000000"/>
                </a:solidFill>
                <a:latin typeface="Tahoma"/>
                <a:ea typeface="Tahoma"/>
                <a:cs typeface="Tahoma"/>
              </a:rPr>
              <a:pPr eaLnBrk="1" hangingPunct="1"/>
              <a:t>01/04/2025</a:t>
            </a:fld>
            <a:endParaRPr lang="es-ES_tradnl" sz="2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50" name="81 CuadroTexto">
            <a:extLst>
              <a:ext uri="{FF2B5EF4-FFF2-40B4-BE49-F238E27FC236}">
                <a16:creationId xmlns:a16="http://schemas.microsoft.com/office/drawing/2014/main" id="{83786D0B-5F5A-8476-D83E-A055DBF6EA8C}"/>
              </a:ext>
            </a:extLst>
          </xdr:cNvPr>
          <xdr:cNvSpPr txBox="1">
            <a:spLocks noChangeArrowheads="1"/>
          </xdr:cNvSpPr>
        </xdr:nvSpPr>
        <xdr:spPr bwMode="auto">
          <a:xfrm>
            <a:off x="3892664" y="4206082"/>
            <a:ext cx="1427050" cy="17674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es-PE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algn="ctr" eaLnBrk="1" hangingPunct="1"/>
            <a:endParaRPr lang="es-ES" sz="600" b="1">
              <a:latin typeface="Tahoma" panose="020B0604030504040204" pitchFamily="34" charset="0"/>
              <a:cs typeface="Tahoma" panose="020B0604030504040204" pitchFamily="34" charset="0"/>
            </a:endParaRPr>
          </a:p>
        </xdr:txBody>
      </xdr:sp>
      <xdr:cxnSp macro="">
        <xdr:nvCxnSpPr>
          <xdr:cNvPr id="51" name="99 Conector recto">
            <a:extLst>
              <a:ext uri="{FF2B5EF4-FFF2-40B4-BE49-F238E27FC236}">
                <a16:creationId xmlns:a16="http://schemas.microsoft.com/office/drawing/2014/main" id="{1A2313EF-2642-2CAF-C3BB-C7F37EC2EB81}"/>
              </a:ext>
            </a:extLst>
          </xdr:cNvPr>
          <xdr:cNvCxnSpPr>
            <a:cxnSpLocks/>
          </xdr:cNvCxnSpPr>
        </xdr:nvCxnSpPr>
        <xdr:spPr>
          <a:xfrm>
            <a:off x="1734294" y="1715646"/>
            <a:ext cx="0" cy="2100063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" name="94 CuadroTexto">
            <a:extLst>
              <a:ext uri="{FF2B5EF4-FFF2-40B4-BE49-F238E27FC236}">
                <a16:creationId xmlns:a16="http://schemas.microsoft.com/office/drawing/2014/main" id="{F7E01260-FBE7-8757-F00C-2826ECEF1F3C}"/>
              </a:ext>
            </a:extLst>
          </xdr:cNvPr>
          <xdr:cNvSpPr txBox="1">
            <a:spLocks noChangeArrowheads="1"/>
          </xdr:cNvSpPr>
        </xdr:nvSpPr>
        <xdr:spPr bwMode="auto">
          <a:xfrm rot="16200000">
            <a:off x="1476602" y="3919098"/>
            <a:ext cx="616688" cy="14605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anchor="ctr">
            <a:noAutofit/>
          </a:bodyPr>
          <a:lstStyle>
            <a:defPPr>
              <a:defRPr lang="es-PE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eaLnBrk="1" hangingPunct="1"/>
            <a:r>
              <a:rPr lang="es-PE" sz="600">
                <a:latin typeface="Tahoma" panose="020B0604030504040204" pitchFamily="34" charset="0"/>
                <a:cs typeface="Tahoma" panose="020B0604030504040204" pitchFamily="34" charset="0"/>
              </a:rPr>
              <a:t>Aceptante:</a:t>
            </a:r>
            <a:endParaRPr lang="es-PE" sz="600" b="1">
              <a:latin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3</xdr:col>
      <xdr:colOff>487801</xdr:colOff>
      <xdr:row>23</xdr:row>
      <xdr:rowOff>136954</xdr:rowOff>
    </xdr:from>
    <xdr:to>
      <xdr:col>5</xdr:col>
      <xdr:colOff>655801</xdr:colOff>
      <xdr:row>23</xdr:row>
      <xdr:rowOff>142802</xdr:rowOff>
    </xdr:to>
    <xdr:cxnSp macro="">
      <xdr:nvCxnSpPr>
        <xdr:cNvPr id="65" name="90 Conector recto">
          <a:extLst>
            <a:ext uri="{FF2B5EF4-FFF2-40B4-BE49-F238E27FC236}">
              <a16:creationId xmlns:a16="http://schemas.microsoft.com/office/drawing/2014/main" id="{766ABA87-6C45-406C-9182-09623BB95F8C}"/>
            </a:ext>
          </a:extLst>
        </xdr:cNvPr>
        <xdr:cNvCxnSpPr>
          <a:cxnSpLocks/>
        </xdr:cNvCxnSpPr>
      </xdr:nvCxnSpPr>
      <xdr:spPr bwMode="auto">
        <a:xfrm>
          <a:off x="2773801" y="3861229"/>
          <a:ext cx="1692000" cy="5848"/>
        </a:xfrm>
        <a:prstGeom prst="line">
          <a:avLst/>
        </a:prstGeom>
        <a:ln w="127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433361</xdr:colOff>
      <xdr:row>23</xdr:row>
      <xdr:rowOff>160995</xdr:rowOff>
    </xdr:from>
    <xdr:to>
      <xdr:col>5</xdr:col>
      <xdr:colOff>653279</xdr:colOff>
      <xdr:row>24</xdr:row>
      <xdr:rowOff>107422</xdr:rowOff>
    </xdr:to>
    <xdr:sp macro="" textlink="Datos!B10">
      <xdr:nvSpPr>
        <xdr:cNvPr id="66" name="Rectángulo 65">
          <a:extLst>
            <a:ext uri="{FF2B5EF4-FFF2-40B4-BE49-F238E27FC236}">
              <a16:creationId xmlns:a16="http://schemas.microsoft.com/office/drawing/2014/main" id="{8A901B9C-4461-4B76-B2E6-B74B2B7A4EE0}"/>
            </a:ext>
          </a:extLst>
        </xdr:cNvPr>
        <xdr:cNvSpPr/>
      </xdr:nvSpPr>
      <xdr:spPr>
        <a:xfrm>
          <a:off x="2719361" y="3885270"/>
          <a:ext cx="1743918" cy="108352"/>
        </a:xfrm>
        <a:prstGeom prst="rect">
          <a:avLst/>
        </a:prstGeom>
      </xdr:spPr>
      <xdr:txBody>
        <a:bodyPr wrap="square" anchor="ctr">
          <a:noAutofit/>
        </a:bodyPr>
        <a:lstStyle>
          <a:defPPr>
            <a:defRPr lang="es-PE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9pPr>
        </a:lstStyle>
        <a:p>
          <a:pPr algn="ctr" eaLnBrk="1" hangingPunct="1"/>
          <a:fld id="{4B6BED0D-9D2B-4B10-B33B-CD8BDCC94C99}" type="TxLink">
            <a:rPr lang="en-US" sz="600" b="1" i="0" u="none" strike="noStrike">
              <a:solidFill>
                <a:srgbClr val="000000"/>
              </a:solidFill>
              <a:latin typeface="Tahoma"/>
              <a:ea typeface="Tahoma"/>
              <a:cs typeface="Tahoma"/>
            </a:rPr>
            <a:pPr algn="ctr" eaLnBrk="1" hangingPunct="1"/>
            <a:t>Roberto Pablo Rocano</a:t>
          </a:fld>
          <a:endParaRPr lang="es-ES" sz="600" b="1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5</xdr:col>
      <xdr:colOff>561355</xdr:colOff>
      <xdr:row>17</xdr:row>
      <xdr:rowOff>98417</xdr:rowOff>
    </xdr:from>
    <xdr:to>
      <xdr:col>6</xdr:col>
      <xdr:colOff>192986</xdr:colOff>
      <xdr:row>18</xdr:row>
      <xdr:rowOff>122186</xdr:rowOff>
    </xdr:to>
    <xdr:sp macro="" textlink="Datos!C11">
      <xdr:nvSpPr>
        <xdr:cNvPr id="67" name="48 CuadroTexto">
          <a:extLst>
            <a:ext uri="{FF2B5EF4-FFF2-40B4-BE49-F238E27FC236}">
              <a16:creationId xmlns:a16="http://schemas.microsoft.com/office/drawing/2014/main" id="{D8B382DD-BD2C-426E-9571-AA4D2082F930}"/>
            </a:ext>
          </a:extLst>
        </xdr:cNvPr>
        <xdr:cNvSpPr txBox="1">
          <a:spLocks noChangeArrowheads="1"/>
        </xdr:cNvSpPr>
      </xdr:nvSpPr>
      <xdr:spPr bwMode="auto">
        <a:xfrm>
          <a:off x="4371355" y="2914504"/>
          <a:ext cx="393631" cy="1894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/>
        <a:p>
          <a:pPr eaLnBrk="1" hangingPunct="1"/>
          <a:fld id="{3D0401F6-C804-495A-BD34-10B13FF1A231}" type="TxLink">
            <a:rPr lang="en-US" sz="600" b="0" i="0" u="none" strike="noStrike">
              <a:solidFill>
                <a:srgbClr val="000000"/>
              </a:solidFill>
              <a:latin typeface="Tahoma"/>
              <a:ea typeface="Tahoma"/>
              <a:cs typeface="Tahoma"/>
            </a:rPr>
            <a:pPr eaLnBrk="1" hangingPunct="1"/>
            <a:t>DNI : </a:t>
          </a:fld>
          <a:endParaRPr lang="es-ES" sz="300" b="1" i="0" u="none" strike="noStrike">
            <a:solidFill>
              <a:srgbClr val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</xdr:col>
      <xdr:colOff>5237</xdr:colOff>
      <xdr:row>17</xdr:row>
      <xdr:rowOff>120441</xdr:rowOff>
    </xdr:from>
    <xdr:to>
      <xdr:col>5</xdr:col>
      <xdr:colOff>417842</xdr:colOff>
      <xdr:row>18</xdr:row>
      <xdr:rowOff>147886</xdr:rowOff>
    </xdr:to>
    <xdr:sp macro="" textlink="Datos!B10">
      <xdr:nvSpPr>
        <xdr:cNvPr id="68" name="46 CuadroTexto">
          <a:extLst>
            <a:ext uri="{FF2B5EF4-FFF2-40B4-BE49-F238E27FC236}">
              <a16:creationId xmlns:a16="http://schemas.microsoft.com/office/drawing/2014/main" id="{CDCB4E2B-2246-4FA0-805D-4E8451BF8B84}"/>
            </a:ext>
          </a:extLst>
        </xdr:cNvPr>
        <xdr:cNvSpPr txBox="1">
          <a:spLocks noChangeArrowheads="1"/>
        </xdr:cNvSpPr>
      </xdr:nvSpPr>
      <xdr:spPr bwMode="auto">
        <a:xfrm>
          <a:off x="2291237" y="2936528"/>
          <a:ext cx="1936605" cy="1930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>
          <a:noAutofit/>
        </a:bodyPr>
        <a:lstStyle>
          <a:defPPr>
            <a:defRPr lang="es-PE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9pPr>
        </a:lstStyle>
        <a:p>
          <a:pPr>
            <a:defRPr/>
          </a:pPr>
          <a:fld id="{A0258006-61F5-466A-9AF8-4CADA06BB47D}" type="TxLink">
            <a:rPr lang="en-US" sz="600" b="1" i="0" u="none" strike="noStrike">
              <a:solidFill>
                <a:srgbClr val="000000"/>
              </a:solidFill>
              <a:latin typeface="Tahoma"/>
              <a:ea typeface="Tahoma"/>
              <a:cs typeface="Tahoma"/>
            </a:rPr>
            <a:pPr>
              <a:defRPr/>
            </a:pPr>
            <a:t>Roberto Pablo Rocano</a:t>
          </a:fld>
          <a:endParaRPr lang="es-ES" sz="600" b="1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</xdr:col>
      <xdr:colOff>504676</xdr:colOff>
      <xdr:row>24</xdr:row>
      <xdr:rowOff>96240</xdr:rowOff>
    </xdr:from>
    <xdr:to>
      <xdr:col>5</xdr:col>
      <xdr:colOff>571765</xdr:colOff>
      <xdr:row>25</xdr:row>
      <xdr:rowOff>33817</xdr:rowOff>
    </xdr:to>
    <xdr:sp macro="" textlink="Datos!B11">
      <xdr:nvSpPr>
        <xdr:cNvPr id="69" name="Rectángulo 68">
          <a:extLst>
            <a:ext uri="{FF2B5EF4-FFF2-40B4-BE49-F238E27FC236}">
              <a16:creationId xmlns:a16="http://schemas.microsoft.com/office/drawing/2014/main" id="{457C2BBE-BC24-4D27-BB42-0F4A2895D2D9}"/>
            </a:ext>
          </a:extLst>
        </xdr:cNvPr>
        <xdr:cNvSpPr/>
      </xdr:nvSpPr>
      <xdr:spPr>
        <a:xfrm>
          <a:off x="2790676" y="3982440"/>
          <a:ext cx="1591089" cy="99502"/>
        </a:xfrm>
        <a:prstGeom prst="rect">
          <a:avLst/>
        </a:prstGeom>
      </xdr:spPr>
      <xdr:txBody>
        <a:bodyPr wrap="square" anchor="ctr">
          <a:noAutofit/>
        </a:bodyPr>
        <a:lstStyle>
          <a:defPPr>
            <a:defRPr lang="es-PE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9pPr>
        </a:lstStyle>
        <a:p>
          <a:pPr algn="ctr" eaLnBrk="1" hangingPunct="1"/>
          <a:fld id="{BF83A00D-BAB8-4FDE-B8A6-884B34EEC81A}" type="TxLink">
            <a:rPr lang="en-US" sz="600" b="1" i="0" u="none" strike="noStrike">
              <a:solidFill>
                <a:srgbClr val="000000"/>
              </a:solidFill>
              <a:latin typeface="Tahoma"/>
              <a:ea typeface="Tahoma"/>
              <a:cs typeface="Tahoma"/>
            </a:rPr>
            <a:pPr algn="ctr" eaLnBrk="1" hangingPunct="1"/>
            <a:t>DNI 40485976</a:t>
          </a:fld>
          <a:endParaRPr lang="es-ES" sz="600" b="1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</xdr:col>
      <xdr:colOff>692319</xdr:colOff>
      <xdr:row>15</xdr:row>
      <xdr:rowOff>107323</xdr:rowOff>
    </xdr:from>
    <xdr:to>
      <xdr:col>4</xdr:col>
      <xdr:colOff>114451</xdr:colOff>
      <xdr:row>16</xdr:row>
      <xdr:rowOff>129810</xdr:rowOff>
    </xdr:to>
    <xdr:sp macro="" textlink="Datos!B4">
      <xdr:nvSpPr>
        <xdr:cNvPr id="70" name="42 CuadroTexto">
          <a:extLst>
            <a:ext uri="{FF2B5EF4-FFF2-40B4-BE49-F238E27FC236}">
              <a16:creationId xmlns:a16="http://schemas.microsoft.com/office/drawing/2014/main" id="{FF7BB73F-D971-4E5A-AEE7-31A4AA6A8E6E}"/>
            </a:ext>
          </a:extLst>
        </xdr:cNvPr>
        <xdr:cNvSpPr txBox="1">
          <a:spLocks noChangeArrowheads="1"/>
        </xdr:cNvSpPr>
      </xdr:nvSpPr>
      <xdr:spPr bwMode="auto">
        <a:xfrm>
          <a:off x="2216319" y="2536198"/>
          <a:ext cx="946132" cy="184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es-PE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9pPr>
        </a:lstStyle>
        <a:p>
          <a:pPr eaLnBrk="1" hangingPunct="1"/>
          <a:fld id="{EACF5F2D-4EC7-4349-9803-CDE59252DA34}" type="TxLink">
            <a:rPr lang="en-US" sz="600" b="1" i="0" u="none" strike="noStrike">
              <a:solidFill>
                <a:srgbClr val="000000"/>
              </a:solidFill>
              <a:latin typeface="Tahoma"/>
              <a:ea typeface="Tahoma"/>
              <a:cs typeface="Tahoma"/>
            </a:rPr>
            <a:pPr eaLnBrk="1" hangingPunct="1"/>
            <a:t>20511763089</a:t>
          </a:fld>
          <a:endParaRPr lang="es-ES" sz="600" b="1">
            <a:solidFill>
              <a:schemeClr val="tx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</xdr:col>
      <xdr:colOff>467837</xdr:colOff>
      <xdr:row>14</xdr:row>
      <xdr:rowOff>31076</xdr:rowOff>
    </xdr:from>
    <xdr:to>
      <xdr:col>6</xdr:col>
      <xdr:colOff>501735</xdr:colOff>
      <xdr:row>15</xdr:row>
      <xdr:rowOff>155056</xdr:rowOff>
    </xdr:to>
    <xdr:sp macro="" textlink="Datos!B5">
      <xdr:nvSpPr>
        <xdr:cNvPr id="71" name="40 CuadroTexto">
          <a:extLst>
            <a:ext uri="{FF2B5EF4-FFF2-40B4-BE49-F238E27FC236}">
              <a16:creationId xmlns:a16="http://schemas.microsoft.com/office/drawing/2014/main" id="{E51D861F-8350-4F4C-BFA8-251F12182AFF}"/>
            </a:ext>
          </a:extLst>
        </xdr:cNvPr>
        <xdr:cNvSpPr txBox="1">
          <a:spLocks noChangeArrowheads="1"/>
        </xdr:cNvSpPr>
      </xdr:nvSpPr>
      <xdr:spPr bwMode="auto">
        <a:xfrm>
          <a:off x="1991837" y="2298026"/>
          <a:ext cx="3081898" cy="2859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es-PE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9pPr>
        </a:lstStyle>
        <a:p>
          <a:pPr eaLnBrk="1" hangingPunct="1"/>
          <a:fld id="{AFAFED24-5AF7-4357-A8AF-FEE90A752839}" type="TxLink">
            <a:rPr lang="en-US" sz="600" b="1" i="0" u="none" strike="noStrike">
              <a:solidFill>
                <a:srgbClr val="000000"/>
              </a:solidFill>
              <a:latin typeface="Tahoma"/>
              <a:ea typeface="Tahoma"/>
              <a:cs typeface="Tahoma"/>
            </a:rPr>
            <a:pPr eaLnBrk="1" hangingPunct="1"/>
            <a:t>AV. SAN LUIS NRO. 2546 DPTO. 503 URB. SAN BORJA SUR, DISTRITO DE SAN BORJA, PROVINCIA Y DEPARTAMENTO DE LIMA.</a:t>
          </a:fld>
          <a:endParaRPr lang="es-ES" sz="200" b="1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</xdr:col>
      <xdr:colOff>450418</xdr:colOff>
      <xdr:row>12</xdr:row>
      <xdr:rowOff>129653</xdr:rowOff>
    </xdr:from>
    <xdr:to>
      <xdr:col>9</xdr:col>
      <xdr:colOff>356469</xdr:colOff>
      <xdr:row>13</xdr:row>
      <xdr:rowOff>86967</xdr:rowOff>
    </xdr:to>
    <xdr:sp macro="" textlink="Datos!B2">
      <xdr:nvSpPr>
        <xdr:cNvPr id="72" name="39 CuadroTexto">
          <a:extLst>
            <a:ext uri="{FF2B5EF4-FFF2-40B4-BE49-F238E27FC236}">
              <a16:creationId xmlns:a16="http://schemas.microsoft.com/office/drawing/2014/main" id="{24280413-4C07-4DAF-A30B-F8E4F15F783B}"/>
            </a:ext>
          </a:extLst>
        </xdr:cNvPr>
        <xdr:cNvSpPr txBox="1">
          <a:spLocks noChangeArrowheads="1"/>
        </xdr:cNvSpPr>
      </xdr:nvSpPr>
      <xdr:spPr bwMode="auto">
        <a:xfrm>
          <a:off x="1974418" y="2072753"/>
          <a:ext cx="5240051" cy="119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 anchor="ctr">
          <a:noAutofit/>
        </a:bodyPr>
        <a:lstStyle>
          <a:defPPr>
            <a:defRPr lang="es-PE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9pPr>
        </a:lstStyle>
        <a:p>
          <a:pPr eaLnBrk="1" hangingPunct="1"/>
          <a:fld id="{9013C2CF-D857-4D43-8B22-0BADDC96B332}" type="TxLink">
            <a:rPr lang="en-US" sz="600" b="1" i="0" u="none" strike="noStrike">
              <a:solidFill>
                <a:srgbClr val="000000"/>
              </a:solidFill>
              <a:latin typeface="Tahoma"/>
              <a:ea typeface="Tahoma"/>
              <a:cs typeface="Tahoma"/>
            </a:rPr>
            <a:pPr eaLnBrk="1" hangingPunct="1"/>
            <a:t>SERVICIOS MOBILES INTERNACIONALES SOCIEDAD ANONIMA CERRADA</a:t>
          </a:fld>
          <a:endParaRPr lang="es-ES" sz="600" b="1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649592</xdr:colOff>
      <xdr:row>6</xdr:row>
      <xdr:rowOff>12102</xdr:rowOff>
    </xdr:from>
    <xdr:to>
      <xdr:col>2</xdr:col>
      <xdr:colOff>340364</xdr:colOff>
      <xdr:row>21</xdr:row>
      <xdr:rowOff>23685</xdr:rowOff>
    </xdr:to>
    <xdr:grpSp>
      <xdr:nvGrpSpPr>
        <xdr:cNvPr id="73" name="Grupo 72">
          <a:extLst>
            <a:ext uri="{FF2B5EF4-FFF2-40B4-BE49-F238E27FC236}">
              <a16:creationId xmlns:a16="http://schemas.microsoft.com/office/drawing/2014/main" id="{873D316B-EAC1-49CD-8426-6AB944FFB117}"/>
            </a:ext>
          </a:extLst>
        </xdr:cNvPr>
        <xdr:cNvGrpSpPr/>
      </xdr:nvGrpSpPr>
      <xdr:grpSpPr>
        <a:xfrm>
          <a:off x="1433363" y="1024473"/>
          <a:ext cx="474544" cy="2542512"/>
          <a:chOff x="1411592" y="1076419"/>
          <a:chExt cx="452772" cy="2429467"/>
        </a:xfrm>
      </xdr:grpSpPr>
      <xdr:sp macro="" textlink="Datos!B2">
        <xdr:nvSpPr>
          <xdr:cNvPr id="74" name="94 CuadroTexto">
            <a:extLst>
              <a:ext uri="{FF2B5EF4-FFF2-40B4-BE49-F238E27FC236}">
                <a16:creationId xmlns:a16="http://schemas.microsoft.com/office/drawing/2014/main" id="{6325347A-D905-BE9D-325A-1AF3D9AD1F17}"/>
              </a:ext>
            </a:extLst>
          </xdr:cNvPr>
          <xdr:cNvSpPr txBox="1">
            <a:spLocks noChangeArrowheads="1"/>
          </xdr:cNvSpPr>
        </xdr:nvSpPr>
        <xdr:spPr bwMode="auto">
          <a:xfrm rot="16200000">
            <a:off x="270743" y="2217268"/>
            <a:ext cx="2429467" cy="14777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anchor="ctr">
            <a:noAutofit/>
          </a:bodyPr>
          <a:lstStyle>
            <a:defPPr>
              <a:defRPr lang="es-PE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eaLnBrk="1" hangingPunct="1"/>
            <a:fld id="{84E277F9-9FFA-4DB9-AE42-75CBFA372FF1}" type="TxLink">
              <a:rPr lang="en-US" sz="600" b="1" i="0" u="none" strike="noStrike">
                <a:solidFill>
                  <a:srgbClr val="000000"/>
                </a:solidFill>
                <a:latin typeface="Tahoma"/>
                <a:ea typeface="Tahoma"/>
                <a:cs typeface="Tahoma"/>
              </a:rPr>
              <a:pPr eaLnBrk="1" hangingPunct="1"/>
              <a:t>SERVICIOS MOBILES INTERNACIONALES SOCIEDAD ANONIMA CERRADA</a:t>
            </a:fld>
            <a:endParaRPr lang="es-PE" sz="5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75" name="94 CuadroTexto">
            <a:extLst>
              <a:ext uri="{FF2B5EF4-FFF2-40B4-BE49-F238E27FC236}">
                <a16:creationId xmlns:a16="http://schemas.microsoft.com/office/drawing/2014/main" id="{2040646E-0635-EB90-69AB-0672AFFF10D3}"/>
              </a:ext>
            </a:extLst>
          </xdr:cNvPr>
          <xdr:cNvSpPr txBox="1">
            <a:spLocks noChangeArrowheads="1"/>
          </xdr:cNvSpPr>
        </xdr:nvSpPr>
        <xdr:spPr bwMode="auto">
          <a:xfrm rot="16200000">
            <a:off x="1429022" y="3258758"/>
            <a:ext cx="399672" cy="892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anchor="ctr">
            <a:noAutofit/>
          </a:bodyPr>
          <a:lstStyle/>
          <a:p>
            <a:pPr algn="l" eaLnBrk="1" hangingPunct="1"/>
            <a:r>
              <a:rPr lang="en-US" sz="600" b="1" i="0" u="none" strike="noStrike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RUC:</a:t>
            </a:r>
          </a:p>
        </xdr:txBody>
      </xdr:sp>
      <xdr:sp macro="" textlink="Datos!B4">
        <xdr:nvSpPr>
          <xdr:cNvPr id="76" name="94 CuadroTexto">
            <a:extLst>
              <a:ext uri="{FF2B5EF4-FFF2-40B4-BE49-F238E27FC236}">
                <a16:creationId xmlns:a16="http://schemas.microsoft.com/office/drawing/2014/main" id="{504CEA47-70E0-D1AB-1B19-C3A636467C31}"/>
              </a:ext>
            </a:extLst>
          </xdr:cNvPr>
          <xdr:cNvSpPr txBox="1">
            <a:spLocks noChangeArrowheads="1"/>
          </xdr:cNvSpPr>
        </xdr:nvSpPr>
        <xdr:spPr bwMode="auto">
          <a:xfrm rot="16200000">
            <a:off x="1229752" y="2850144"/>
            <a:ext cx="794291" cy="892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anchor="ctr">
            <a:noAutofit/>
          </a:bodyPr>
          <a:lstStyle/>
          <a:p>
            <a:pPr algn="l" eaLnBrk="1" hangingPunct="1"/>
            <a:fld id="{A5D032EF-7602-4CC4-9892-FA6E51ED9DA6}" type="TxLink">
              <a:rPr lang="en-US" sz="600" b="1" i="0" u="none" strike="noStrike">
                <a:solidFill>
                  <a:srgbClr val="000000"/>
                </a:solidFill>
                <a:latin typeface="Tahoma"/>
                <a:ea typeface="Tahoma"/>
                <a:cs typeface="Tahoma"/>
              </a:rPr>
              <a:pPr algn="l" eaLnBrk="1" hangingPunct="1"/>
              <a:t>20511763089</a:t>
            </a:fld>
            <a:endParaRPr lang="en-US" sz="600" b="1" i="0" u="none" strike="noStrike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Datos!B10">
        <xdr:nvSpPr>
          <xdr:cNvPr id="77" name="94 CuadroTexto">
            <a:extLst>
              <a:ext uri="{FF2B5EF4-FFF2-40B4-BE49-F238E27FC236}">
                <a16:creationId xmlns:a16="http://schemas.microsoft.com/office/drawing/2014/main" id="{54031B13-00AC-3FBE-AABE-CB3D59075B4C}"/>
              </a:ext>
            </a:extLst>
          </xdr:cNvPr>
          <xdr:cNvSpPr txBox="1">
            <a:spLocks noChangeArrowheads="1"/>
          </xdr:cNvSpPr>
        </xdr:nvSpPr>
        <xdr:spPr bwMode="auto">
          <a:xfrm rot="16200000">
            <a:off x="566205" y="2299857"/>
            <a:ext cx="2311807" cy="892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anchor="ctr">
            <a:noAutofit/>
          </a:bodyPr>
          <a:lstStyle>
            <a:defPPr>
              <a:defRPr lang="es-PE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eaLnBrk="1" hangingPunct="1"/>
            <a:fld id="{DFF90DD4-3589-4C67-962D-5FF35C8E7586}" type="TxLink">
              <a:rPr lang="en-US" sz="600" b="1" i="0" u="none" strike="noStrike">
                <a:solidFill>
                  <a:srgbClr val="000000"/>
                </a:solidFill>
                <a:latin typeface="Tahoma"/>
                <a:ea typeface="Tahoma"/>
                <a:cs typeface="Tahoma"/>
              </a:rPr>
              <a:pPr eaLnBrk="1" hangingPunct="1"/>
              <a:t>Roberto Pablo Rocano</a:t>
            </a:fld>
            <a:endParaRPr lang="es-PE" sz="6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Datos!B13">
        <xdr:nvSpPr>
          <xdr:cNvPr id="78" name="94 CuadroTexto">
            <a:extLst>
              <a:ext uri="{FF2B5EF4-FFF2-40B4-BE49-F238E27FC236}">
                <a16:creationId xmlns:a16="http://schemas.microsoft.com/office/drawing/2014/main" id="{788CE6E7-4B6B-E40C-602F-1983254AEDE6}"/>
              </a:ext>
            </a:extLst>
          </xdr:cNvPr>
          <xdr:cNvSpPr txBox="1">
            <a:spLocks noChangeArrowheads="1"/>
          </xdr:cNvSpPr>
        </xdr:nvSpPr>
        <xdr:spPr bwMode="auto">
          <a:xfrm rot="16200000">
            <a:off x="1276967" y="2911830"/>
            <a:ext cx="1085505" cy="892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anchor="ctr">
            <a:noAutofit/>
          </a:bodyPr>
          <a:lstStyle>
            <a:defPPr>
              <a:defRPr lang="es-PE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eaLnBrk="1" hangingPunct="1"/>
            <a:fld id="{3757B822-C959-419F-8DA7-7E6BE5140B34}" type="TxLink">
              <a:rPr lang="en-US" sz="600" b="1" i="0" u="none" strike="noStrike">
                <a:solidFill>
                  <a:srgbClr val="000000"/>
                </a:solidFill>
                <a:latin typeface="Tahoma"/>
                <a:ea typeface="Tahoma"/>
                <a:cs typeface="Tahoma"/>
              </a:rPr>
              <a:pPr eaLnBrk="1" hangingPunct="1"/>
              <a:t>GERENTE GENERAL</a:t>
            </a:fld>
            <a:endParaRPr lang="es-PE" sz="2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3</xdr:col>
      <xdr:colOff>95131</xdr:colOff>
      <xdr:row>18</xdr:row>
      <xdr:rowOff>96190</xdr:rowOff>
    </xdr:from>
    <xdr:to>
      <xdr:col>5</xdr:col>
      <xdr:colOff>615463</xdr:colOff>
      <xdr:row>20</xdr:row>
      <xdr:rowOff>154687</xdr:rowOff>
    </xdr:to>
    <xdr:sp macro="" textlink="Datos!B12">
      <xdr:nvSpPr>
        <xdr:cNvPr id="79" name="49 CuadroTexto">
          <a:extLst>
            <a:ext uri="{FF2B5EF4-FFF2-40B4-BE49-F238E27FC236}">
              <a16:creationId xmlns:a16="http://schemas.microsoft.com/office/drawing/2014/main" id="{03310D77-9711-49C2-8FFC-51088F97BA01}"/>
            </a:ext>
          </a:extLst>
        </xdr:cNvPr>
        <xdr:cNvSpPr txBox="1">
          <a:spLocks noChangeArrowheads="1"/>
        </xdr:cNvSpPr>
      </xdr:nvSpPr>
      <xdr:spPr bwMode="auto">
        <a:xfrm>
          <a:off x="2381131" y="3077929"/>
          <a:ext cx="2044332" cy="3898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>
          <a:noAutofit/>
        </a:bodyPr>
        <a:lstStyle>
          <a:defPPr>
            <a:defRPr lang="es-PE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9pPr>
        </a:lstStyle>
        <a:p>
          <a:fld id="{3F7DA29B-9687-43FB-9ACE-45477E6F8B52}" type="TxLink">
            <a:rPr lang="en-US" sz="600" b="1" i="0" u="none" strike="noStrike">
              <a:solidFill>
                <a:srgbClr val="000000"/>
              </a:solidFill>
              <a:latin typeface="Tahoma"/>
              <a:ea typeface="Tahoma"/>
              <a:cs typeface="Tahoma"/>
            </a:rPr>
            <a:pPr/>
            <a:t>JR. LOS NEGOCIOS Nº 280 DPTO 403 EDIF 8, DISTRITO DE SURQUILLO, PROVINCIA Y DEPARTAMENTO DE LIMA</a:t>
          </a:fld>
          <a:endParaRPr lang="es-ES" sz="600" b="1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240195</xdr:colOff>
      <xdr:row>1</xdr:row>
      <xdr:rowOff>55908</xdr:rowOff>
    </xdr:from>
    <xdr:to>
      <xdr:col>11</xdr:col>
      <xdr:colOff>679174</xdr:colOff>
      <xdr:row>3</xdr:row>
      <xdr:rowOff>70908</xdr:rowOff>
    </xdr:to>
    <xdr:sp macro="[2]!Liquidacion" textlink="">
      <xdr:nvSpPr>
        <xdr:cNvPr id="2" name="Rectángulo 1">
          <a:extLst>
            <a:ext uri="{FF2B5EF4-FFF2-40B4-BE49-F238E27FC236}">
              <a16:creationId xmlns:a16="http://schemas.microsoft.com/office/drawing/2014/main" id="{56695063-2975-4293-BAA6-82586FDEB7CD}"/>
            </a:ext>
          </a:extLst>
        </xdr:cNvPr>
        <xdr:cNvSpPr/>
      </xdr:nvSpPr>
      <xdr:spPr>
        <a:xfrm>
          <a:off x="9546120" y="351183"/>
          <a:ext cx="1162879" cy="396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600" b="1"/>
            <a:t>LIQUIDAR</a:t>
          </a:r>
        </a:p>
      </xdr:txBody>
    </xdr:sp>
    <xdr:clientData/>
  </xdr:twoCellAnchor>
  <xdr:twoCellAnchor>
    <xdr:from>
      <xdr:col>10</xdr:col>
      <xdr:colOff>248478</xdr:colOff>
      <xdr:row>4</xdr:row>
      <xdr:rowOff>7795</xdr:rowOff>
    </xdr:from>
    <xdr:to>
      <xdr:col>11</xdr:col>
      <xdr:colOff>687457</xdr:colOff>
      <xdr:row>6</xdr:row>
      <xdr:rowOff>22795</xdr:rowOff>
    </xdr:to>
    <xdr:sp macro="[2]!Guardar_PDF" textlink="">
      <xdr:nvSpPr>
        <xdr:cNvPr id="3" name="Rectángulo 2">
          <a:extLst>
            <a:ext uri="{FF2B5EF4-FFF2-40B4-BE49-F238E27FC236}">
              <a16:creationId xmlns:a16="http://schemas.microsoft.com/office/drawing/2014/main" id="{EE78D317-7F2C-4879-9151-01B87BBED950}"/>
            </a:ext>
          </a:extLst>
        </xdr:cNvPr>
        <xdr:cNvSpPr/>
      </xdr:nvSpPr>
      <xdr:spPr>
        <a:xfrm>
          <a:off x="9554403" y="874570"/>
          <a:ext cx="1162879" cy="396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600" b="1"/>
            <a:t>EXPORTAR</a:t>
          </a:r>
        </a:p>
      </xdr:txBody>
    </xdr:sp>
    <xdr:clientData/>
  </xdr:twoCellAnchor>
  <xdr:twoCellAnchor editAs="oneCell">
    <xdr:from>
      <xdr:col>8</xdr:col>
      <xdr:colOff>607554</xdr:colOff>
      <xdr:row>0</xdr:row>
      <xdr:rowOff>0</xdr:rowOff>
    </xdr:from>
    <xdr:to>
      <xdr:col>9</xdr:col>
      <xdr:colOff>881008</xdr:colOff>
      <xdr:row>1</xdr:row>
      <xdr:rowOff>106998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33FEE93-B83D-47DD-BB66-4CB7D471F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94179" y="0"/>
          <a:ext cx="1121179" cy="402273"/>
        </a:xfrm>
        <a:prstGeom prst="rect">
          <a:avLst/>
        </a:prstGeom>
      </xdr:spPr>
    </xdr:pic>
    <xdr:clientData/>
  </xdr:twoCellAnchor>
  <xdr:twoCellAnchor>
    <xdr:from>
      <xdr:col>10</xdr:col>
      <xdr:colOff>257734</xdr:colOff>
      <xdr:row>6</xdr:row>
      <xdr:rowOff>148478</xdr:rowOff>
    </xdr:from>
    <xdr:to>
      <xdr:col>11</xdr:col>
      <xdr:colOff>695751</xdr:colOff>
      <xdr:row>8</xdr:row>
      <xdr:rowOff>163478</xdr:rowOff>
    </xdr:to>
    <xdr:sp macro="[2]!Borrar" textlink="">
      <xdr:nvSpPr>
        <xdr:cNvPr id="5" name="Rectángulo 4">
          <a:extLst>
            <a:ext uri="{FF2B5EF4-FFF2-40B4-BE49-F238E27FC236}">
              <a16:creationId xmlns:a16="http://schemas.microsoft.com/office/drawing/2014/main" id="{74B9FA16-BB36-49AA-8993-F223E93729C6}"/>
            </a:ext>
          </a:extLst>
        </xdr:cNvPr>
        <xdr:cNvSpPr/>
      </xdr:nvSpPr>
      <xdr:spPr>
        <a:xfrm>
          <a:off x="9563659" y="1396253"/>
          <a:ext cx="1161917" cy="396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600" b="1"/>
            <a:t>BORRAR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28575</xdr:colOff>
      <xdr:row>0</xdr:row>
      <xdr:rowOff>0</xdr:rowOff>
    </xdr:from>
    <xdr:ext cx="1247775" cy="13620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.shortcut-targets-by-id/1IJcu0kLkmrobzwv4H5xbIzI9olzzfXCb/02%20Inandes%20Factor%20Capital%20SAC/001%20Operaciones%20factoring/036%20SMI%20SERVICIOS%20MOBILES%20INTERNACIONALES/Anexo%2045/SMI%20-%20Proforma%20del%20Anexo%2045%20liquidada%20al%2020240705.xlsx?4D00263B" TargetMode="External"/><Relationship Id="rId1" Type="http://schemas.openxmlformats.org/officeDocument/2006/relationships/externalLinkPath" Target="file:///\\4D00263B\SMI%20-%20Proforma%20del%20Anexo%2045%20liquidada%20al%202024070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.shortcut-targets-by-id\1IJcu0kLkmrobzwv4H5xbIzI9olzzfXCb\02%20Inandes%20Factor%20Capital%20SAC\001%20Operaciones%20factoring\142%20TRANS%20CARGO%20MEDINA\Anexo%2006\TRCARMEDINA%20-%20Proforma%20del%20Anexo%2006%20liquidada%20al%20202310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ENTE"/>
      <sheetName val="NSG"/>
      <sheetName val="Liq fact Nº "/>
      <sheetName val="Datos"/>
      <sheetName val="LETRA"/>
      <sheetName val="LIQUIDACION"/>
      <sheetName val="LIQ AS"/>
      <sheetName val="NSG01 ORIGEN"/>
    </sheetNames>
    <sheetDataSet>
      <sheetData sheetId="0" refreshError="1"/>
      <sheetData sheetId="1" refreshError="1">
        <row r="5">
          <cell r="C5" t="str">
            <v>SERVICIOS MOBILES INTERNACIONALES</v>
          </cell>
        </row>
        <row r="75">
          <cell r="D75">
            <v>0.02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ENTE"/>
      <sheetName val="NSG"/>
      <sheetName val="Datos"/>
      <sheetName val="LETRA"/>
      <sheetName val="LIQUIDACION"/>
      <sheetName val="TRCARMEDINA - Proforma del Anex"/>
    </sheetNames>
    <definedNames>
      <definedName name="Borrar"/>
      <definedName name="Guardar_PDF"/>
      <definedName name="Liquidacion"/>
    </definedNames>
    <sheetDataSet>
      <sheetData sheetId="0"/>
      <sheetData sheetId="1">
        <row r="16">
          <cell r="B16">
            <v>858</v>
          </cell>
          <cell r="C16">
            <v>45107</v>
          </cell>
          <cell r="D16">
            <v>90</v>
          </cell>
          <cell r="E16">
            <v>45197</v>
          </cell>
          <cell r="F16">
            <v>72</v>
          </cell>
          <cell r="G16" t="str">
            <v>TRANS CARGO MEDINA SOCIEDAD COMERCIAL DE RESPONSABILIDAD LIMITADA</v>
          </cell>
          <cell r="H16" t="str">
            <v>COMPAÑIA MINERA LINCUNA SA</v>
          </cell>
        </row>
        <row r="17">
          <cell r="B17">
            <v>859</v>
          </cell>
          <cell r="C17">
            <v>45107</v>
          </cell>
          <cell r="D17">
            <v>90</v>
          </cell>
          <cell r="E17">
            <v>45197</v>
          </cell>
          <cell r="F17">
            <v>72</v>
          </cell>
          <cell r="G17" t="str">
            <v>TRANS CARGO MEDINA SOCIEDAD COMERCIAL DE RESPONSABILIDAD LIMITADA</v>
          </cell>
          <cell r="H17" t="str">
            <v>COMPAÑIA MINERA LINCUNA SA</v>
          </cell>
        </row>
        <row r="18">
          <cell r="B18">
            <v>860</v>
          </cell>
          <cell r="C18">
            <v>45107</v>
          </cell>
          <cell r="D18">
            <v>90</v>
          </cell>
          <cell r="E18">
            <v>45197</v>
          </cell>
          <cell r="F18">
            <v>72</v>
          </cell>
          <cell r="G18" t="str">
            <v>TRANS CARGO MEDINA SOCIEDAD COMERCIAL DE RESPONSABILIDAD LIMITADA</v>
          </cell>
          <cell r="H18" t="str">
            <v>COMPAÑIA MINERA LINCUNA SA</v>
          </cell>
        </row>
        <row r="19">
          <cell r="B19">
            <v>861</v>
          </cell>
          <cell r="C19">
            <v>45112</v>
          </cell>
          <cell r="D19">
            <v>90</v>
          </cell>
          <cell r="E19">
            <v>45202</v>
          </cell>
          <cell r="F19">
            <v>77</v>
          </cell>
          <cell r="G19" t="str">
            <v>TRANS CARGO MEDINA SOCIEDAD COMERCIAL DE RESPONSABILIDAD LIMITADA</v>
          </cell>
          <cell r="H19" t="str">
            <v>COMPAÑIA MINERA LINCUNA SA</v>
          </cell>
        </row>
        <row r="20">
          <cell r="B20">
            <v>862</v>
          </cell>
          <cell r="C20">
            <v>45113</v>
          </cell>
          <cell r="D20">
            <v>90</v>
          </cell>
          <cell r="E20">
            <v>45203</v>
          </cell>
          <cell r="F20">
            <v>78</v>
          </cell>
          <cell r="G20" t="str">
            <v>TRANS CARGO MEDINA SOCIEDAD COMERCIAL DE RESPONSABILIDAD LIMITADA</v>
          </cell>
          <cell r="H20" t="str">
            <v>COMPAÑIA MINERA LINCUNA SA</v>
          </cell>
        </row>
        <row r="21">
          <cell r="B21">
            <v>863</v>
          </cell>
          <cell r="C21">
            <v>45114</v>
          </cell>
          <cell r="D21">
            <v>90</v>
          </cell>
          <cell r="E21">
            <v>45204</v>
          </cell>
          <cell r="F21">
            <v>79</v>
          </cell>
          <cell r="G21" t="str">
            <v>TRANS CARGO MEDINA SOCIEDAD COMERCIAL DE RESPONSABILIDAD LIMITADA</v>
          </cell>
          <cell r="H21" t="str">
            <v>COMPAÑIA MINERA LINCUNA SA</v>
          </cell>
        </row>
        <row r="22">
          <cell r="B22">
            <v>864</v>
          </cell>
          <cell r="C22">
            <v>45114</v>
          </cell>
          <cell r="D22">
            <v>90</v>
          </cell>
          <cell r="E22">
            <v>45204</v>
          </cell>
          <cell r="F22">
            <v>79</v>
          </cell>
          <cell r="G22" t="str">
            <v>TRANS CARGO MEDINA SOCIEDAD COMERCIAL DE RESPONSABILIDAD LIMITADA</v>
          </cell>
          <cell r="H22" t="str">
            <v>COMPAÑIA MINERA LINCUNA SA</v>
          </cell>
        </row>
        <row r="23">
          <cell r="B23">
            <v>865</v>
          </cell>
          <cell r="C23">
            <v>45114</v>
          </cell>
          <cell r="D23">
            <v>90</v>
          </cell>
          <cell r="E23">
            <v>45204</v>
          </cell>
          <cell r="F23">
            <v>79</v>
          </cell>
          <cell r="G23" t="str">
            <v>TRANS CARGO MEDINA SOCIEDAD COMERCIAL DE RESPONSABILIDAD LIMITADA</v>
          </cell>
          <cell r="H23" t="str">
            <v>COMPAÑIA MINERA LINCUNA SA</v>
          </cell>
        </row>
        <row r="24">
          <cell r="B24">
            <v>867</v>
          </cell>
          <cell r="C24">
            <v>45117</v>
          </cell>
          <cell r="D24">
            <v>90</v>
          </cell>
          <cell r="E24">
            <v>45207</v>
          </cell>
          <cell r="F24">
            <v>82</v>
          </cell>
          <cell r="G24" t="str">
            <v>TRANS CARGO MEDINA SOCIEDAD COMERCIAL DE RESPONSABILIDAD LIMITADA</v>
          </cell>
          <cell r="H24" t="str">
            <v>COMPAÑIA MINERA LINCUNA SA</v>
          </cell>
        </row>
        <row r="25">
          <cell r="B25">
            <v>868</v>
          </cell>
          <cell r="C25">
            <v>45117</v>
          </cell>
          <cell r="D25">
            <v>90</v>
          </cell>
          <cell r="E25">
            <v>45207</v>
          </cell>
          <cell r="F25">
            <v>82</v>
          </cell>
          <cell r="G25" t="str">
            <v>TRANS CARGO MEDINA SOCIEDAD COMERCIAL DE RESPONSABILIDAD LIMITADA</v>
          </cell>
          <cell r="H25" t="str">
            <v>COMPAÑIA MINERA LINCUNA SA</v>
          </cell>
        </row>
        <row r="26">
          <cell r="B26">
            <v>869</v>
          </cell>
          <cell r="C26">
            <v>45117</v>
          </cell>
          <cell r="D26">
            <v>90</v>
          </cell>
          <cell r="E26">
            <v>45207</v>
          </cell>
          <cell r="F26">
            <v>82</v>
          </cell>
          <cell r="G26" t="str">
            <v>TRANS CARGO MEDINA SOCIEDAD COMERCIAL DE RESPONSABILIDAD LIMITADA</v>
          </cell>
          <cell r="H26" t="str">
            <v>COMPAÑIA MINERA LINCUNA SA</v>
          </cell>
        </row>
        <row r="27">
          <cell r="B27">
            <v>870</v>
          </cell>
          <cell r="C27">
            <v>45117</v>
          </cell>
          <cell r="D27">
            <v>90</v>
          </cell>
          <cell r="E27">
            <v>45207</v>
          </cell>
          <cell r="F27">
            <v>82</v>
          </cell>
          <cell r="G27" t="str">
            <v>TRANS CARGO MEDINA SOCIEDAD COMERCIAL DE RESPONSABILIDAD LIMITADA</v>
          </cell>
          <cell r="H27" t="str">
            <v>COMPAÑIA MINERA LINCUNA SA</v>
          </cell>
        </row>
        <row r="28">
          <cell r="B28">
            <v>871</v>
          </cell>
          <cell r="C28">
            <v>45117</v>
          </cell>
          <cell r="D28">
            <v>90</v>
          </cell>
          <cell r="E28">
            <v>45207</v>
          </cell>
          <cell r="F28">
            <v>82</v>
          </cell>
          <cell r="G28" t="str">
            <v>TRANS CARGO MEDINA SOCIEDAD COMERCIAL DE RESPONSABILIDAD LIMITADA</v>
          </cell>
          <cell r="H28" t="str">
            <v>COMPAÑIA MINERA LINCUNA SA</v>
          </cell>
        </row>
        <row r="29">
          <cell r="B29">
            <v>872</v>
          </cell>
          <cell r="C29">
            <v>45117</v>
          </cell>
          <cell r="D29">
            <v>90</v>
          </cell>
          <cell r="E29">
            <v>45207</v>
          </cell>
          <cell r="F29">
            <v>82</v>
          </cell>
          <cell r="G29" t="str">
            <v>TRANS CARGO MEDINA SOCIEDAD COMERCIAL DE RESPONSABILIDAD LIMITADA</v>
          </cell>
          <cell r="H29" t="str">
            <v>COMPAÑIA MINERA LINCUNA SA</v>
          </cell>
        </row>
        <row r="30">
          <cell r="B30">
            <v>873</v>
          </cell>
          <cell r="C30">
            <v>45117</v>
          </cell>
          <cell r="D30">
            <v>90</v>
          </cell>
          <cell r="E30">
            <v>45207</v>
          </cell>
          <cell r="F30">
            <v>82</v>
          </cell>
          <cell r="G30" t="str">
            <v>TRANS CARGO MEDINA SOCIEDAD COMERCIAL DE RESPONSABILIDAD LIMITADA</v>
          </cell>
          <cell r="H30" t="str">
            <v>COMPAÑIA MINERA LINCUNA SA</v>
          </cell>
        </row>
        <row r="31">
          <cell r="B31">
            <v>874</v>
          </cell>
          <cell r="C31">
            <v>45117</v>
          </cell>
          <cell r="D31">
            <v>90</v>
          </cell>
          <cell r="E31">
            <v>45207</v>
          </cell>
          <cell r="F31">
            <v>82</v>
          </cell>
          <cell r="G31" t="str">
            <v>TRANS CARGO MEDINA SOCIEDAD COMERCIAL DE RESPONSABILIDAD LIMITADA</v>
          </cell>
          <cell r="H31" t="str">
            <v>COMPAÑIA MINERA LINCUNA SA</v>
          </cell>
        </row>
        <row r="32">
          <cell r="B32">
            <v>875</v>
          </cell>
          <cell r="C32">
            <v>45117</v>
          </cell>
          <cell r="D32">
            <v>90</v>
          </cell>
          <cell r="E32">
            <v>45207</v>
          </cell>
          <cell r="F32">
            <v>82</v>
          </cell>
          <cell r="G32" t="str">
            <v>TRANS CARGO MEDINA SOCIEDAD COMERCIAL DE RESPONSABILIDAD LIMITADA</v>
          </cell>
          <cell r="H32" t="str">
            <v>COMPAÑIA MINERA LINCUNA SA</v>
          </cell>
        </row>
        <row r="33">
          <cell r="B33">
            <v>876</v>
          </cell>
          <cell r="C33">
            <v>45117</v>
          </cell>
          <cell r="D33">
            <v>90</v>
          </cell>
          <cell r="E33">
            <v>45207</v>
          </cell>
          <cell r="F33">
            <v>82</v>
          </cell>
          <cell r="G33" t="str">
            <v>TRANS CARGO MEDINA SOCIEDAD COMERCIAL DE RESPONSABILIDAD LIMITADA</v>
          </cell>
          <cell r="H33" t="str">
            <v>COMPAÑIA MINERA LINCUNA SA</v>
          </cell>
        </row>
        <row r="34">
          <cell r="B34">
            <v>877</v>
          </cell>
          <cell r="C34">
            <v>45117</v>
          </cell>
          <cell r="D34">
            <v>90</v>
          </cell>
          <cell r="E34">
            <v>45207</v>
          </cell>
          <cell r="F34">
            <v>82</v>
          </cell>
          <cell r="G34" t="str">
            <v>TRANS CARGO MEDINA SOCIEDAD COMERCIAL DE RESPONSABILIDAD LIMITADA</v>
          </cell>
          <cell r="H34" t="str">
            <v>COMPAÑIA MINERA LINCUNA SA</v>
          </cell>
        </row>
        <row r="35">
          <cell r="B35">
            <v>878</v>
          </cell>
          <cell r="C35">
            <v>45117</v>
          </cell>
          <cell r="D35">
            <v>90</v>
          </cell>
          <cell r="E35">
            <v>45207</v>
          </cell>
          <cell r="F35">
            <v>82</v>
          </cell>
          <cell r="G35" t="str">
            <v>TRANS CARGO MEDINA SOCIEDAD COMERCIAL DE RESPONSABILIDAD LIMITADA</v>
          </cell>
          <cell r="H35" t="str">
            <v>COMPAÑIA MINERA LINCUNA SA</v>
          </cell>
        </row>
        <row r="36">
          <cell r="B36">
            <v>879</v>
          </cell>
          <cell r="C36">
            <v>45117</v>
          </cell>
          <cell r="D36">
            <v>90</v>
          </cell>
          <cell r="E36">
            <v>45207</v>
          </cell>
          <cell r="F36">
            <v>82</v>
          </cell>
          <cell r="G36" t="str">
            <v>TRANS CARGO MEDINA SOCIEDAD COMERCIAL DE RESPONSABILIDAD LIMITADA</v>
          </cell>
          <cell r="H36" t="str">
            <v>COMPAÑIA MINERA LINCUNA SA</v>
          </cell>
        </row>
        <row r="37">
          <cell r="B37">
            <v>880</v>
          </cell>
          <cell r="C37">
            <v>45117</v>
          </cell>
          <cell r="D37">
            <v>90</v>
          </cell>
          <cell r="E37">
            <v>45207</v>
          </cell>
          <cell r="F37">
            <v>82</v>
          </cell>
          <cell r="G37" t="str">
            <v>TRANS CARGO MEDINA SOCIEDAD COMERCIAL DE RESPONSABILIDAD LIMITADA</v>
          </cell>
          <cell r="H37" t="str">
            <v>COMPAÑIA MINERA LINCUNA SA</v>
          </cell>
        </row>
        <row r="38">
          <cell r="B38">
            <v>881</v>
          </cell>
          <cell r="C38">
            <v>45117</v>
          </cell>
          <cell r="D38">
            <v>90</v>
          </cell>
          <cell r="E38">
            <v>45207</v>
          </cell>
          <cell r="F38">
            <v>82</v>
          </cell>
          <cell r="G38" t="str">
            <v>TRANS CARGO MEDINA SOCIEDAD COMERCIAL DE RESPONSABILIDAD LIMITADA</v>
          </cell>
          <cell r="H38" t="str">
            <v>COMPAÑIA MINERA LINCUNA SA</v>
          </cell>
        </row>
        <row r="39">
          <cell r="B39">
            <v>882</v>
          </cell>
          <cell r="C39">
            <v>45118</v>
          </cell>
          <cell r="D39">
            <v>90</v>
          </cell>
          <cell r="E39">
            <v>45208</v>
          </cell>
          <cell r="F39">
            <v>83</v>
          </cell>
          <cell r="G39" t="str">
            <v>TRANS CARGO MEDINA SOCIEDAD COMERCIAL DE RESPONSABILIDAD LIMITADA</v>
          </cell>
          <cell r="H39" t="str">
            <v>CONTONGA MINERIA SAC</v>
          </cell>
        </row>
        <row r="40">
          <cell r="B40">
            <v>883</v>
          </cell>
          <cell r="C40">
            <v>45118</v>
          </cell>
          <cell r="D40">
            <v>90</v>
          </cell>
          <cell r="E40">
            <v>45208</v>
          </cell>
          <cell r="F40">
            <v>83</v>
          </cell>
          <cell r="G40" t="str">
            <v>TRANS CARGO MEDINA SOCIEDAD COMERCIAL DE RESPONSABILIDAD LIMITADA</v>
          </cell>
          <cell r="H40" t="str">
            <v>CONTONGA MINERIA SAC</v>
          </cell>
        </row>
        <row r="41">
          <cell r="B41">
            <v>884</v>
          </cell>
          <cell r="C41">
            <v>45118</v>
          </cell>
          <cell r="D41">
            <v>90</v>
          </cell>
          <cell r="E41">
            <v>45208</v>
          </cell>
          <cell r="F41">
            <v>83</v>
          </cell>
          <cell r="G41" t="str">
            <v>TRANS CARGO MEDINA SOCIEDAD COMERCIAL DE RESPONSABILIDAD LIMITADA</v>
          </cell>
          <cell r="H41" t="str">
            <v>CONTONGA MINERIA SAC</v>
          </cell>
        </row>
        <row r="42">
          <cell r="B42">
            <v>885</v>
          </cell>
          <cell r="C42">
            <v>45118</v>
          </cell>
          <cell r="D42">
            <v>90</v>
          </cell>
          <cell r="E42">
            <v>45208</v>
          </cell>
          <cell r="F42">
            <v>83</v>
          </cell>
          <cell r="G42" t="str">
            <v>TRANS CARGO MEDINA SOCIEDAD COMERCIAL DE RESPONSABILIDAD LIMITADA</v>
          </cell>
          <cell r="H42" t="str">
            <v>CONTONGA MINERIA SAC</v>
          </cell>
        </row>
        <row r="43">
          <cell r="B43">
            <v>886</v>
          </cell>
          <cell r="C43">
            <v>45118</v>
          </cell>
          <cell r="D43">
            <v>90</v>
          </cell>
          <cell r="E43">
            <v>45208</v>
          </cell>
          <cell r="F43">
            <v>83</v>
          </cell>
          <cell r="G43" t="str">
            <v>TRANS CARGO MEDINA SOCIEDAD COMERCIAL DE RESPONSABILIDAD LIMITADA</v>
          </cell>
          <cell r="H43" t="str">
            <v>CONTONGA MINERIA SAC</v>
          </cell>
        </row>
        <row r="44">
          <cell r="B44">
            <v>887</v>
          </cell>
          <cell r="C44">
            <v>45119</v>
          </cell>
          <cell r="D44">
            <v>90</v>
          </cell>
          <cell r="E44">
            <v>45209</v>
          </cell>
          <cell r="F44">
            <v>84</v>
          </cell>
          <cell r="G44" t="str">
            <v>TRANS CARGO MEDINA SOCIEDAD COMERCIAL DE RESPONSABILIDAD LIMITADA</v>
          </cell>
          <cell r="H44" t="str">
            <v>CONTONGA MINERIA SAC</v>
          </cell>
        </row>
        <row r="45">
          <cell r="B45">
            <v>888</v>
          </cell>
          <cell r="C45">
            <v>45119</v>
          </cell>
          <cell r="D45">
            <v>90</v>
          </cell>
          <cell r="E45">
            <v>45209</v>
          </cell>
          <cell r="F45">
            <v>84</v>
          </cell>
          <cell r="G45" t="str">
            <v>TRANS CARGO MEDINA SOCIEDAD COMERCIAL DE RESPONSABILIDAD LIMITADA</v>
          </cell>
          <cell r="H45" t="str">
            <v>CONTONGA MINERIA SAC</v>
          </cell>
        </row>
        <row r="46">
          <cell r="B46">
            <v>889</v>
          </cell>
          <cell r="C46">
            <v>45119</v>
          </cell>
          <cell r="D46">
            <v>90</v>
          </cell>
          <cell r="E46">
            <v>45209</v>
          </cell>
          <cell r="F46">
            <v>84</v>
          </cell>
          <cell r="G46" t="str">
            <v>TRANS CARGO MEDINA SOCIEDAD COMERCIAL DE RESPONSABILIDAD LIMITADA</v>
          </cell>
          <cell r="H46" t="str">
            <v>CONTONGA MINERIA SAC</v>
          </cell>
        </row>
        <row r="47">
          <cell r="B47">
            <v>890</v>
          </cell>
          <cell r="C47">
            <v>45119</v>
          </cell>
          <cell r="D47">
            <v>90</v>
          </cell>
          <cell r="E47">
            <v>45209</v>
          </cell>
          <cell r="F47">
            <v>84</v>
          </cell>
          <cell r="G47" t="str">
            <v>TRANS CARGO MEDINA SOCIEDAD COMERCIAL DE RESPONSABILIDAD LIMITADA</v>
          </cell>
          <cell r="H47" t="str">
            <v>CONTONGA MINERIA SAC</v>
          </cell>
        </row>
        <row r="48">
          <cell r="B48">
            <v>891</v>
          </cell>
          <cell r="C48">
            <v>45119</v>
          </cell>
          <cell r="D48">
            <v>90</v>
          </cell>
          <cell r="E48">
            <v>45209</v>
          </cell>
          <cell r="F48">
            <v>84</v>
          </cell>
          <cell r="G48" t="str">
            <v>TRANS CARGO MEDINA SOCIEDAD COMERCIAL DE RESPONSABILIDAD LIMITADA</v>
          </cell>
          <cell r="H48" t="str">
            <v>CONTONGA MINERIA SAC</v>
          </cell>
        </row>
        <row r="49">
          <cell r="B49">
            <v>892</v>
          </cell>
          <cell r="C49">
            <v>45119</v>
          </cell>
          <cell r="D49">
            <v>90</v>
          </cell>
          <cell r="E49">
            <v>45209</v>
          </cell>
          <cell r="F49">
            <v>84</v>
          </cell>
          <cell r="G49" t="str">
            <v>TRANS CARGO MEDINA SOCIEDAD COMERCIAL DE RESPONSABILIDAD LIMITADA</v>
          </cell>
          <cell r="H49" t="str">
            <v>CONTONGA MINERIA SAC</v>
          </cell>
        </row>
        <row r="50">
          <cell r="B50">
            <v>893</v>
          </cell>
          <cell r="C50">
            <v>45119</v>
          </cell>
          <cell r="D50">
            <v>90</v>
          </cell>
          <cell r="E50">
            <v>45209</v>
          </cell>
          <cell r="F50">
            <v>84</v>
          </cell>
          <cell r="G50" t="str">
            <v>TRANS CARGO MEDINA SOCIEDAD COMERCIAL DE RESPONSABILIDAD LIMITADA</v>
          </cell>
          <cell r="H50" t="str">
            <v>CONTONGA MINERIA SAC</v>
          </cell>
        </row>
        <row r="51">
          <cell r="B51">
            <v>895</v>
          </cell>
          <cell r="C51">
            <v>45120</v>
          </cell>
          <cell r="D51">
            <v>90</v>
          </cell>
          <cell r="E51">
            <v>45210</v>
          </cell>
          <cell r="F51">
            <v>85</v>
          </cell>
          <cell r="G51" t="str">
            <v>TRANS CARGO MEDINA SOCIEDAD COMERCIAL DE RESPONSABILIDAD LIMITADA</v>
          </cell>
          <cell r="H51" t="str">
            <v>COMPAÑIA MINERA LINCUNA SA</v>
          </cell>
        </row>
        <row r="52">
          <cell r="B52">
            <v>896</v>
          </cell>
          <cell r="C52">
            <v>45120</v>
          </cell>
          <cell r="D52">
            <v>90</v>
          </cell>
          <cell r="E52">
            <v>45210</v>
          </cell>
          <cell r="F52">
            <v>85</v>
          </cell>
          <cell r="G52" t="str">
            <v>TRANS CARGO MEDINA SOCIEDAD COMERCIAL DE RESPONSABILIDAD LIMITADA</v>
          </cell>
          <cell r="H52" t="str">
            <v>COMPAÑIA MINERA LINCUNA SA</v>
          </cell>
        </row>
        <row r="53">
          <cell r="B53">
            <v>897</v>
          </cell>
          <cell r="C53">
            <v>45120</v>
          </cell>
          <cell r="D53">
            <v>90</v>
          </cell>
          <cell r="E53">
            <v>45210</v>
          </cell>
          <cell r="F53">
            <v>85</v>
          </cell>
          <cell r="G53" t="str">
            <v>TRANS CARGO MEDINA SOCIEDAD COMERCIAL DE RESPONSABILIDAD LIMITADA</v>
          </cell>
          <cell r="H53" t="str">
            <v>COMPAÑIA MINERA LINCUNA SA</v>
          </cell>
        </row>
        <row r="54">
          <cell r="B54">
            <v>898</v>
          </cell>
          <cell r="C54">
            <v>45121</v>
          </cell>
          <cell r="D54">
            <v>90</v>
          </cell>
          <cell r="E54">
            <v>45211</v>
          </cell>
          <cell r="F54">
            <v>86</v>
          </cell>
          <cell r="G54" t="str">
            <v>TRANS CARGO MEDINA SOCIEDAD COMERCIAL DE RESPONSABILIDAD LIMITADA</v>
          </cell>
          <cell r="H54" t="str">
            <v>CONTONGA MINERIA SAC</v>
          </cell>
        </row>
        <row r="55">
          <cell r="B55">
            <v>899</v>
          </cell>
          <cell r="C55">
            <v>45121</v>
          </cell>
          <cell r="D55">
            <v>90</v>
          </cell>
          <cell r="E55">
            <v>45211</v>
          </cell>
          <cell r="F55">
            <v>86</v>
          </cell>
          <cell r="G55" t="str">
            <v>TRANS CARGO MEDINA SOCIEDAD COMERCIAL DE RESPONSABILIDAD LIMITADA</v>
          </cell>
          <cell r="H55" t="str">
            <v>CONTONGA MINERIA SAC</v>
          </cell>
        </row>
        <row r="56">
          <cell r="B56">
            <v>901</v>
          </cell>
          <cell r="C56">
            <v>45124</v>
          </cell>
          <cell r="D56">
            <v>90</v>
          </cell>
          <cell r="E56">
            <v>45214</v>
          </cell>
          <cell r="F56">
            <v>89</v>
          </cell>
          <cell r="G56" t="str">
            <v>TRANS CARGO MEDINA SOCIEDAD COMERCIAL DE RESPONSABILIDAD LIMITADA</v>
          </cell>
          <cell r="H56" t="str">
            <v>COMPAÑIA MINERA LINCUNA SA</v>
          </cell>
        </row>
        <row r="57">
          <cell r="B57">
            <v>902</v>
          </cell>
          <cell r="C57">
            <v>45124</v>
          </cell>
          <cell r="D57">
            <v>90</v>
          </cell>
          <cell r="E57">
            <v>45214</v>
          </cell>
          <cell r="F57">
            <v>89</v>
          </cell>
          <cell r="G57" t="str">
            <v>TRANS CARGO MEDINA SOCIEDAD COMERCIAL DE RESPONSABILIDAD LIMITADA</v>
          </cell>
          <cell r="H57" t="str">
            <v>COMPAÑIA MINERA LINCUNA SA</v>
          </cell>
        </row>
        <row r="58">
          <cell r="B58"/>
          <cell r="C58"/>
          <cell r="D58"/>
          <cell r="E58" t="str">
            <v/>
          </cell>
          <cell r="F58" t="str">
            <v/>
          </cell>
          <cell r="G58" t="str">
            <v/>
          </cell>
          <cell r="H58"/>
        </row>
        <row r="59">
          <cell r="B59"/>
          <cell r="C59"/>
          <cell r="D59"/>
          <cell r="E59" t="str">
            <v/>
          </cell>
          <cell r="F59" t="str">
            <v/>
          </cell>
          <cell r="G59" t="str">
            <v/>
          </cell>
          <cell r="H59"/>
        </row>
        <row r="60">
          <cell r="B60"/>
          <cell r="C60"/>
          <cell r="D60"/>
          <cell r="E60" t="str">
            <v/>
          </cell>
          <cell r="F60" t="str">
            <v/>
          </cell>
          <cell r="G60" t="str">
            <v/>
          </cell>
          <cell r="H60"/>
        </row>
        <row r="61">
          <cell r="B61"/>
          <cell r="C61"/>
          <cell r="D61"/>
          <cell r="E61" t="str">
            <v/>
          </cell>
          <cell r="F61" t="str">
            <v/>
          </cell>
          <cell r="G61" t="str">
            <v/>
          </cell>
          <cell r="H61"/>
        </row>
        <row r="62">
          <cell r="B62"/>
          <cell r="C62"/>
          <cell r="D62"/>
          <cell r="E62" t="str">
            <v/>
          </cell>
          <cell r="F62" t="str">
            <v/>
          </cell>
          <cell r="G62" t="str">
            <v/>
          </cell>
          <cell r="H62"/>
        </row>
        <row r="63">
          <cell r="B63"/>
          <cell r="C63"/>
          <cell r="D63"/>
          <cell r="E63" t="str">
            <v/>
          </cell>
          <cell r="F63" t="str">
            <v/>
          </cell>
          <cell r="G63" t="str">
            <v/>
          </cell>
          <cell r="H63"/>
        </row>
        <row r="64">
          <cell r="B64"/>
          <cell r="C64"/>
          <cell r="D64"/>
          <cell r="E64" t="str">
            <v/>
          </cell>
          <cell r="F64" t="str">
            <v/>
          </cell>
          <cell r="G64" t="str">
            <v/>
          </cell>
          <cell r="H64"/>
        </row>
        <row r="65">
          <cell r="B65"/>
          <cell r="C65"/>
          <cell r="D65"/>
          <cell r="E65" t="str">
            <v/>
          </cell>
          <cell r="F65" t="str">
            <v/>
          </cell>
          <cell r="G65" t="str">
            <v/>
          </cell>
          <cell r="H65"/>
        </row>
        <row r="66">
          <cell r="B66"/>
          <cell r="C66"/>
          <cell r="D66"/>
          <cell r="E66" t="str">
            <v/>
          </cell>
          <cell r="F66" t="str">
            <v/>
          </cell>
          <cell r="G66" t="str">
            <v/>
          </cell>
          <cell r="H66"/>
        </row>
        <row r="67">
          <cell r="B67"/>
          <cell r="C67"/>
          <cell r="D67"/>
          <cell r="E67" t="str">
            <v/>
          </cell>
          <cell r="F67" t="str">
            <v/>
          </cell>
          <cell r="G67" t="str">
            <v/>
          </cell>
          <cell r="H67"/>
        </row>
        <row r="68">
          <cell r="B68"/>
          <cell r="C68"/>
          <cell r="D68"/>
          <cell r="E68" t="str">
            <v/>
          </cell>
          <cell r="F68" t="str">
            <v/>
          </cell>
          <cell r="G68" t="str">
            <v/>
          </cell>
          <cell r="H68"/>
        </row>
        <row r="69">
          <cell r="B69"/>
          <cell r="C69"/>
          <cell r="D69"/>
          <cell r="E69" t="str">
            <v/>
          </cell>
          <cell r="F69" t="str">
            <v/>
          </cell>
          <cell r="G69" t="str">
            <v/>
          </cell>
          <cell r="H69"/>
        </row>
        <row r="70">
          <cell r="B70"/>
          <cell r="C70"/>
          <cell r="D70"/>
          <cell r="E70" t="str">
            <v/>
          </cell>
          <cell r="F70" t="str">
            <v/>
          </cell>
          <cell r="G70" t="str">
            <v/>
          </cell>
          <cell r="H70"/>
        </row>
        <row r="71">
          <cell r="B71"/>
          <cell r="C71"/>
          <cell r="D71"/>
          <cell r="E71" t="str">
            <v/>
          </cell>
          <cell r="F71" t="str">
            <v/>
          </cell>
          <cell r="G71" t="str">
            <v/>
          </cell>
          <cell r="H71"/>
        </row>
        <row r="72">
          <cell r="B72"/>
          <cell r="C72"/>
          <cell r="D72"/>
          <cell r="E72" t="str">
            <v/>
          </cell>
          <cell r="F72" t="str">
            <v/>
          </cell>
          <cell r="G72" t="str">
            <v/>
          </cell>
          <cell r="H72"/>
        </row>
        <row r="73">
          <cell r="B73"/>
          <cell r="C73"/>
          <cell r="D73"/>
          <cell r="E73" t="str">
            <v/>
          </cell>
          <cell r="F73" t="str">
            <v/>
          </cell>
          <cell r="G73" t="str">
            <v/>
          </cell>
          <cell r="H73"/>
        </row>
      </sheetData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92CDDC"/>
  </sheetPr>
  <dimension ref="A1:I161"/>
  <sheetViews>
    <sheetView showGridLines="0" view="pageBreakPreview" topLeftCell="A71" zoomScale="80" zoomScaleNormal="100" zoomScaleSheetLayoutView="80" workbookViewId="0">
      <selection activeCell="B11" sqref="B11"/>
    </sheetView>
  </sheetViews>
  <sheetFormatPr defaultColWidth="14.44140625" defaultRowHeight="15" customHeight="1" outlineLevelRow="1" outlineLevelCol="1"/>
  <cols>
    <col min="1" max="1" width="3.6640625" customWidth="1"/>
    <col min="2" max="2" width="18.6640625" customWidth="1"/>
    <col min="3" max="3" width="18.5546875" customWidth="1"/>
    <col min="4" max="8" width="18.6640625" customWidth="1"/>
    <col min="9" max="9" width="19.44140625" customWidth="1" outlineLevel="1"/>
    <col min="10" max="10" width="15.6640625" customWidth="1"/>
    <col min="11" max="11" width="11.44140625" customWidth="1"/>
    <col min="12" max="26" width="10.6640625" customWidth="1"/>
  </cols>
  <sheetData>
    <row r="1" spans="1:9" ht="15" customHeight="1">
      <c r="A1" s="11"/>
      <c r="B1" s="11"/>
      <c r="C1" s="11"/>
      <c r="D1" s="11"/>
      <c r="E1" s="11"/>
      <c r="F1" s="11"/>
      <c r="G1" s="19"/>
      <c r="H1" s="11"/>
      <c r="I1" s="20"/>
    </row>
    <row r="2" spans="1:9" ht="30" customHeight="1">
      <c r="A2" s="494" t="str">
        <f>+NSG!A2:H2</f>
        <v>FONDO NSG MIPYME - INANDES FACTOR CAPITAL S.A.C.</v>
      </c>
      <c r="B2" s="495"/>
      <c r="C2" s="495"/>
      <c r="D2" s="495"/>
      <c r="E2" s="495"/>
      <c r="F2" s="495"/>
      <c r="G2" s="495"/>
      <c r="H2" s="495"/>
      <c r="I2" s="42"/>
    </row>
    <row r="3" spans="1:9" ht="15" customHeight="1">
      <c r="A3" s="44"/>
      <c r="B3" s="44"/>
      <c r="C3" s="44"/>
      <c r="D3" s="44"/>
      <c r="E3" s="44"/>
      <c r="F3" s="44"/>
      <c r="G3" s="44"/>
      <c r="H3" s="44"/>
      <c r="I3" s="42"/>
    </row>
    <row r="4" spans="1:9" ht="12.75" customHeight="1">
      <c r="A4" s="46" t="s">
        <v>1</v>
      </c>
      <c r="B4" s="47"/>
      <c r="C4" s="49"/>
      <c r="D4" s="50"/>
      <c r="E4" s="52"/>
      <c r="F4" s="47"/>
      <c r="G4" s="47"/>
      <c r="H4" s="47"/>
      <c r="I4" s="47"/>
    </row>
    <row r="5" spans="1:9" ht="12.75" customHeight="1">
      <c r="A5" s="46" t="s">
        <v>2</v>
      </c>
      <c r="B5" s="47"/>
      <c r="C5" s="55" t="str">
        <f>IF(+NSG!$C$5="","",+NSG!$C$5)</f>
        <v>SERVICIOS MOBILES INTERNACIONALES</v>
      </c>
      <c r="D5" s="50"/>
      <c r="E5" s="47"/>
      <c r="F5" s="47"/>
      <c r="G5" s="47"/>
      <c r="H5" s="47"/>
      <c r="I5" s="47"/>
    </row>
    <row r="6" spans="1:9" ht="12.75" customHeight="1">
      <c r="A6" s="46" t="s">
        <v>3</v>
      </c>
      <c r="B6" s="47"/>
      <c r="C6" s="57">
        <f>IF(+NSG!$C$6="","",NSG!$C$6)</f>
        <v>20511763089</v>
      </c>
      <c r="D6" s="50"/>
      <c r="E6" s="47"/>
      <c r="F6" s="47"/>
      <c r="G6" s="47"/>
      <c r="H6" s="47"/>
      <c r="I6" s="47"/>
    </row>
    <row r="7" spans="1:9" ht="12.75" customHeight="1">
      <c r="A7" s="59" t="s">
        <v>4</v>
      </c>
      <c r="B7" s="47"/>
      <c r="C7" s="57" t="s">
        <v>8</v>
      </c>
      <c r="D7" s="50"/>
      <c r="E7" s="47"/>
      <c r="F7" s="47"/>
      <c r="G7" s="59"/>
      <c r="H7" s="47"/>
      <c r="I7" s="47"/>
    </row>
    <row r="8" spans="1:9" ht="9.75" customHeight="1">
      <c r="A8" s="11"/>
      <c r="B8" s="61"/>
      <c r="C8" s="11"/>
      <c r="D8" s="11"/>
      <c r="E8" s="11"/>
      <c r="F8" s="11"/>
      <c r="G8" s="19"/>
      <c r="H8" s="11"/>
      <c r="I8" s="20"/>
    </row>
    <row r="9" spans="1:9" ht="12.75" customHeight="1">
      <c r="A9" s="62"/>
      <c r="B9" s="71"/>
      <c r="C9" s="62"/>
      <c r="D9" s="74" t="str">
        <f>IF(NSG!$F$9="","PROPUESTA",+NSG!E9&amp;" "&amp;TEXT(NSG!$F$9,"00"))</f>
        <v>ANEXO 63</v>
      </c>
      <c r="E9" s="74" t="s">
        <v>10</v>
      </c>
      <c r="F9" s="498" t="str">
        <f>UPPER(TEXT(+NSG!$F$10,"DDDDD DD, MMM, YYYY"))</f>
        <v>MARTES 24, DIC, 2024</v>
      </c>
      <c r="G9" s="498"/>
      <c r="H9" s="498"/>
      <c r="I9" s="365"/>
    </row>
    <row r="10" spans="1:9" ht="12.75" customHeight="1" thickBot="1">
      <c r="A10" s="11"/>
      <c r="B10" s="61"/>
      <c r="C10" s="11"/>
      <c r="D10" s="11"/>
      <c r="E10" s="11"/>
      <c r="F10" s="20"/>
      <c r="G10" s="19"/>
      <c r="H10" s="20"/>
      <c r="I10" s="20"/>
    </row>
    <row r="11" spans="1:9" ht="12.75" customHeight="1" outlineLevel="1">
      <c r="A11" s="11"/>
      <c r="B11" s="61"/>
      <c r="C11" s="496" t="s">
        <v>11</v>
      </c>
      <c r="D11" s="497"/>
      <c r="E11" s="497"/>
      <c r="F11" s="81">
        <f>+NSG!G12</f>
        <v>426.21586194649876</v>
      </c>
      <c r="G11" s="11"/>
      <c r="H11" s="11"/>
      <c r="I11" s="20"/>
    </row>
    <row r="12" spans="1:9" ht="6.75" customHeight="1">
      <c r="A12" s="11"/>
      <c r="B12" s="11"/>
      <c r="C12" s="11"/>
      <c r="D12" s="11"/>
      <c r="E12" s="19"/>
      <c r="F12" s="11"/>
      <c r="G12" s="11"/>
      <c r="H12" s="83"/>
      <c r="I12" s="20"/>
    </row>
    <row r="13" spans="1:9" ht="39.6">
      <c r="A13" s="19"/>
      <c r="B13" s="85" t="s">
        <v>13</v>
      </c>
      <c r="C13" s="87" t="s">
        <v>14</v>
      </c>
      <c r="D13" s="87" t="s">
        <v>15</v>
      </c>
      <c r="E13" s="87" t="s">
        <v>16</v>
      </c>
      <c r="F13" s="85" t="s">
        <v>17</v>
      </c>
      <c r="G13" s="85" t="s">
        <v>18</v>
      </c>
      <c r="H13" s="90" t="str">
        <f>+NSG!$K$15</f>
        <v>MONTO NETO SOLES (PEN) / DOLARES (USD)</v>
      </c>
      <c r="I13" s="90" t="s">
        <v>92</v>
      </c>
    </row>
    <row r="14" spans="1:9" ht="22.8">
      <c r="A14" s="96"/>
      <c r="B14" s="99">
        <f>IF(+NSG!$B16="","",+NSG!$B16)</f>
        <v>3707</v>
      </c>
      <c r="C14" s="101">
        <f>IF(NSG!$E16="","",NSG!$E16)</f>
        <v>45748</v>
      </c>
      <c r="D14" s="101">
        <f>IF(NSG!$B16="","",+NSG!$F$10)</f>
        <v>45650</v>
      </c>
      <c r="E14" s="104">
        <f>IF(NSG!$F16="","",NSG!$F16)</f>
        <v>98</v>
      </c>
      <c r="F14" s="105" t="str">
        <f>+NSG!G16</f>
        <v>SERVICIOS MOBILES INTERNACIONALES</v>
      </c>
      <c r="G14" s="105" t="str">
        <f>IF(NSG!$B16="","",+NSG!$H16)</f>
        <v>HUAWEI DEL PERU SAC</v>
      </c>
      <c r="H14" s="107">
        <f>IF(NSG!$B16="","",+NSG!$K16)</f>
        <v>21358.06</v>
      </c>
      <c r="I14" s="109">
        <f>IF(NSG!$B16="","",+NSG!$L16)</f>
        <v>0.12</v>
      </c>
    </row>
    <row r="15" spans="1:9" ht="22.8">
      <c r="A15" s="96"/>
      <c r="B15" s="99">
        <f>IF(+NSG!$B17="","",+NSG!$B17)</f>
        <v>3708</v>
      </c>
      <c r="C15" s="101">
        <f>IF(NSG!$E17="","",NSG!$E17)</f>
        <v>45748</v>
      </c>
      <c r="D15" s="101">
        <f>IF(NSG!$B17="","",+NSG!$F$10)</f>
        <v>45650</v>
      </c>
      <c r="E15" s="104">
        <f>IF(NSG!$F17="","",NSG!$F17)</f>
        <v>98</v>
      </c>
      <c r="F15" s="105" t="str">
        <f>+NSG!G17</f>
        <v>SERVICIOS MOBILES INTERNACIONALES</v>
      </c>
      <c r="G15" s="105" t="str">
        <f>IF(NSG!$B17="","",+NSG!$H17)</f>
        <v>HUAWEI DEL PERU SAC</v>
      </c>
      <c r="H15" s="107">
        <f>IF(NSG!$B17="","",+NSG!$K17)</f>
        <v>9024.4</v>
      </c>
      <c r="I15" s="109">
        <f>IF(NSG!$B17="","",+NSG!$L17)</f>
        <v>0.12</v>
      </c>
    </row>
    <row r="16" spans="1:9" ht="22.8">
      <c r="A16" s="96"/>
      <c r="B16" s="99">
        <f>IF(+NSG!$B18="","",+NSG!$B18)</f>
        <v>3709</v>
      </c>
      <c r="C16" s="101">
        <f>IF(NSG!$E18="","",NSG!$E18)</f>
        <v>45748</v>
      </c>
      <c r="D16" s="101">
        <f>IF(NSG!$B18="","",+NSG!$F$10)</f>
        <v>45650</v>
      </c>
      <c r="E16" s="104">
        <f>IF(NSG!$F18="","",NSG!$F18)</f>
        <v>98</v>
      </c>
      <c r="F16" s="105" t="str">
        <f>+NSG!G18</f>
        <v>SERVICIOS MOBILES INTERNACIONALES</v>
      </c>
      <c r="G16" s="105" t="str">
        <f>IF(NSG!$B18="","",+NSG!$H18)</f>
        <v>HUAWEI DEL PERU SAC</v>
      </c>
      <c r="H16" s="107">
        <f>IF(NSG!$B18="","",+NSG!$K18)</f>
        <v>9024.4</v>
      </c>
      <c r="I16" s="109">
        <f>IF(NSG!$B18="","",+NSG!$L18)</f>
        <v>0.12</v>
      </c>
    </row>
    <row r="17" spans="1:9" ht="22.8">
      <c r="A17" s="96"/>
      <c r="B17" s="99">
        <f>IF(+NSG!$B19="","",+NSG!$B19)</f>
        <v>3710</v>
      </c>
      <c r="C17" s="101">
        <f>IF(NSG!$E19="","",NSG!$E19)</f>
        <v>45748</v>
      </c>
      <c r="D17" s="101">
        <f>IF(NSG!$B19="","",+NSG!$F$10)</f>
        <v>45650</v>
      </c>
      <c r="E17" s="104">
        <f>IF(NSG!$F19="","",NSG!$F19)</f>
        <v>98</v>
      </c>
      <c r="F17" s="105" t="str">
        <f>+NSG!G19</f>
        <v>SERVICIOS MOBILES INTERNACIONALES</v>
      </c>
      <c r="G17" s="105" t="str">
        <f>IF(NSG!$B19="","",+NSG!$H19)</f>
        <v>HUAWEI DEL PERU SAC</v>
      </c>
      <c r="H17" s="107">
        <f>IF(NSG!$B19="","",+NSG!$K19)</f>
        <v>9024.4</v>
      </c>
      <c r="I17" s="109">
        <f>IF(NSG!$B19="","",+NSG!$L19)</f>
        <v>0.12</v>
      </c>
    </row>
    <row r="18" spans="1:9" ht="22.8">
      <c r="A18" s="96"/>
      <c r="B18" s="99">
        <f>IF(+NSG!$B20="","",+NSG!$B20)</f>
        <v>3711</v>
      </c>
      <c r="C18" s="101">
        <f>IF(NSG!$E20="","",NSG!$E20)</f>
        <v>45748</v>
      </c>
      <c r="D18" s="101">
        <f>IF(NSG!$B20="","",+NSG!$F$10)</f>
        <v>45650</v>
      </c>
      <c r="E18" s="104">
        <f>IF(NSG!$F20="","",NSG!$F20)</f>
        <v>98</v>
      </c>
      <c r="F18" s="105" t="str">
        <f>+NSG!G20</f>
        <v>SERVICIOS MOBILES INTERNACIONALES</v>
      </c>
      <c r="G18" s="105" t="str">
        <f>IF(NSG!$B20="","",+NSG!$H20)</f>
        <v>HUAWEI DEL PERU SAC</v>
      </c>
      <c r="H18" s="107">
        <f>IF(NSG!$B20="","",+NSG!$K20)</f>
        <v>5229.6899999999996</v>
      </c>
      <c r="I18" s="109">
        <f>IF(NSG!$B20="","",+NSG!$L20)</f>
        <v>0.12</v>
      </c>
    </row>
    <row r="19" spans="1:9" ht="22.8">
      <c r="A19" s="96"/>
      <c r="B19" s="99">
        <f>IF(+NSG!$B21="","",+NSG!$B21)</f>
        <v>3712</v>
      </c>
      <c r="C19" s="101">
        <f>IF(NSG!$E21="","",NSG!$E21)</f>
        <v>45748</v>
      </c>
      <c r="D19" s="101">
        <f>IF(NSG!$B21="","",+NSG!$F$10)</f>
        <v>45650</v>
      </c>
      <c r="E19" s="104">
        <f>IF(NSG!$F21="","",NSG!$F21)</f>
        <v>98</v>
      </c>
      <c r="F19" s="105" t="str">
        <f>+NSG!G21</f>
        <v>SERVICIOS MOBILES INTERNACIONALES</v>
      </c>
      <c r="G19" s="105" t="str">
        <f>IF(NSG!$B21="","",+NSG!$H21)</f>
        <v>HUAWEI DEL PERU SAC</v>
      </c>
      <c r="H19" s="107">
        <f>IF(NSG!$B21="","",+NSG!$K21)</f>
        <v>6258.72</v>
      </c>
      <c r="I19" s="109">
        <f>IF(NSG!$B21="","",+NSG!$L21)</f>
        <v>0.12</v>
      </c>
    </row>
    <row r="20" spans="1:9" ht="22.8">
      <c r="A20" s="96"/>
      <c r="B20" s="99">
        <f>IF(+NSG!$B22="","",+NSG!$B22)</f>
        <v>3713</v>
      </c>
      <c r="C20" s="101">
        <f>IF(NSG!$E22="","",NSG!$E22)</f>
        <v>45748</v>
      </c>
      <c r="D20" s="101">
        <f>IF(NSG!$B22="","",+NSG!$F$10)</f>
        <v>45650</v>
      </c>
      <c r="E20" s="104">
        <f>IF(NSG!$F22="","",NSG!$F22)</f>
        <v>98</v>
      </c>
      <c r="F20" s="105" t="str">
        <f>+NSG!G22</f>
        <v>SERVICIOS MOBILES INTERNACIONALES</v>
      </c>
      <c r="G20" s="105" t="str">
        <f>IF(NSG!$B22="","",+NSG!$H22)</f>
        <v>HUAWEI DEL PERU SAC</v>
      </c>
      <c r="H20" s="107">
        <f>IF(NSG!$B22="","",+NSG!$K22)</f>
        <v>8184.48</v>
      </c>
      <c r="I20" s="109">
        <f>IF(NSG!$B22="","",+NSG!$L22)</f>
        <v>0.12</v>
      </c>
    </row>
    <row r="21" spans="1:9" ht="18" customHeight="1">
      <c r="A21" s="96"/>
      <c r="B21" s="99" t="str">
        <f>IF(+NSG!$B23="","",+NSG!$B23)</f>
        <v/>
      </c>
      <c r="C21" s="101" t="str">
        <f>IF(NSG!$E23="","",NSG!$E23)</f>
        <v/>
      </c>
      <c r="D21" s="101" t="str">
        <f>IF(NSG!$B23="","",+NSG!$F$10)</f>
        <v/>
      </c>
      <c r="E21" s="104" t="str">
        <f>IF(NSG!$F23="","",NSG!$F23)</f>
        <v/>
      </c>
      <c r="F21" s="105" t="str">
        <f>+NSG!G23</f>
        <v/>
      </c>
      <c r="G21" s="105" t="str">
        <f>IF(NSG!$B23="","",+NSG!$H23)</f>
        <v/>
      </c>
      <c r="H21" s="107" t="str">
        <f>IF(NSG!$B23="","",+NSG!$K23)</f>
        <v/>
      </c>
      <c r="I21" s="109" t="str">
        <f>IF(NSG!$B23="","",+NSG!$L23)</f>
        <v/>
      </c>
    </row>
    <row r="22" spans="1:9" ht="18" customHeight="1" outlineLevel="1">
      <c r="A22" s="96"/>
      <c r="B22" s="99" t="str">
        <f>IF(+NSG!$B24="","",+NSG!$B24)</f>
        <v/>
      </c>
      <c r="C22" s="101" t="str">
        <f>IF(NSG!$E24="","",NSG!$E24)</f>
        <v/>
      </c>
      <c r="D22" s="101" t="str">
        <f>IF(NSG!$B24="","",+NSG!$F$10)</f>
        <v/>
      </c>
      <c r="E22" s="104" t="str">
        <f>IF(NSG!$F24="","",NSG!$F24)</f>
        <v/>
      </c>
      <c r="F22" s="105" t="str">
        <f>+NSG!G24</f>
        <v/>
      </c>
      <c r="G22" s="105" t="str">
        <f>IF(NSG!$B24="","",+NSG!$H24)</f>
        <v/>
      </c>
      <c r="H22" s="107" t="str">
        <f>IF(NSG!$B24="","",+NSG!$K24)</f>
        <v/>
      </c>
      <c r="I22" s="109" t="str">
        <f>IF(NSG!$B24="","",+NSG!$L24)</f>
        <v/>
      </c>
    </row>
    <row r="23" spans="1:9" ht="13.2" hidden="1" outlineLevel="1">
      <c r="A23" s="96"/>
      <c r="B23" s="99" t="str">
        <f>IF(+NSG!$B25="","",+NSG!$B25)</f>
        <v/>
      </c>
      <c r="C23" s="101" t="str">
        <f>IF(NSG!$E25="","",NSG!$E25)</f>
        <v/>
      </c>
      <c r="D23" s="101" t="str">
        <f>IF(NSG!$B25="","",+NSG!$F$10)</f>
        <v/>
      </c>
      <c r="E23" s="104" t="str">
        <f>IF(NSG!$F25="","",NSG!$F25)</f>
        <v/>
      </c>
      <c r="F23" s="105" t="str">
        <f>+NSG!G25</f>
        <v/>
      </c>
      <c r="G23" s="105" t="str">
        <f>IF(NSG!$B25="","",+NSG!$H25)</f>
        <v/>
      </c>
      <c r="H23" s="107" t="str">
        <f>IF(NSG!$B25="","",+NSG!$K25)</f>
        <v/>
      </c>
      <c r="I23" s="109" t="str">
        <f>IF(NSG!$B25="","",+NSG!$L25)</f>
        <v/>
      </c>
    </row>
    <row r="24" spans="1:9" ht="13.2" hidden="1" outlineLevel="1">
      <c r="A24" s="96"/>
      <c r="B24" s="99" t="str">
        <f>IF(+NSG!$B26="","",+NSG!$B26)</f>
        <v/>
      </c>
      <c r="C24" s="101" t="str">
        <f>IF(NSG!$E26="","",NSG!$E26)</f>
        <v/>
      </c>
      <c r="D24" s="101" t="str">
        <f>IF(NSG!$B26="","",+NSG!$F$10)</f>
        <v/>
      </c>
      <c r="E24" s="104" t="str">
        <f>IF(NSG!$F26="","",NSG!$F26)</f>
        <v/>
      </c>
      <c r="F24" s="105" t="str">
        <f>+NSG!G26</f>
        <v/>
      </c>
      <c r="G24" s="105" t="str">
        <f>IF(NSG!$B26="","",+NSG!$H26)</f>
        <v/>
      </c>
      <c r="H24" s="107" t="str">
        <f>IF(NSG!$B26="","",+NSG!$K26)</f>
        <v/>
      </c>
      <c r="I24" s="109" t="str">
        <f>IF(NSG!$B26="","",+NSG!$L26)</f>
        <v/>
      </c>
    </row>
    <row r="25" spans="1:9" ht="13.2" hidden="1" outlineLevel="1">
      <c r="A25" s="96"/>
      <c r="B25" s="99" t="str">
        <f>IF(+NSG!$B27="","",+NSG!$B27)</f>
        <v/>
      </c>
      <c r="C25" s="101" t="str">
        <f>IF(NSG!$E27="","",NSG!$E27)</f>
        <v/>
      </c>
      <c r="D25" s="101" t="str">
        <f>IF(NSG!$B27="","",+NSG!$F$10)</f>
        <v/>
      </c>
      <c r="E25" s="104" t="str">
        <f>IF(NSG!$F27="","",NSG!$F27)</f>
        <v/>
      </c>
      <c r="F25" s="105" t="str">
        <f>+NSG!G27</f>
        <v/>
      </c>
      <c r="G25" s="105" t="str">
        <f>IF(NSG!$B27="","",+NSG!$H27)</f>
        <v/>
      </c>
      <c r="H25" s="107" t="str">
        <f>IF(NSG!$B27="","",+NSG!$K27)</f>
        <v/>
      </c>
      <c r="I25" s="109" t="str">
        <f>IF(NSG!$B27="","",+NSG!$L27)</f>
        <v/>
      </c>
    </row>
    <row r="26" spans="1:9" ht="13.2" hidden="1" outlineLevel="1">
      <c r="A26" s="96"/>
      <c r="B26" s="99" t="str">
        <f>IF(+NSG!$B28="","",+NSG!$B28)</f>
        <v/>
      </c>
      <c r="C26" s="101" t="str">
        <f>IF(NSG!$E28="","",NSG!$E28)</f>
        <v/>
      </c>
      <c r="D26" s="101" t="str">
        <f>IF(NSG!$B28="","",+NSG!$F$10)</f>
        <v/>
      </c>
      <c r="E26" s="104" t="str">
        <f>IF(NSG!$F28="","",NSG!$F28)</f>
        <v/>
      </c>
      <c r="F26" s="105" t="str">
        <f>+NSG!G28</f>
        <v/>
      </c>
      <c r="G26" s="105" t="str">
        <f>IF(NSG!$B28="","",+NSG!$H28)</f>
        <v/>
      </c>
      <c r="H26" s="107" t="str">
        <f>IF(NSG!$B28="","",+NSG!$K28)</f>
        <v/>
      </c>
      <c r="I26" s="109" t="str">
        <f>IF(NSG!$B28="","",+NSG!$L28)</f>
        <v/>
      </c>
    </row>
    <row r="27" spans="1:9" ht="13.2" hidden="1" outlineLevel="1">
      <c r="A27" s="96"/>
      <c r="B27" s="99" t="str">
        <f>IF(+NSG!$B29="","",+NSG!$B29)</f>
        <v/>
      </c>
      <c r="C27" s="101" t="str">
        <f>IF(NSG!$E29="","",NSG!$E29)</f>
        <v/>
      </c>
      <c r="D27" s="101" t="str">
        <f>IF(NSG!$B29="","",+NSG!$F$10)</f>
        <v/>
      </c>
      <c r="E27" s="104" t="str">
        <f>IF(NSG!$F29="","",NSG!$F29)</f>
        <v/>
      </c>
      <c r="F27" s="105" t="str">
        <f>+NSG!G29</f>
        <v/>
      </c>
      <c r="G27" s="105" t="str">
        <f>IF(NSG!$B29="","",+NSG!$H29)</f>
        <v/>
      </c>
      <c r="H27" s="107" t="str">
        <f>IF(NSG!$B29="","",+NSG!$K29)</f>
        <v/>
      </c>
      <c r="I27" s="109" t="str">
        <f>IF(NSG!$B29="","",+NSG!$L29)</f>
        <v/>
      </c>
    </row>
    <row r="28" spans="1:9" ht="13.2" hidden="1" outlineLevel="1">
      <c r="A28" s="96"/>
      <c r="B28" s="99" t="str">
        <f>IF(+NSG!$B30="","",+NSG!$B30)</f>
        <v/>
      </c>
      <c r="C28" s="101" t="str">
        <f>IF(NSG!$E30="","",NSG!$E30)</f>
        <v/>
      </c>
      <c r="D28" s="101" t="str">
        <f>IF(NSG!$B30="","",+NSG!$F$10)</f>
        <v/>
      </c>
      <c r="E28" s="104" t="str">
        <f>IF(NSG!$F30="","",NSG!$F30)</f>
        <v/>
      </c>
      <c r="F28" s="105" t="str">
        <f>+NSG!G30</f>
        <v/>
      </c>
      <c r="G28" s="105" t="str">
        <f>IF(NSG!$B30="","",+NSG!$H30)</f>
        <v/>
      </c>
      <c r="H28" s="107" t="str">
        <f>IF(NSG!$B30="","",+NSG!$K30)</f>
        <v/>
      </c>
      <c r="I28" s="109" t="str">
        <f>IF(NSG!$B30="","",+NSG!$L30)</f>
        <v/>
      </c>
    </row>
    <row r="29" spans="1:9" ht="13.2" hidden="1" outlineLevel="1">
      <c r="A29" s="96"/>
      <c r="B29" s="99" t="str">
        <f>IF(+NSG!$B31="","",+NSG!$B31)</f>
        <v/>
      </c>
      <c r="C29" s="101" t="str">
        <f>IF(NSG!$E31="","",NSG!$E31)</f>
        <v/>
      </c>
      <c r="D29" s="101" t="str">
        <f>IF(NSG!$B31="","",+NSG!$F$10)</f>
        <v/>
      </c>
      <c r="E29" s="104" t="str">
        <f>IF(NSG!$F31="","",NSG!$F31)</f>
        <v/>
      </c>
      <c r="F29" s="105" t="str">
        <f>+NSG!G31</f>
        <v/>
      </c>
      <c r="G29" s="105" t="str">
        <f>IF(NSG!$B31="","",+NSG!$H31)</f>
        <v/>
      </c>
      <c r="H29" s="107" t="str">
        <f>IF(NSG!$B31="","",+NSG!$K31)</f>
        <v/>
      </c>
      <c r="I29" s="109" t="str">
        <f>IF(NSG!$B31="","",+NSG!$L31)</f>
        <v/>
      </c>
    </row>
    <row r="30" spans="1:9" ht="13.2" hidden="1" outlineLevel="1">
      <c r="A30" s="96"/>
      <c r="B30" s="99" t="str">
        <f>IF(+NSG!$B32="","",+NSG!$B32)</f>
        <v/>
      </c>
      <c r="C30" s="101" t="str">
        <f>IF(NSG!$E32="","",NSG!$E32)</f>
        <v/>
      </c>
      <c r="D30" s="101" t="str">
        <f>IF(NSG!$B32="","",+NSG!$F$10)</f>
        <v/>
      </c>
      <c r="E30" s="104" t="str">
        <f>IF(NSG!$F32="","",NSG!$F32)</f>
        <v/>
      </c>
      <c r="F30" s="105" t="str">
        <f>+NSG!G32</f>
        <v/>
      </c>
      <c r="G30" s="105" t="str">
        <f>IF(NSG!$B32="","",+NSG!$H32)</f>
        <v/>
      </c>
      <c r="H30" s="107" t="str">
        <f>IF(NSG!$B32="","",+NSG!$K32)</f>
        <v/>
      </c>
      <c r="I30" s="109" t="str">
        <f>IF(NSG!$B32="","",+NSG!$L32)</f>
        <v/>
      </c>
    </row>
    <row r="31" spans="1:9" ht="13.2" hidden="1" outlineLevel="1">
      <c r="A31" s="96"/>
      <c r="B31" s="99" t="str">
        <f>IF(+NSG!$B33="","",+NSG!$B33)</f>
        <v/>
      </c>
      <c r="C31" s="101" t="str">
        <f>IF(NSG!$E33="","",NSG!$E33)</f>
        <v/>
      </c>
      <c r="D31" s="101" t="str">
        <f>IF(NSG!$B33="","",+NSG!$F$10)</f>
        <v/>
      </c>
      <c r="E31" s="104" t="str">
        <f>IF(NSG!$F33="","",NSG!$F33)</f>
        <v/>
      </c>
      <c r="F31" s="105" t="str">
        <f>+NSG!G33</f>
        <v/>
      </c>
      <c r="G31" s="105" t="str">
        <f>IF(NSG!$B33="","",+NSG!$H33)</f>
        <v/>
      </c>
      <c r="H31" s="107" t="str">
        <f>IF(NSG!$B33="","",+NSG!$K33)</f>
        <v/>
      </c>
      <c r="I31" s="109" t="str">
        <f>IF(NSG!$B33="","",+NSG!$L33)</f>
        <v/>
      </c>
    </row>
    <row r="32" spans="1:9" ht="13.2" hidden="1" outlineLevel="1">
      <c r="A32" s="96"/>
      <c r="B32" s="99" t="str">
        <f>IF(+NSG!$B34="","",+NSG!$B34)</f>
        <v/>
      </c>
      <c r="C32" s="101" t="str">
        <f>IF(NSG!$E34="","",NSG!$E34)</f>
        <v/>
      </c>
      <c r="D32" s="101" t="str">
        <f>IF(NSG!$B34="","",+NSG!$F$10)</f>
        <v/>
      </c>
      <c r="E32" s="104" t="str">
        <f>IF(NSG!$F34="","",NSG!$F34)</f>
        <v/>
      </c>
      <c r="F32" s="105" t="str">
        <f>+NSG!G34</f>
        <v/>
      </c>
      <c r="G32" s="105" t="str">
        <f>IF(NSG!$B34="","",+NSG!$H34)</f>
        <v/>
      </c>
      <c r="H32" s="107" t="str">
        <f>IF(NSG!$B34="","",+NSG!$K34)</f>
        <v/>
      </c>
      <c r="I32" s="109" t="str">
        <f>IF(NSG!$B34="","",+NSG!$L34)</f>
        <v/>
      </c>
    </row>
    <row r="33" spans="1:9" ht="13.2" hidden="1" outlineLevel="1">
      <c r="A33" s="96"/>
      <c r="B33" s="99" t="str">
        <f>IF(+NSG!$B35="","",+NSG!$B35)</f>
        <v/>
      </c>
      <c r="C33" s="101" t="str">
        <f>IF(NSG!$E35="","",NSG!$E35)</f>
        <v/>
      </c>
      <c r="D33" s="101" t="str">
        <f>IF(NSG!$B35="","",+NSG!$F$10)</f>
        <v/>
      </c>
      <c r="E33" s="104" t="str">
        <f>IF(NSG!$F35="","",NSG!$F35)</f>
        <v/>
      </c>
      <c r="F33" s="105" t="str">
        <f>+NSG!G35</f>
        <v/>
      </c>
      <c r="G33" s="105" t="str">
        <f>IF(NSG!$B35="","",+NSG!$H35)</f>
        <v/>
      </c>
      <c r="H33" s="107" t="str">
        <f>IF(NSG!$B35="","",+NSG!$K35)</f>
        <v/>
      </c>
      <c r="I33" s="109" t="str">
        <f>IF(NSG!$B35="","",+NSG!$L35)</f>
        <v/>
      </c>
    </row>
    <row r="34" spans="1:9" ht="13.2" hidden="1" outlineLevel="1">
      <c r="A34" s="96"/>
      <c r="B34" s="99" t="str">
        <f>IF(+NSG!$B36="","",+NSG!$B36)</f>
        <v/>
      </c>
      <c r="C34" s="101" t="str">
        <f>IF(NSG!$E36="","",NSG!$E36)</f>
        <v/>
      </c>
      <c r="D34" s="101" t="str">
        <f>IF(NSG!$B36="","",+NSG!$F$10)</f>
        <v/>
      </c>
      <c r="E34" s="104" t="str">
        <f>IF(NSG!$F36="","",NSG!$F36)</f>
        <v/>
      </c>
      <c r="F34" s="105" t="str">
        <f>+NSG!G36</f>
        <v/>
      </c>
      <c r="G34" s="105" t="str">
        <f>IF(NSG!$B36="","",+NSG!$H36)</f>
        <v/>
      </c>
      <c r="H34" s="107" t="str">
        <f>IF(NSG!$B36="","",+NSG!$K36)</f>
        <v/>
      </c>
      <c r="I34" s="109" t="str">
        <f>IF(NSG!$B36="","",+NSG!$L36)</f>
        <v/>
      </c>
    </row>
    <row r="35" spans="1:9" ht="13.2" hidden="1" outlineLevel="1">
      <c r="A35" s="96"/>
      <c r="B35" s="99" t="str">
        <f>IF(+NSG!$B37="","",+NSG!$B37)</f>
        <v/>
      </c>
      <c r="C35" s="101" t="str">
        <f>IF(NSG!$E37="","",NSG!$E37)</f>
        <v/>
      </c>
      <c r="D35" s="101" t="str">
        <f>IF(NSG!$B37="","",+NSG!$F$10)</f>
        <v/>
      </c>
      <c r="E35" s="104" t="str">
        <f>IF(NSG!$F37="","",NSG!$F37)</f>
        <v/>
      </c>
      <c r="F35" s="105" t="str">
        <f>+NSG!G37</f>
        <v/>
      </c>
      <c r="G35" s="105" t="str">
        <f>IF(NSG!$B37="","",+NSG!$H37)</f>
        <v/>
      </c>
      <c r="H35" s="107" t="str">
        <f>IF(NSG!$B37="","",+NSG!$K37)</f>
        <v/>
      </c>
      <c r="I35" s="109" t="str">
        <f>IF(NSG!$B37="","",+NSG!$L37)</f>
        <v/>
      </c>
    </row>
    <row r="36" spans="1:9" ht="13.2" hidden="1" outlineLevel="1">
      <c r="A36" s="96"/>
      <c r="B36" s="99" t="str">
        <f>IF(+NSG!$B38="","",+NSG!$B38)</f>
        <v/>
      </c>
      <c r="C36" s="101" t="str">
        <f>IF(NSG!$E38="","",NSG!$E38)</f>
        <v/>
      </c>
      <c r="D36" s="101" t="str">
        <f>IF(NSG!$B38="","",+NSG!$F$10)</f>
        <v/>
      </c>
      <c r="E36" s="104" t="str">
        <f>IF(NSG!$F38="","",NSG!$F38)</f>
        <v/>
      </c>
      <c r="F36" s="105" t="str">
        <f>+NSG!G38</f>
        <v/>
      </c>
      <c r="G36" s="105" t="str">
        <f>IF(NSG!$B38="","",+NSG!$H38)</f>
        <v/>
      </c>
      <c r="H36" s="107" t="str">
        <f>IF(NSG!$B38="","",+NSG!$K38)</f>
        <v/>
      </c>
      <c r="I36" s="109" t="str">
        <f>IF(NSG!$B38="","",+NSG!$L38)</f>
        <v/>
      </c>
    </row>
    <row r="37" spans="1:9" ht="13.2" hidden="1" outlineLevel="1">
      <c r="A37" s="96"/>
      <c r="B37" s="99" t="str">
        <f>IF(+NSG!$B39="","",+NSG!$B39)</f>
        <v/>
      </c>
      <c r="C37" s="101" t="str">
        <f>IF(NSG!$E39="","",NSG!$E39)</f>
        <v/>
      </c>
      <c r="D37" s="101" t="str">
        <f>IF(NSG!$B39="","",+NSG!$F$10)</f>
        <v/>
      </c>
      <c r="E37" s="104" t="str">
        <f>IF(NSG!$F39="","",NSG!$F39)</f>
        <v/>
      </c>
      <c r="F37" s="105" t="str">
        <f>+NSG!G39</f>
        <v/>
      </c>
      <c r="G37" s="105" t="str">
        <f>IF(NSG!$B39="","",+NSG!$H39)</f>
        <v/>
      </c>
      <c r="H37" s="107" t="str">
        <f>IF(NSG!$B39="","",+NSG!$K39)</f>
        <v/>
      </c>
      <c r="I37" s="109" t="str">
        <f>IF(NSG!$B39="","",+NSG!$L39)</f>
        <v/>
      </c>
    </row>
    <row r="38" spans="1:9" ht="13.2" hidden="1" outlineLevel="1">
      <c r="A38" s="96"/>
      <c r="B38" s="99" t="str">
        <f>IF(+NSG!$B40="","",+NSG!$B40)</f>
        <v/>
      </c>
      <c r="C38" s="101" t="str">
        <f>IF(NSG!$E40="","",NSG!$E40)</f>
        <v/>
      </c>
      <c r="D38" s="101" t="str">
        <f>IF(NSG!$B40="","",+NSG!$F$10)</f>
        <v/>
      </c>
      <c r="E38" s="104" t="str">
        <f>IF(NSG!$F40="","",NSG!$F40)</f>
        <v/>
      </c>
      <c r="F38" s="105" t="str">
        <f>+NSG!G40</f>
        <v/>
      </c>
      <c r="G38" s="105" t="str">
        <f>IF(NSG!$B40="","",+NSG!$H40)</f>
        <v/>
      </c>
      <c r="H38" s="107" t="str">
        <f>IF(NSG!$B40="","",+NSG!$K40)</f>
        <v/>
      </c>
      <c r="I38" s="109" t="str">
        <f>IF(NSG!$B40="","",+NSG!$L40)</f>
        <v/>
      </c>
    </row>
    <row r="39" spans="1:9" ht="13.2" hidden="1" outlineLevel="1">
      <c r="A39" s="96"/>
      <c r="B39" s="99" t="str">
        <f>IF(+NSG!$B41="","",+NSG!$B41)</f>
        <v/>
      </c>
      <c r="C39" s="101" t="str">
        <f>IF(NSG!$E41="","",NSG!$E41)</f>
        <v/>
      </c>
      <c r="D39" s="101" t="str">
        <f>IF(NSG!$B41="","",+NSG!$F$10)</f>
        <v/>
      </c>
      <c r="E39" s="104" t="str">
        <f>IF(NSG!$F41="","",NSG!$F41)</f>
        <v/>
      </c>
      <c r="F39" s="105" t="str">
        <f>+NSG!G41</f>
        <v/>
      </c>
      <c r="G39" s="105" t="str">
        <f>IF(NSG!$B41="","",+NSG!$H41)</f>
        <v/>
      </c>
      <c r="H39" s="107" t="str">
        <f>IF(NSG!$B41="","",+NSG!$K41)</f>
        <v/>
      </c>
      <c r="I39" s="109" t="str">
        <f>IF(NSG!$B41="","",+NSG!$L41)</f>
        <v/>
      </c>
    </row>
    <row r="40" spans="1:9" ht="13.2" hidden="1" outlineLevel="1">
      <c r="A40" s="96"/>
      <c r="B40" s="99" t="str">
        <f>IF(+NSG!$B42="","",+NSG!$B42)</f>
        <v/>
      </c>
      <c r="C40" s="101" t="str">
        <f>IF(NSG!$E42="","",NSG!$E42)</f>
        <v/>
      </c>
      <c r="D40" s="101" t="str">
        <f>IF(NSG!$B42="","",+NSG!$F$10)</f>
        <v/>
      </c>
      <c r="E40" s="104" t="str">
        <f>IF(NSG!$F42="","",NSG!$F42)</f>
        <v/>
      </c>
      <c r="F40" s="105" t="str">
        <f>+NSG!G42</f>
        <v/>
      </c>
      <c r="G40" s="105" t="str">
        <f>IF(NSG!$B42="","",+NSG!$H42)</f>
        <v/>
      </c>
      <c r="H40" s="107" t="str">
        <f>IF(NSG!$B42="","",+NSG!$K42)</f>
        <v/>
      </c>
      <c r="I40" s="109" t="str">
        <f>IF(NSG!$B42="","",+NSG!$L42)</f>
        <v/>
      </c>
    </row>
    <row r="41" spans="1:9" ht="13.2" hidden="1" outlineLevel="1">
      <c r="A41" s="96"/>
      <c r="B41" s="99" t="str">
        <f>IF(+NSG!$B43="","",+NSG!$B43)</f>
        <v/>
      </c>
      <c r="C41" s="101" t="str">
        <f>IF(NSG!$E43="","",NSG!$E43)</f>
        <v/>
      </c>
      <c r="D41" s="101" t="str">
        <f>IF(NSG!$B43="","",+NSG!$F$10)</f>
        <v/>
      </c>
      <c r="E41" s="104" t="str">
        <f>IF(NSG!$F43="","",NSG!$F43)</f>
        <v/>
      </c>
      <c r="F41" s="105" t="str">
        <f>+NSG!G43</f>
        <v/>
      </c>
      <c r="G41" s="105" t="str">
        <f>IF(NSG!$B43="","",+NSG!$H43)</f>
        <v/>
      </c>
      <c r="H41" s="107" t="str">
        <f>IF(NSG!$B43="","",+NSG!$K43)</f>
        <v/>
      </c>
      <c r="I41" s="109" t="str">
        <f>IF(NSG!$B43="","",+NSG!$L43)</f>
        <v/>
      </c>
    </row>
    <row r="42" spans="1:9" ht="13.2" hidden="1" outlineLevel="1">
      <c r="A42" s="96"/>
      <c r="B42" s="99" t="str">
        <f>IF(+NSG!$B44="","",+NSG!$B44)</f>
        <v/>
      </c>
      <c r="C42" s="101" t="str">
        <f>IF(NSG!$E44="","",NSG!$E44)</f>
        <v/>
      </c>
      <c r="D42" s="101" t="str">
        <f>IF(NSG!$B44="","",+NSG!$F$10)</f>
        <v/>
      </c>
      <c r="E42" s="104" t="str">
        <f>IF(NSG!$F44="","",NSG!$F44)</f>
        <v/>
      </c>
      <c r="F42" s="105" t="str">
        <f>+NSG!G44</f>
        <v/>
      </c>
      <c r="G42" s="105" t="str">
        <f>IF(NSG!$B44="","",+NSG!$H44)</f>
        <v/>
      </c>
      <c r="H42" s="107" t="str">
        <f>IF(NSG!$B44="","",+NSG!$K44)</f>
        <v/>
      </c>
      <c r="I42" s="109" t="str">
        <f>IF(NSG!$B44="","",+NSG!$L44)</f>
        <v/>
      </c>
    </row>
    <row r="43" spans="1:9" ht="13.2" hidden="1" outlineLevel="1">
      <c r="A43" s="96"/>
      <c r="B43" s="99" t="str">
        <f>IF(+NSG!$B45="","",+NSG!$B45)</f>
        <v/>
      </c>
      <c r="C43" s="101" t="str">
        <f>IF(NSG!$E45="","",NSG!$E45)</f>
        <v/>
      </c>
      <c r="D43" s="101" t="str">
        <f>IF(NSG!$B45="","",+NSG!$F$10)</f>
        <v/>
      </c>
      <c r="E43" s="104" t="str">
        <f>IF(NSG!$F45="","",NSG!$F45)</f>
        <v/>
      </c>
      <c r="F43" s="105" t="str">
        <f>+NSG!G45</f>
        <v/>
      </c>
      <c r="G43" s="105" t="str">
        <f>IF(NSG!$B45="","",+NSG!$H45)</f>
        <v/>
      </c>
      <c r="H43" s="107" t="str">
        <f>IF(NSG!$B45="","",+NSG!$K45)</f>
        <v/>
      </c>
      <c r="I43" s="109" t="str">
        <f>IF(NSG!$B45="","",+NSG!$L45)</f>
        <v/>
      </c>
    </row>
    <row r="44" spans="1:9" ht="13.2" hidden="1" outlineLevel="1">
      <c r="A44" s="96"/>
      <c r="B44" s="99" t="str">
        <f>IF(+NSG!$B46="","",+NSG!$B46)</f>
        <v/>
      </c>
      <c r="C44" s="101" t="str">
        <f>IF(NSG!$E46="","",NSG!$E46)</f>
        <v/>
      </c>
      <c r="D44" s="101" t="str">
        <f>IF(NSG!$B46="","",+NSG!$F$10)</f>
        <v/>
      </c>
      <c r="E44" s="104" t="str">
        <f>IF(NSG!$F46="","",NSG!$F46)</f>
        <v/>
      </c>
      <c r="F44" s="105" t="str">
        <f>+NSG!G46</f>
        <v/>
      </c>
      <c r="G44" s="105" t="str">
        <f>IF(NSG!$B46="","",+NSG!$H46)</f>
        <v/>
      </c>
      <c r="H44" s="107" t="str">
        <f>IF(NSG!$B46="","",+NSG!$K46)</f>
        <v/>
      </c>
      <c r="I44" s="109" t="str">
        <f>IF(NSG!$B46="","",+NSG!$L46)</f>
        <v/>
      </c>
    </row>
    <row r="45" spans="1:9" ht="13.2" hidden="1" outlineLevel="1">
      <c r="A45" s="96"/>
      <c r="B45" s="99" t="str">
        <f>IF(+NSG!$B47="","",+NSG!$B47)</f>
        <v/>
      </c>
      <c r="C45" s="101" t="str">
        <f>IF(NSG!$E47="","",NSG!$E47)</f>
        <v/>
      </c>
      <c r="D45" s="101" t="str">
        <f>IF(NSG!$B47="","",+NSG!$F$10)</f>
        <v/>
      </c>
      <c r="E45" s="104" t="str">
        <f>IF(NSG!$F47="","",NSG!$F47)</f>
        <v/>
      </c>
      <c r="F45" s="105" t="str">
        <f>+NSG!G47</f>
        <v/>
      </c>
      <c r="G45" s="105" t="str">
        <f>IF(NSG!$B47="","",+NSG!$H47)</f>
        <v/>
      </c>
      <c r="H45" s="107" t="str">
        <f>IF(NSG!$B47="","",+NSG!$K47)</f>
        <v/>
      </c>
      <c r="I45" s="109" t="str">
        <f>IF(NSG!$B47="","",+NSG!$L47)</f>
        <v/>
      </c>
    </row>
    <row r="46" spans="1:9" ht="13.2" hidden="1" outlineLevel="1">
      <c r="A46" s="96"/>
      <c r="B46" s="99" t="str">
        <f>IF(+NSG!$B48="","",+NSG!$B48)</f>
        <v/>
      </c>
      <c r="C46" s="101" t="str">
        <f>IF(NSG!$E48="","",NSG!$E48)</f>
        <v/>
      </c>
      <c r="D46" s="101" t="str">
        <f>IF(NSG!$B48="","",+NSG!$F$10)</f>
        <v/>
      </c>
      <c r="E46" s="104" t="str">
        <f>IF(NSG!$F48="","",NSG!$F48)</f>
        <v/>
      </c>
      <c r="F46" s="105" t="str">
        <f>+NSG!G48</f>
        <v/>
      </c>
      <c r="G46" s="105" t="str">
        <f>IF(NSG!$B48="","",+NSG!$H48)</f>
        <v/>
      </c>
      <c r="H46" s="107" t="str">
        <f>IF(NSG!$B48="","",+NSG!$K48)</f>
        <v/>
      </c>
      <c r="I46" s="109" t="str">
        <f>IF(NSG!$B48="","",+NSG!$L48)</f>
        <v/>
      </c>
    </row>
    <row r="47" spans="1:9" ht="13.2" hidden="1" outlineLevel="1">
      <c r="A47" s="96"/>
      <c r="B47" s="99" t="str">
        <f>IF(+NSG!$B49="","",+NSG!$B49)</f>
        <v/>
      </c>
      <c r="C47" s="101" t="str">
        <f>IF(NSG!$E49="","",NSG!$E49)</f>
        <v/>
      </c>
      <c r="D47" s="101" t="str">
        <f>IF(NSG!$B49="","",+NSG!$F$10)</f>
        <v/>
      </c>
      <c r="E47" s="104" t="str">
        <f>IF(NSG!$F49="","",NSG!$F49)</f>
        <v/>
      </c>
      <c r="F47" s="105" t="str">
        <f>+NSG!G49</f>
        <v/>
      </c>
      <c r="G47" s="105" t="str">
        <f>IF(NSG!$B49="","",+NSG!$H49)</f>
        <v/>
      </c>
      <c r="H47" s="107" t="str">
        <f>IF(NSG!$B49="","",+NSG!$K49)</f>
        <v/>
      </c>
      <c r="I47" s="109" t="str">
        <f>IF(NSG!$B49="","",+NSG!$L49)</f>
        <v/>
      </c>
    </row>
    <row r="48" spans="1:9" ht="13.2" hidden="1" outlineLevel="1">
      <c r="A48" s="96"/>
      <c r="B48" s="99" t="str">
        <f>IF(+NSG!$B50="","",+NSG!$B50)</f>
        <v/>
      </c>
      <c r="C48" s="101" t="str">
        <f>IF(NSG!$E50="","",NSG!$E50)</f>
        <v/>
      </c>
      <c r="D48" s="101" t="str">
        <f>IF(NSG!$B50="","",+NSG!$F$10)</f>
        <v/>
      </c>
      <c r="E48" s="104" t="str">
        <f>IF(NSG!$F50="","",NSG!$F50)</f>
        <v/>
      </c>
      <c r="F48" s="105" t="str">
        <f>+NSG!G50</f>
        <v/>
      </c>
      <c r="G48" s="105" t="str">
        <f>IF(NSG!$B50="","",+NSG!$H50)</f>
        <v/>
      </c>
      <c r="H48" s="107" t="str">
        <f>IF(NSG!$B50="","",+NSG!$K50)</f>
        <v/>
      </c>
      <c r="I48" s="109" t="str">
        <f>IF(NSG!$B50="","",+NSG!$L50)</f>
        <v/>
      </c>
    </row>
    <row r="49" spans="1:9" ht="13.2" hidden="1" outlineLevel="1">
      <c r="A49" s="96"/>
      <c r="B49" s="99" t="str">
        <f>IF(+NSG!$B51="","",+NSG!$B51)</f>
        <v/>
      </c>
      <c r="C49" s="101" t="str">
        <f>IF(NSG!$E51="","",NSG!$E51)</f>
        <v/>
      </c>
      <c r="D49" s="101" t="str">
        <f>IF(NSG!$B51="","",+NSG!$F$10)</f>
        <v/>
      </c>
      <c r="E49" s="104" t="str">
        <f>IF(NSG!$F51="","",NSG!$F51)</f>
        <v/>
      </c>
      <c r="F49" s="105" t="str">
        <f>+NSG!G51</f>
        <v/>
      </c>
      <c r="G49" s="105" t="str">
        <f>IF(NSG!$B51="","",+NSG!$H51)</f>
        <v/>
      </c>
      <c r="H49" s="107" t="str">
        <f>IF(NSG!$B51="","",+NSG!$K51)</f>
        <v/>
      </c>
      <c r="I49" s="109" t="str">
        <f>IF(NSG!$B51="","",+NSG!$L51)</f>
        <v/>
      </c>
    </row>
    <row r="50" spans="1:9" ht="13.2" hidden="1" outlineLevel="1">
      <c r="A50" s="96"/>
      <c r="B50" s="99" t="str">
        <f>IF(+NSG!$B52="","",+NSG!$B52)</f>
        <v/>
      </c>
      <c r="C50" s="101" t="str">
        <f>IF(NSG!$E52="","",NSG!$E52)</f>
        <v/>
      </c>
      <c r="D50" s="101" t="str">
        <f>IF(NSG!$B52="","",+NSG!$F$10)</f>
        <v/>
      </c>
      <c r="E50" s="104" t="str">
        <f>IF(NSG!$F52="","",NSG!$F52)</f>
        <v/>
      </c>
      <c r="F50" s="105" t="str">
        <f>+NSG!G52</f>
        <v/>
      </c>
      <c r="G50" s="105" t="str">
        <f>IF(NSG!$B52="","",+NSG!$H52)</f>
        <v/>
      </c>
      <c r="H50" s="107" t="str">
        <f>IF(NSG!$B52="","",+NSG!$K52)</f>
        <v/>
      </c>
      <c r="I50" s="109" t="str">
        <f>IF(NSG!$B52="","",+NSG!$L52)</f>
        <v/>
      </c>
    </row>
    <row r="51" spans="1:9" ht="13.2" hidden="1" outlineLevel="1">
      <c r="A51" s="96"/>
      <c r="B51" s="99" t="str">
        <f>IF(+NSG!$B53="","",+NSG!$B53)</f>
        <v/>
      </c>
      <c r="C51" s="101" t="str">
        <f>IF(NSG!$E53="","",NSG!$E53)</f>
        <v/>
      </c>
      <c r="D51" s="101" t="str">
        <f>IF(NSG!$B53="","",+NSG!$F$10)</f>
        <v/>
      </c>
      <c r="E51" s="104" t="str">
        <f>IF(NSG!$F53="","",NSG!$F53)</f>
        <v/>
      </c>
      <c r="F51" s="105" t="str">
        <f>+NSG!G53</f>
        <v/>
      </c>
      <c r="G51" s="105" t="str">
        <f>IF(NSG!$B53="","",+NSG!$H53)</f>
        <v/>
      </c>
      <c r="H51" s="107" t="str">
        <f>IF(NSG!$B53="","",+NSG!$K53)</f>
        <v/>
      </c>
      <c r="I51" s="109" t="str">
        <f>IF(NSG!$B53="","",+NSG!$L53)</f>
        <v/>
      </c>
    </row>
    <row r="52" spans="1:9" ht="13.2" hidden="1" outlineLevel="1">
      <c r="A52" s="96"/>
      <c r="B52" s="99" t="str">
        <f>IF(+NSG!$B54="","",+NSG!$B54)</f>
        <v/>
      </c>
      <c r="C52" s="101" t="str">
        <f>IF(NSG!$E54="","",NSG!$E54)</f>
        <v/>
      </c>
      <c r="D52" s="101" t="str">
        <f>IF(NSG!$B54="","",+NSG!$F$10)</f>
        <v/>
      </c>
      <c r="E52" s="104" t="str">
        <f>IF(NSG!$F54="","",NSG!$F54)</f>
        <v/>
      </c>
      <c r="F52" s="105" t="str">
        <f>+NSG!G54</f>
        <v/>
      </c>
      <c r="G52" s="105" t="str">
        <f>IF(NSG!$B54="","",+NSG!$H54)</f>
        <v/>
      </c>
      <c r="H52" s="107" t="str">
        <f>IF(NSG!$B54="","",+NSG!$K54)</f>
        <v/>
      </c>
      <c r="I52" s="109" t="str">
        <f>IF(NSG!$B54="","",+NSG!$L54)</f>
        <v/>
      </c>
    </row>
    <row r="53" spans="1:9" ht="13.2" hidden="1" outlineLevel="1">
      <c r="A53" s="96"/>
      <c r="B53" s="99" t="str">
        <f>IF(+NSG!$B55="","",+NSG!$B55)</f>
        <v/>
      </c>
      <c r="C53" s="101" t="str">
        <f>IF(NSG!$E55="","",NSG!$E55)</f>
        <v/>
      </c>
      <c r="D53" s="101" t="str">
        <f>IF(NSG!$B55="","",+NSG!$F$10)</f>
        <v/>
      </c>
      <c r="E53" s="104" t="str">
        <f>IF(NSG!$F55="","",NSG!$F55)</f>
        <v/>
      </c>
      <c r="F53" s="105" t="str">
        <f>+NSG!G55</f>
        <v/>
      </c>
      <c r="G53" s="105" t="str">
        <f>IF(NSG!$B55="","",+NSG!$H55)</f>
        <v/>
      </c>
      <c r="H53" s="107" t="str">
        <f>IF(NSG!$B55="","",+NSG!$K55)</f>
        <v/>
      </c>
      <c r="I53" s="109" t="str">
        <f>IF(NSG!$B55="","",+NSG!$L55)</f>
        <v/>
      </c>
    </row>
    <row r="54" spans="1:9" ht="13.2" hidden="1" outlineLevel="1">
      <c r="A54" s="96"/>
      <c r="B54" s="99" t="str">
        <f>IF(+NSG!$B56="","",+NSG!$B56)</f>
        <v/>
      </c>
      <c r="C54" s="101" t="str">
        <f>IF(NSG!$E56="","",NSG!$E56)</f>
        <v/>
      </c>
      <c r="D54" s="101" t="str">
        <f>IF(NSG!$B56="","",+NSG!$F$10)</f>
        <v/>
      </c>
      <c r="E54" s="104" t="str">
        <f>IF(NSG!$F56="","",NSG!$F56)</f>
        <v/>
      </c>
      <c r="F54" s="105" t="str">
        <f>+NSG!G56</f>
        <v/>
      </c>
      <c r="G54" s="105" t="str">
        <f>IF(NSG!$B56="","",+NSG!$H56)</f>
        <v/>
      </c>
      <c r="H54" s="107" t="str">
        <f>IF(NSG!$B56="","",+NSG!$K56)</f>
        <v/>
      </c>
      <c r="I54" s="109" t="str">
        <f>IF(NSG!$B56="","",+NSG!$L56)</f>
        <v/>
      </c>
    </row>
    <row r="55" spans="1:9" ht="13.2" hidden="1" outlineLevel="1">
      <c r="A55" s="96"/>
      <c r="B55" s="99" t="str">
        <f>IF(+NSG!$B57="","",+NSG!$B57)</f>
        <v/>
      </c>
      <c r="C55" s="101" t="str">
        <f>IF(NSG!$E57="","",NSG!$E57)</f>
        <v/>
      </c>
      <c r="D55" s="101" t="str">
        <f>IF(NSG!$B57="","",+NSG!$F$10)</f>
        <v/>
      </c>
      <c r="E55" s="104" t="str">
        <f>IF(NSG!$F57="","",NSG!$F57)</f>
        <v/>
      </c>
      <c r="F55" s="105" t="str">
        <f>+NSG!G57</f>
        <v/>
      </c>
      <c r="G55" s="105" t="str">
        <f>IF(NSG!$B57="","",+NSG!$H57)</f>
        <v/>
      </c>
      <c r="H55" s="107" t="str">
        <f>IF(NSG!$B57="","",+NSG!$K57)</f>
        <v/>
      </c>
      <c r="I55" s="109" t="str">
        <f>IF(NSG!$B57="","",+NSG!$L57)</f>
        <v/>
      </c>
    </row>
    <row r="56" spans="1:9" ht="13.2" hidden="1" outlineLevel="1">
      <c r="A56" s="96"/>
      <c r="B56" s="99" t="str">
        <f>IF(+NSG!$B58="","",+NSG!$B58)</f>
        <v/>
      </c>
      <c r="C56" s="101" t="str">
        <f>IF(NSG!$E58="","",NSG!$E58)</f>
        <v/>
      </c>
      <c r="D56" s="101" t="str">
        <f>IF(NSG!$B58="","",+NSG!$F$10)</f>
        <v/>
      </c>
      <c r="E56" s="104" t="str">
        <f>IF(NSG!$F58="","",NSG!$F58)</f>
        <v/>
      </c>
      <c r="F56" s="105" t="str">
        <f>+NSG!G58</f>
        <v/>
      </c>
      <c r="G56" s="105" t="str">
        <f>IF(NSG!$B58="","",+NSG!$H58)</f>
        <v/>
      </c>
      <c r="H56" s="107" t="str">
        <f>IF(NSG!$B58="","",+NSG!$K58)</f>
        <v/>
      </c>
      <c r="I56" s="109" t="str">
        <f>IF(NSG!$B58="","",+NSG!$L58)</f>
        <v/>
      </c>
    </row>
    <row r="57" spans="1:9" ht="13.2" hidden="1" outlineLevel="1">
      <c r="A57" s="96"/>
      <c r="B57" s="99" t="str">
        <f>IF(+NSG!$B59="","",+NSG!$B59)</f>
        <v/>
      </c>
      <c r="C57" s="101" t="str">
        <f>IF(NSG!$E59="","",NSG!$E59)</f>
        <v/>
      </c>
      <c r="D57" s="101" t="str">
        <f>IF(NSG!$B59="","",+NSG!$F$10)</f>
        <v/>
      </c>
      <c r="E57" s="104" t="str">
        <f>IF(NSG!$F59="","",NSG!$F59)</f>
        <v/>
      </c>
      <c r="F57" s="105" t="str">
        <f>+NSG!G59</f>
        <v/>
      </c>
      <c r="G57" s="105" t="str">
        <f>IF(NSG!$B59="","",+NSG!$H59)</f>
        <v/>
      </c>
      <c r="H57" s="107" t="str">
        <f>IF(NSG!$B59="","",+NSG!$K59)</f>
        <v/>
      </c>
      <c r="I57" s="109" t="str">
        <f>IF(NSG!$B59="","",+NSG!$L59)</f>
        <v/>
      </c>
    </row>
    <row r="58" spans="1:9" ht="13.2" hidden="1" outlineLevel="1">
      <c r="A58" s="96"/>
      <c r="B58" s="99" t="str">
        <f>IF(+NSG!$B60="","",+NSG!$B60)</f>
        <v/>
      </c>
      <c r="C58" s="101" t="str">
        <f>IF(NSG!$E60="","",NSG!$E60)</f>
        <v/>
      </c>
      <c r="D58" s="101" t="str">
        <f>IF(NSG!$B60="","",+NSG!$F$10)</f>
        <v/>
      </c>
      <c r="E58" s="104" t="str">
        <f>IF(NSG!$F60="","",NSG!$F60)</f>
        <v/>
      </c>
      <c r="F58" s="105" t="str">
        <f>+NSG!G60</f>
        <v/>
      </c>
      <c r="G58" s="105" t="str">
        <f>IF(NSG!$B60="","",+NSG!$H60)</f>
        <v/>
      </c>
      <c r="H58" s="107" t="str">
        <f>IF(NSG!$B60="","",+NSG!$K60)</f>
        <v/>
      </c>
      <c r="I58" s="109" t="str">
        <f>IF(NSG!$B60="","",+NSG!$L60)</f>
        <v/>
      </c>
    </row>
    <row r="59" spans="1:9" ht="13.2" hidden="1" outlineLevel="1">
      <c r="A59" s="96"/>
      <c r="B59" s="99" t="str">
        <f>IF(+NSG!$B61="","",+NSG!$B61)</f>
        <v/>
      </c>
      <c r="C59" s="101" t="str">
        <f>IF(NSG!$E61="","",NSG!$E61)</f>
        <v/>
      </c>
      <c r="D59" s="101" t="str">
        <f>IF(NSG!$B61="","",+NSG!$F$10)</f>
        <v/>
      </c>
      <c r="E59" s="104" t="str">
        <f>IF(NSG!$F61="","",NSG!$F61)</f>
        <v/>
      </c>
      <c r="F59" s="105" t="str">
        <f>+NSG!G61</f>
        <v/>
      </c>
      <c r="G59" s="105" t="str">
        <f>IF(NSG!$B61="","",+NSG!$H61)</f>
        <v/>
      </c>
      <c r="H59" s="107" t="str">
        <f>IF(NSG!$B61="","",+NSG!$K61)</f>
        <v/>
      </c>
      <c r="I59" s="109" t="str">
        <f>IF(NSG!$B61="","",+NSG!$L61)</f>
        <v/>
      </c>
    </row>
    <row r="60" spans="1:9" ht="13.2" hidden="1" outlineLevel="1">
      <c r="A60" s="96"/>
      <c r="B60" s="99" t="str">
        <f>IF(+NSG!$B62="","",+NSG!$B62)</f>
        <v/>
      </c>
      <c r="C60" s="101" t="str">
        <f>IF(NSG!$E62="","",NSG!$E62)</f>
        <v/>
      </c>
      <c r="D60" s="101" t="str">
        <f>IF(NSG!$B62="","",+NSG!$F$10)</f>
        <v/>
      </c>
      <c r="E60" s="104" t="str">
        <f>IF(NSG!$F62="","",NSG!$F62)</f>
        <v/>
      </c>
      <c r="F60" s="105" t="str">
        <f>+NSG!G62</f>
        <v/>
      </c>
      <c r="G60" s="105" t="str">
        <f>IF(NSG!$B62="","",+NSG!$H62)</f>
        <v/>
      </c>
      <c r="H60" s="107" t="str">
        <f>IF(NSG!$B62="","",+NSG!$K62)</f>
        <v/>
      </c>
      <c r="I60" s="109" t="str">
        <f>IF(NSG!$B62="","",+NSG!$L62)</f>
        <v/>
      </c>
    </row>
    <row r="61" spans="1:9" ht="13.2" hidden="1" outlineLevel="1">
      <c r="A61" s="96"/>
      <c r="B61" s="99" t="str">
        <f>IF(+NSG!$B63="","",+NSG!$B63)</f>
        <v/>
      </c>
      <c r="C61" s="101" t="str">
        <f>IF(NSG!$E63="","",NSG!$E63)</f>
        <v/>
      </c>
      <c r="D61" s="101" t="str">
        <f>IF(NSG!$B63="","",+NSG!$F$10)</f>
        <v/>
      </c>
      <c r="E61" s="104" t="str">
        <f>IF(NSG!$F63="","",NSG!$F63)</f>
        <v/>
      </c>
      <c r="F61" s="105" t="str">
        <f>+NSG!G63</f>
        <v/>
      </c>
      <c r="G61" s="105" t="str">
        <f>IF(NSG!$B63="","",+NSG!$H63)</f>
        <v/>
      </c>
      <c r="H61" s="107" t="str">
        <f>IF(NSG!$B63="","",+NSG!$K63)</f>
        <v/>
      </c>
      <c r="I61" s="109" t="str">
        <f>IF(NSG!$B63="","",+NSG!$L63)</f>
        <v/>
      </c>
    </row>
    <row r="62" spans="1:9" ht="13.2" hidden="1" outlineLevel="1">
      <c r="A62" s="96"/>
      <c r="B62" s="99" t="str">
        <f>IF(+NSG!$B64="","",+NSG!$B64)</f>
        <v/>
      </c>
      <c r="C62" s="101" t="str">
        <f>IF(NSG!$E64="","",NSG!$E64)</f>
        <v/>
      </c>
      <c r="D62" s="101" t="str">
        <f>IF(NSG!$B64="","",+NSG!$F$10)</f>
        <v/>
      </c>
      <c r="E62" s="104" t="str">
        <f>IF(NSG!$F64="","",NSG!$F64)</f>
        <v/>
      </c>
      <c r="F62" s="105" t="str">
        <f>+NSG!G64</f>
        <v/>
      </c>
      <c r="G62" s="105" t="str">
        <f>IF(NSG!$B64="","",+NSG!$H64)</f>
        <v/>
      </c>
      <c r="H62" s="107" t="str">
        <f>IF(NSG!$B64="","",+NSG!$K64)</f>
        <v/>
      </c>
      <c r="I62" s="109" t="str">
        <f>IF(NSG!$B64="","",+NSG!$L64)</f>
        <v/>
      </c>
    </row>
    <row r="63" spans="1:9" ht="13.2" hidden="1" outlineLevel="1">
      <c r="A63" s="96"/>
      <c r="B63" s="99" t="str">
        <f>IF(+NSG!$B65="","",+NSG!$B65)</f>
        <v/>
      </c>
      <c r="C63" s="101" t="str">
        <f>IF(NSG!$E65="","",NSG!$E65)</f>
        <v/>
      </c>
      <c r="D63" s="101" t="str">
        <f>IF(NSG!$B65="","",+NSG!$F$10)</f>
        <v/>
      </c>
      <c r="E63" s="104" t="str">
        <f>IF(NSG!$F65="","",NSG!$F65)</f>
        <v/>
      </c>
      <c r="F63" s="105" t="str">
        <f>+NSG!G65</f>
        <v/>
      </c>
      <c r="G63" s="105" t="str">
        <f>IF(NSG!$B65="","",+NSG!$H65)</f>
        <v/>
      </c>
      <c r="H63" s="107" t="str">
        <f>IF(NSG!$B65="","",+NSG!$K65)</f>
        <v/>
      </c>
      <c r="I63" s="109" t="str">
        <f>IF(NSG!$B65="","",+NSG!$L65)</f>
        <v/>
      </c>
    </row>
    <row r="64" spans="1:9" ht="13.2" hidden="1" outlineLevel="1">
      <c r="A64" s="96"/>
      <c r="B64" s="99" t="str">
        <f>IF(+NSG!$B66="","",+NSG!$B66)</f>
        <v/>
      </c>
      <c r="C64" s="101" t="str">
        <f>IF(NSG!$E66="","",NSG!$E66)</f>
        <v/>
      </c>
      <c r="D64" s="101" t="str">
        <f>IF(NSG!$B66="","",+NSG!$F$10)</f>
        <v/>
      </c>
      <c r="E64" s="104" t="str">
        <f>IF(NSG!$F66="","",NSG!$F66)</f>
        <v/>
      </c>
      <c r="F64" s="105" t="str">
        <f>+NSG!G66</f>
        <v/>
      </c>
      <c r="G64" s="105" t="str">
        <f>IF(NSG!$B66="","",+NSG!$H66)</f>
        <v/>
      </c>
      <c r="H64" s="107" t="str">
        <f>IF(NSG!$B66="","",+NSG!$K66)</f>
        <v/>
      </c>
      <c r="I64" s="109" t="str">
        <f>IF(NSG!$B66="","",+NSG!$L66)</f>
        <v/>
      </c>
    </row>
    <row r="65" spans="1:9" ht="13.2" hidden="1" outlineLevel="1">
      <c r="A65" s="96"/>
      <c r="B65" s="99" t="str">
        <f>IF(+NSG!$B67="","",+NSG!$B67)</f>
        <v/>
      </c>
      <c r="C65" s="101" t="str">
        <f>IF(NSG!$E67="","",NSG!$E67)</f>
        <v/>
      </c>
      <c r="D65" s="101" t="str">
        <f>IF(NSG!$B67="","",+NSG!$F$10)</f>
        <v/>
      </c>
      <c r="E65" s="104" t="str">
        <f>IF(NSG!$F67="","",NSG!$F67)</f>
        <v/>
      </c>
      <c r="F65" s="105" t="str">
        <f>+NSG!G67</f>
        <v/>
      </c>
      <c r="G65" s="105" t="str">
        <f>IF(NSG!$B67="","",+NSG!$H67)</f>
        <v/>
      </c>
      <c r="H65" s="107" t="str">
        <f>IF(NSG!$B67="","",+NSG!$K67)</f>
        <v/>
      </c>
      <c r="I65" s="109" t="str">
        <f>IF(NSG!$B67="","",+NSG!$L67)</f>
        <v/>
      </c>
    </row>
    <row r="66" spans="1:9" ht="13.2" hidden="1" outlineLevel="1">
      <c r="A66" s="96"/>
      <c r="B66" s="99" t="str">
        <f>IF(+NSG!$B68="","",+NSG!$B68)</f>
        <v/>
      </c>
      <c r="C66" s="101" t="str">
        <f>IF(NSG!$E68="","",NSG!$E68)</f>
        <v/>
      </c>
      <c r="D66" s="101" t="str">
        <f>IF(NSG!$B68="","",+NSG!$F$10)</f>
        <v/>
      </c>
      <c r="E66" s="104" t="str">
        <f>IF(NSG!$F68="","",NSG!$F68)</f>
        <v/>
      </c>
      <c r="F66" s="105" t="str">
        <f>+NSG!G68</f>
        <v/>
      </c>
      <c r="G66" s="105" t="str">
        <f>IF(NSG!$B68="","",+NSG!$H68)</f>
        <v/>
      </c>
      <c r="H66" s="107" t="str">
        <f>IF(NSG!$B68="","",+NSG!$K68)</f>
        <v/>
      </c>
      <c r="I66" s="109" t="str">
        <f>IF(NSG!$B68="","",+NSG!$L68)</f>
        <v/>
      </c>
    </row>
    <row r="67" spans="1:9" ht="13.2" hidden="1" outlineLevel="1">
      <c r="A67" s="96"/>
      <c r="B67" s="99" t="str">
        <f>IF(+NSG!$B69="","",+NSG!$B69)</f>
        <v/>
      </c>
      <c r="C67" s="101" t="str">
        <f>IF(NSG!$E69="","",NSG!$E69)</f>
        <v/>
      </c>
      <c r="D67" s="101" t="str">
        <f>IF(NSG!$B69="","",+NSG!$F$10)</f>
        <v/>
      </c>
      <c r="E67" s="104" t="str">
        <f>IF(NSG!$F69="","",NSG!$F69)</f>
        <v/>
      </c>
      <c r="F67" s="105" t="str">
        <f>+NSG!G69</f>
        <v/>
      </c>
      <c r="G67" s="105" t="str">
        <f>IF(NSG!$B69="","",+NSG!$H69)</f>
        <v/>
      </c>
      <c r="H67" s="107" t="str">
        <f>IF(NSG!$B69="","",+NSG!$K69)</f>
        <v/>
      </c>
      <c r="I67" s="109" t="str">
        <f>IF(NSG!$B69="","",+NSG!$L69)</f>
        <v/>
      </c>
    </row>
    <row r="68" spans="1:9" ht="13.2" hidden="1" outlineLevel="1">
      <c r="A68" s="96"/>
      <c r="B68" s="99" t="str">
        <f>IF(+NSG!$B70="","",+NSG!$B70)</f>
        <v/>
      </c>
      <c r="C68" s="101" t="str">
        <f>IF(NSG!$E70="","",NSG!$E70)</f>
        <v/>
      </c>
      <c r="D68" s="101" t="str">
        <f>IF(NSG!$B70="","",+NSG!$F$10)</f>
        <v/>
      </c>
      <c r="E68" s="104" t="str">
        <f>IF(NSG!$F70="","",NSG!$F70)</f>
        <v/>
      </c>
      <c r="F68" s="105" t="str">
        <f>+NSG!G70</f>
        <v/>
      </c>
      <c r="G68" s="105" t="str">
        <f>IF(NSG!$B70="","",+NSG!$H70)</f>
        <v/>
      </c>
      <c r="H68" s="107" t="str">
        <f>IF(NSG!$B70="","",+NSG!$K70)</f>
        <v/>
      </c>
      <c r="I68" s="109" t="str">
        <f>IF(NSG!$B70="","",+NSG!$L70)</f>
        <v/>
      </c>
    </row>
    <row r="69" spans="1:9" ht="13.2" hidden="1">
      <c r="A69" s="96"/>
      <c r="B69" s="99" t="str">
        <f>IF(+NSG!$B71="","",+NSG!$B71)</f>
        <v/>
      </c>
      <c r="C69" s="101" t="str">
        <f>IF(NSG!$E71="","",NSG!$E71)</f>
        <v/>
      </c>
      <c r="D69" s="101" t="str">
        <f>IF(NSG!$B71="","",+NSG!$F$10)</f>
        <v/>
      </c>
      <c r="E69" s="104" t="str">
        <f>IF(NSG!$F71="","",NSG!$F71)</f>
        <v/>
      </c>
      <c r="F69" s="105" t="str">
        <f>+NSG!G71</f>
        <v/>
      </c>
      <c r="G69" s="105" t="str">
        <f>IF(NSG!$B71="","",+NSG!$H71)</f>
        <v/>
      </c>
      <c r="H69" s="107" t="str">
        <f>IF(NSG!$B71="","",+NSG!$K71)</f>
        <v/>
      </c>
      <c r="I69" s="109" t="str">
        <f>IF(NSG!$B71="","",+NSG!$L71)</f>
        <v/>
      </c>
    </row>
    <row r="70" spans="1:9" ht="22.5" customHeight="1">
      <c r="A70" s="11"/>
      <c r="B70" s="11"/>
      <c r="C70" s="149"/>
      <c r="D70" s="150"/>
      <c r="E70" s="151"/>
      <c r="F70" s="152"/>
      <c r="G70" s="153" t="s">
        <v>47</v>
      </c>
      <c r="H70" s="154">
        <f>SUM(H14:H69)</f>
        <v>68104.150000000009</v>
      </c>
      <c r="I70" s="11"/>
    </row>
    <row r="71" spans="1:9" ht="25.5" customHeight="1">
      <c r="A71" s="11"/>
      <c r="B71" s="11"/>
      <c r="C71" s="11"/>
      <c r="D71" s="150"/>
      <c r="E71" s="151"/>
      <c r="F71" s="152"/>
      <c r="G71" s="155" t="s">
        <v>52</v>
      </c>
      <c r="H71" s="156">
        <f>SUMPRODUCT(H14:H69,I14:I69)</f>
        <v>8172.4979999999996</v>
      </c>
      <c r="I71" s="11"/>
    </row>
    <row r="72" spans="1:9" ht="24.75" customHeight="1">
      <c r="A72" s="11"/>
      <c r="B72" s="11"/>
      <c r="C72" s="11"/>
      <c r="D72" s="150"/>
      <c r="E72" s="151"/>
      <c r="F72" s="152"/>
      <c r="G72" s="157" t="s">
        <v>53</v>
      </c>
      <c r="H72" s="154">
        <f>+H70-H71</f>
        <v>59931.652000000009</v>
      </c>
      <c r="I72" s="11"/>
    </row>
    <row r="73" spans="1:9" ht="13.5" customHeight="1">
      <c r="A73" s="11"/>
      <c r="B73" s="11"/>
      <c r="C73" s="150"/>
      <c r="D73" s="150"/>
      <c r="E73" s="158"/>
      <c r="F73" s="158"/>
      <c r="G73" s="150"/>
      <c r="H73" s="159"/>
      <c r="I73" s="11"/>
    </row>
    <row r="74" spans="1:9" ht="26.25" customHeight="1">
      <c r="A74" s="11"/>
      <c r="B74" s="85" t="s">
        <v>13</v>
      </c>
      <c r="C74" s="87" t="s">
        <v>54</v>
      </c>
      <c r="D74" s="87" t="s">
        <v>55</v>
      </c>
      <c r="E74" s="87" t="s">
        <v>27</v>
      </c>
      <c r="F74" s="87" t="s">
        <v>29</v>
      </c>
      <c r="G74" s="11"/>
      <c r="H74" s="160"/>
      <c r="I74" s="161"/>
    </row>
    <row r="75" spans="1:9" ht="21.75" customHeight="1">
      <c r="A75" s="162"/>
      <c r="B75" s="163">
        <f>IF(NSG!$B16="","",+NSG!$B76)</f>
        <v>3707</v>
      </c>
      <c r="C75" s="145">
        <f>+NSG!$C76</f>
        <v>17822.005369530911</v>
      </c>
      <c r="D75" s="145">
        <f>+NSG!$D76</f>
        <v>1202.835048660585</v>
      </c>
      <c r="E75" s="145">
        <f>+NSG!$E76</f>
        <v>216.5103087589053</v>
      </c>
      <c r="F75" s="145">
        <f>IF(NSG!$B16="","",+$C75-$D75-$E75)</f>
        <v>16402.660012111421</v>
      </c>
      <c r="G75" s="11"/>
      <c r="H75" s="11"/>
      <c r="I75" s="77"/>
    </row>
    <row r="76" spans="1:9" ht="21.75" customHeight="1">
      <c r="A76" s="162"/>
      <c r="B76" s="163">
        <f>IF(NSG!$B17="","",+NSG!$B77)</f>
        <v>3708</v>
      </c>
      <c r="C76" s="145">
        <f>+NSG!$C77</f>
        <v>7530.3143289603422</v>
      </c>
      <c r="D76" s="145">
        <f>+NSG!$D77</f>
        <v>508.23270527063698</v>
      </c>
      <c r="E76" s="145">
        <f>+NSG!$E77</f>
        <v>91.48188694871466</v>
      </c>
      <c r="F76" s="145">
        <f>IF(NSG!$B17="","",+$C76-$D76-$E76)</f>
        <v>6930.5997367409909</v>
      </c>
      <c r="G76" s="11"/>
      <c r="H76" s="11"/>
      <c r="I76" s="77"/>
    </row>
    <row r="77" spans="1:9" ht="21.75" customHeight="1">
      <c r="A77" s="162"/>
      <c r="B77" s="163">
        <f>IF(NSG!$B18="","",+NSG!$B78)</f>
        <v>3709</v>
      </c>
      <c r="C77" s="145">
        <f>+NSG!$C78</f>
        <v>7530.3143289603422</v>
      </c>
      <c r="D77" s="145">
        <f>+NSG!$D78</f>
        <v>508.23270527063698</v>
      </c>
      <c r="E77" s="145">
        <f>+NSG!$E78</f>
        <v>91.48188694871466</v>
      </c>
      <c r="F77" s="145">
        <f>IF(NSG!$B18="","",+$C77-$D77-$E77)</f>
        <v>6930.5997367409909</v>
      </c>
      <c r="G77" s="11"/>
    </row>
    <row r="78" spans="1:9" ht="21.75" customHeight="1">
      <c r="A78" s="162"/>
      <c r="B78" s="163">
        <f>IF(NSG!$B19="","",+NSG!$B79)</f>
        <v>3710</v>
      </c>
      <c r="C78" s="145">
        <f>+NSG!$C79</f>
        <v>7530.3143289603422</v>
      </c>
      <c r="D78" s="145">
        <f>+NSG!$D79</f>
        <v>508.23270527063698</v>
      </c>
      <c r="E78" s="145">
        <f>+NSG!$E79</f>
        <v>91.48188694871466</v>
      </c>
      <c r="F78" s="145">
        <f>IF(NSG!$B19="","",+$C78-$D78-$E78)</f>
        <v>6930.5997367409909</v>
      </c>
      <c r="G78" s="11"/>
    </row>
    <row r="79" spans="1:9" ht="21.75" customHeight="1">
      <c r="A79" s="162"/>
      <c r="B79" s="163">
        <f>IF(NSG!$B20="","",+NSG!$B80)</f>
        <v>3711</v>
      </c>
      <c r="C79" s="145">
        <f>+NSG!$C80</f>
        <v>4363.8590424871036</v>
      </c>
      <c r="D79" s="145">
        <f>+NSG!$D80</f>
        <v>294.52367984872103</v>
      </c>
      <c r="E79" s="145">
        <f>+NSG!$E80</f>
        <v>53.014262372769785</v>
      </c>
      <c r="F79" s="145">
        <f>IF(NSG!$B20="","",+$C79-$D79-$E79)</f>
        <v>4016.3211002656126</v>
      </c>
      <c r="G79" s="11"/>
      <c r="H79" s="11"/>
      <c r="I79" s="77"/>
    </row>
    <row r="80" spans="1:9" ht="21.75" customHeight="1">
      <c r="A80" s="162"/>
      <c r="B80" s="163">
        <f>IF(NSG!$B21="","",+NSG!$B81)</f>
        <v>3712</v>
      </c>
      <c r="C80" s="145">
        <f>+NSG!$C81</f>
        <v>5222.5221507192364</v>
      </c>
      <c r="D80" s="145">
        <f>+NSG!$D81</f>
        <v>352.47619754570292</v>
      </c>
      <c r="E80" s="145">
        <f>+NSG!$E81</f>
        <v>63.445715558226524</v>
      </c>
      <c r="F80" s="145">
        <f>IF(NSG!$B21="","",+$C80-$D80-$E80)</f>
        <v>4806.6002376153065</v>
      </c>
      <c r="G80" s="11"/>
      <c r="H80" s="11"/>
      <c r="I80" s="77"/>
    </row>
    <row r="81" spans="1:9" ht="21.75" customHeight="1">
      <c r="A81" s="162"/>
      <c r="B81" s="163">
        <f>IF(NSG!$B22="","",+NSG!$B82)</f>
        <v>3713</v>
      </c>
      <c r="C81" s="145">
        <f>+NSG!$C82</f>
        <v>6829.4520432482313</v>
      </c>
      <c r="D81" s="145">
        <f>+NSG!$D82</f>
        <v>460.93041217514991</v>
      </c>
      <c r="E81" s="145">
        <f>+NSG!$E82</f>
        <v>82.967474191526975</v>
      </c>
      <c r="F81" s="145">
        <f>IF(NSG!$B22="","",+$C81-$D81-$E81)</f>
        <v>6285.5541568815543</v>
      </c>
      <c r="G81" s="11"/>
      <c r="H81" s="11"/>
      <c r="I81" s="77"/>
    </row>
    <row r="82" spans="1:9" ht="15" customHeight="1">
      <c r="A82" s="162"/>
      <c r="B82" s="163" t="str">
        <f>IF(NSG!$B23="","",+NSG!$B83)</f>
        <v/>
      </c>
      <c r="C82" s="145" t="str">
        <f>+NSG!$C83</f>
        <v/>
      </c>
      <c r="D82" s="145" t="str">
        <f>+NSG!$D83</f>
        <v/>
      </c>
      <c r="E82" s="145" t="str">
        <f>+NSG!$E83</f>
        <v/>
      </c>
      <c r="F82" s="145" t="str">
        <f>IF(NSG!$B23="","",+$C82-$D82-$E82)</f>
        <v/>
      </c>
      <c r="G82" s="11"/>
      <c r="H82" s="11"/>
      <c r="I82" s="77"/>
    </row>
    <row r="83" spans="1:9" ht="14.25" customHeight="1" outlineLevel="1">
      <c r="A83" s="162"/>
      <c r="B83" s="163" t="str">
        <f>IF(NSG!$B24="","",+NSG!$B84)</f>
        <v/>
      </c>
      <c r="C83" s="145" t="str">
        <f>+NSG!$C84</f>
        <v/>
      </c>
      <c r="D83" s="145" t="str">
        <f>+NSG!$D84</f>
        <v/>
      </c>
      <c r="E83" s="145" t="str">
        <f>+NSG!$E84</f>
        <v/>
      </c>
      <c r="F83" s="145" t="str">
        <f>IF(NSG!$B24="","",+$C83-$D83-$E83)</f>
        <v/>
      </c>
      <c r="G83" s="11"/>
      <c r="H83" s="11"/>
      <c r="I83" s="77"/>
    </row>
    <row r="84" spans="1:9" ht="24.75" hidden="1" customHeight="1" outlineLevel="1">
      <c r="A84" s="162"/>
      <c r="B84" s="163" t="str">
        <f>IF(NSG!$B25="","",+NSG!$B85)</f>
        <v/>
      </c>
      <c r="C84" s="145" t="str">
        <f>+NSG!$C85</f>
        <v/>
      </c>
      <c r="D84" s="145" t="str">
        <f>+NSG!$D85</f>
        <v/>
      </c>
      <c r="E84" s="145" t="str">
        <f>+NSG!$E85</f>
        <v/>
      </c>
      <c r="F84" s="145" t="str">
        <f>IF(NSG!$B25="","",+$C84-$D84-$E84)</f>
        <v/>
      </c>
      <c r="G84" s="11"/>
      <c r="H84" s="11"/>
      <c r="I84" s="77"/>
    </row>
    <row r="85" spans="1:9" ht="24.75" hidden="1" customHeight="1" outlineLevel="1">
      <c r="A85" s="162"/>
      <c r="B85" s="163" t="str">
        <f>IF(NSG!$B26="","",+NSG!$B86)</f>
        <v/>
      </c>
      <c r="C85" s="145" t="str">
        <f>+NSG!$C86</f>
        <v/>
      </c>
      <c r="D85" s="145" t="str">
        <f>+NSG!$D86</f>
        <v/>
      </c>
      <c r="E85" s="145" t="str">
        <f>+NSG!$E86</f>
        <v/>
      </c>
      <c r="F85" s="145" t="str">
        <f>IF(NSG!$B26="","",+$C85-$D85-$E85)</f>
        <v/>
      </c>
      <c r="G85" s="11"/>
      <c r="H85" s="11"/>
      <c r="I85" s="77"/>
    </row>
    <row r="86" spans="1:9" ht="24.75" hidden="1" customHeight="1" outlineLevel="1">
      <c r="A86" s="162"/>
      <c r="B86" s="163" t="str">
        <f>IF(NSG!$B27="","",+NSG!$B87)</f>
        <v/>
      </c>
      <c r="C86" s="145" t="str">
        <f>+NSG!$C87</f>
        <v/>
      </c>
      <c r="D86" s="145" t="str">
        <f>+NSG!$D87</f>
        <v/>
      </c>
      <c r="E86" s="145" t="str">
        <f>+NSG!$E87</f>
        <v/>
      </c>
      <c r="F86" s="145" t="str">
        <f>IF(NSG!$B27="","",+$C86-$D86-$E86)</f>
        <v/>
      </c>
      <c r="G86" s="11"/>
      <c r="H86" s="11"/>
      <c r="I86" s="77"/>
    </row>
    <row r="87" spans="1:9" ht="24.75" hidden="1" customHeight="1" outlineLevel="1">
      <c r="A87" s="162"/>
      <c r="B87" s="163" t="str">
        <f>IF(NSG!$B28="","",+NSG!$B88)</f>
        <v/>
      </c>
      <c r="C87" s="145" t="str">
        <f>+NSG!$C88</f>
        <v/>
      </c>
      <c r="D87" s="145" t="str">
        <f>+NSG!$D88</f>
        <v/>
      </c>
      <c r="E87" s="145" t="str">
        <f>+NSG!$E88</f>
        <v/>
      </c>
      <c r="F87" s="145" t="str">
        <f>IF(NSG!$B28="","",+$C87-$D87-$E87)</f>
        <v/>
      </c>
      <c r="G87" s="11"/>
      <c r="H87" s="11"/>
      <c r="I87" s="77"/>
    </row>
    <row r="88" spans="1:9" ht="24.75" hidden="1" customHeight="1" outlineLevel="1">
      <c r="A88" s="162"/>
      <c r="B88" s="163" t="str">
        <f>IF(NSG!$B29="","",+NSG!$B89)</f>
        <v/>
      </c>
      <c r="C88" s="145" t="str">
        <f>+NSG!$C89</f>
        <v/>
      </c>
      <c r="D88" s="145" t="str">
        <f>+NSG!$D89</f>
        <v/>
      </c>
      <c r="E88" s="145" t="str">
        <f>+NSG!$E89</f>
        <v/>
      </c>
      <c r="F88" s="145" t="str">
        <f>IF(NSG!$B29="","",+$C88-$D88-$E88)</f>
        <v/>
      </c>
      <c r="G88" s="11"/>
      <c r="H88" s="11"/>
      <c r="I88" s="77"/>
    </row>
    <row r="89" spans="1:9" ht="24.75" hidden="1" customHeight="1" outlineLevel="1">
      <c r="A89" s="162"/>
      <c r="B89" s="163" t="str">
        <f>IF(NSG!$B30="","",+NSG!$B90)</f>
        <v/>
      </c>
      <c r="C89" s="145" t="str">
        <f>+NSG!$C90</f>
        <v/>
      </c>
      <c r="D89" s="145" t="str">
        <f>+NSG!$D90</f>
        <v/>
      </c>
      <c r="E89" s="145" t="str">
        <f>+NSG!$E90</f>
        <v/>
      </c>
      <c r="F89" s="145" t="str">
        <f>IF(NSG!$B30="","",+$C89-$D89-$E89)</f>
        <v/>
      </c>
      <c r="G89" s="11"/>
      <c r="H89" s="11"/>
      <c r="I89" s="77"/>
    </row>
    <row r="90" spans="1:9" ht="24.75" hidden="1" customHeight="1" outlineLevel="1">
      <c r="A90" s="162"/>
      <c r="B90" s="163" t="str">
        <f>IF(NSG!$B31="","",+NSG!$B91)</f>
        <v/>
      </c>
      <c r="C90" s="145" t="str">
        <f>+NSG!$C91</f>
        <v/>
      </c>
      <c r="D90" s="145" t="str">
        <f>+NSG!$D91</f>
        <v/>
      </c>
      <c r="E90" s="145" t="str">
        <f>+NSG!$E91</f>
        <v/>
      </c>
      <c r="F90" s="145" t="str">
        <f>IF(NSG!$B31="","",+$C90-$D90-$E90)</f>
        <v/>
      </c>
      <c r="G90" s="11"/>
      <c r="H90" s="11"/>
      <c r="I90" s="77"/>
    </row>
    <row r="91" spans="1:9" ht="24.75" hidden="1" customHeight="1" outlineLevel="1">
      <c r="A91" s="162"/>
      <c r="B91" s="163" t="str">
        <f>IF(NSG!$B32="","",+NSG!$B92)</f>
        <v/>
      </c>
      <c r="C91" s="145" t="str">
        <f>+NSG!$C92</f>
        <v/>
      </c>
      <c r="D91" s="145" t="str">
        <f>+NSG!$D92</f>
        <v/>
      </c>
      <c r="E91" s="145" t="str">
        <f>+NSG!$E92</f>
        <v/>
      </c>
      <c r="F91" s="145" t="str">
        <f>IF(NSG!$B32="","",+$C91-$D91-$E91)</f>
        <v/>
      </c>
      <c r="G91" s="11"/>
      <c r="H91" s="11"/>
      <c r="I91" s="77"/>
    </row>
    <row r="92" spans="1:9" ht="26.25" hidden="1" customHeight="1" outlineLevel="1">
      <c r="A92" s="162"/>
      <c r="B92" s="163" t="str">
        <f>IF(NSG!$B33="","",+NSG!$B93)</f>
        <v/>
      </c>
      <c r="C92" s="145" t="str">
        <f>+NSG!$C93</f>
        <v/>
      </c>
      <c r="D92" s="145" t="str">
        <f>+NSG!$D93</f>
        <v/>
      </c>
      <c r="E92" s="145" t="str">
        <f>+NSG!$E93</f>
        <v/>
      </c>
      <c r="F92" s="145" t="str">
        <f>IF(NSG!$B33="","",+$C92-$D92-$E92)</f>
        <v/>
      </c>
      <c r="G92" s="11"/>
      <c r="H92" s="11"/>
      <c r="I92" s="77"/>
    </row>
    <row r="93" spans="1:9" ht="26.25" hidden="1" customHeight="1" outlineLevel="1">
      <c r="A93" s="162"/>
      <c r="B93" s="163" t="str">
        <f>IF(NSG!$B34="","",+NSG!$B94)</f>
        <v/>
      </c>
      <c r="C93" s="145" t="str">
        <f>+NSG!$C94</f>
        <v/>
      </c>
      <c r="D93" s="145" t="str">
        <f>+NSG!$D94</f>
        <v/>
      </c>
      <c r="E93" s="145" t="str">
        <f>+NSG!$E94</f>
        <v/>
      </c>
      <c r="F93" s="145" t="str">
        <f>IF(NSG!$B34="","",+$C93-$D93-$E93)</f>
        <v/>
      </c>
      <c r="G93" s="11"/>
      <c r="H93" s="11"/>
      <c r="I93" s="77"/>
    </row>
    <row r="94" spans="1:9" ht="26.25" hidden="1" customHeight="1" outlineLevel="1">
      <c r="A94" s="162"/>
      <c r="B94" s="163" t="str">
        <f>IF(NSG!$B35="","",+NSG!$B95)</f>
        <v/>
      </c>
      <c r="C94" s="145" t="str">
        <f>+NSG!$C95</f>
        <v/>
      </c>
      <c r="D94" s="145" t="str">
        <f>+NSG!$D95</f>
        <v/>
      </c>
      <c r="E94" s="145" t="str">
        <f>+NSG!$E95</f>
        <v/>
      </c>
      <c r="F94" s="145" t="str">
        <f>IF(NSG!$B35="","",+$C94-$D94-$E94)</f>
        <v/>
      </c>
      <c r="G94" s="11"/>
      <c r="H94" s="11"/>
      <c r="I94" s="77"/>
    </row>
    <row r="95" spans="1:9" ht="26.25" hidden="1" customHeight="1" outlineLevel="1">
      <c r="A95" s="162"/>
      <c r="B95" s="163" t="str">
        <f>IF(NSG!$B36="","",+NSG!$B96)</f>
        <v/>
      </c>
      <c r="C95" s="145" t="str">
        <f>+NSG!$C96</f>
        <v/>
      </c>
      <c r="D95" s="145" t="str">
        <f>+NSG!$D96</f>
        <v/>
      </c>
      <c r="E95" s="145" t="str">
        <f>+NSG!$E96</f>
        <v/>
      </c>
      <c r="F95" s="145" t="str">
        <f>IF(NSG!$B36="","",+$C95-$D95-$E95)</f>
        <v/>
      </c>
      <c r="G95" s="11"/>
      <c r="H95" s="11"/>
      <c r="I95" s="77"/>
    </row>
    <row r="96" spans="1:9" ht="26.25" hidden="1" customHeight="1" outlineLevel="1">
      <c r="A96" s="162"/>
      <c r="B96" s="163" t="str">
        <f>IF(NSG!$B37="","",+NSG!$B97)</f>
        <v/>
      </c>
      <c r="C96" s="145" t="str">
        <f>+NSG!$C97</f>
        <v/>
      </c>
      <c r="D96" s="145" t="str">
        <f>+NSG!$D97</f>
        <v/>
      </c>
      <c r="E96" s="145" t="str">
        <f>+NSG!$E97</f>
        <v/>
      </c>
      <c r="F96" s="145" t="str">
        <f>IF(NSG!$B37="","",+$C96-$D96-$E96)</f>
        <v/>
      </c>
      <c r="G96" s="11"/>
      <c r="H96" s="11"/>
      <c r="I96" s="77"/>
    </row>
    <row r="97" spans="1:9" ht="30" hidden="1" customHeight="1" outlineLevel="1">
      <c r="A97" s="162"/>
      <c r="B97" s="163" t="str">
        <f>IF(NSG!$B38="","",+NSG!$B98)</f>
        <v/>
      </c>
      <c r="C97" s="145" t="str">
        <f>+NSG!$C98</f>
        <v/>
      </c>
      <c r="D97" s="145" t="str">
        <f>+NSG!$D98</f>
        <v/>
      </c>
      <c r="E97" s="145" t="str">
        <f>+NSG!$E98</f>
        <v/>
      </c>
      <c r="F97" s="145" t="str">
        <f>IF(NSG!$B38="","",+$C97-$D97-$E97)</f>
        <v/>
      </c>
      <c r="G97" s="11"/>
      <c r="H97" s="11"/>
      <c r="I97" s="77"/>
    </row>
    <row r="98" spans="1:9" ht="30" hidden="1" customHeight="1" outlineLevel="1">
      <c r="A98" s="162"/>
      <c r="B98" s="163" t="str">
        <f>IF(NSG!$B39="","",+NSG!$B99)</f>
        <v/>
      </c>
      <c r="C98" s="145" t="str">
        <f>+NSG!$C99</f>
        <v/>
      </c>
      <c r="D98" s="145" t="str">
        <f>+NSG!$D99</f>
        <v/>
      </c>
      <c r="E98" s="145" t="str">
        <f>+NSG!$E99</f>
        <v/>
      </c>
      <c r="F98" s="145" t="str">
        <f>IF(NSG!$B39="","",+$C98-$D98-$E98)</f>
        <v/>
      </c>
      <c r="G98" s="11"/>
      <c r="H98" s="11"/>
      <c r="I98" s="77"/>
    </row>
    <row r="99" spans="1:9" ht="30" hidden="1" customHeight="1" outlineLevel="1">
      <c r="A99" s="162"/>
      <c r="B99" s="163" t="str">
        <f>IF(NSG!$B40="","",+NSG!$B100)</f>
        <v/>
      </c>
      <c r="C99" s="145" t="str">
        <f>+NSG!$C100</f>
        <v/>
      </c>
      <c r="D99" s="145" t="str">
        <f>+NSG!$D100</f>
        <v/>
      </c>
      <c r="E99" s="145" t="str">
        <f>+NSG!$E100</f>
        <v/>
      </c>
      <c r="F99" s="145" t="str">
        <f>IF(NSG!$B40="","",+$C99-$D99-$E99)</f>
        <v/>
      </c>
      <c r="G99" s="11"/>
      <c r="H99" s="11"/>
      <c r="I99" s="77"/>
    </row>
    <row r="100" spans="1:9" ht="30" hidden="1" customHeight="1" outlineLevel="1">
      <c r="A100" s="162"/>
      <c r="B100" s="163" t="str">
        <f>IF(NSG!$B41="","",+NSG!$B101)</f>
        <v/>
      </c>
      <c r="C100" s="145" t="str">
        <f>+NSG!$C101</f>
        <v/>
      </c>
      <c r="D100" s="145" t="str">
        <f>+NSG!$D101</f>
        <v/>
      </c>
      <c r="E100" s="145" t="str">
        <f>+NSG!$E101</f>
        <v/>
      </c>
      <c r="F100" s="145" t="str">
        <f>IF(NSG!$B41="","",+$C100-$D100-$E100)</f>
        <v/>
      </c>
      <c r="G100" s="11"/>
      <c r="H100" s="11"/>
      <c r="I100" s="77"/>
    </row>
    <row r="101" spans="1:9" ht="30" hidden="1" customHeight="1" outlineLevel="1">
      <c r="A101" s="162"/>
      <c r="B101" s="163" t="str">
        <f>IF(NSG!$B42="","",+NSG!$B102)</f>
        <v/>
      </c>
      <c r="C101" s="145" t="str">
        <f>+NSG!$C102</f>
        <v/>
      </c>
      <c r="D101" s="145" t="str">
        <f>+NSG!$D102</f>
        <v/>
      </c>
      <c r="E101" s="145" t="str">
        <f>+NSG!$E102</f>
        <v/>
      </c>
      <c r="F101" s="145" t="str">
        <f>IF(NSG!$B42="","",+$C101-$D101-$E101)</f>
        <v/>
      </c>
      <c r="G101" s="11"/>
      <c r="H101" s="11"/>
      <c r="I101" s="77"/>
    </row>
    <row r="102" spans="1:9" ht="30" hidden="1" customHeight="1" outlineLevel="1">
      <c r="A102" s="162"/>
      <c r="B102" s="163" t="str">
        <f>IF(NSG!$B43="","",+NSG!$B103)</f>
        <v/>
      </c>
      <c r="C102" s="145" t="str">
        <f>+NSG!$C103</f>
        <v/>
      </c>
      <c r="D102" s="145" t="str">
        <f>+NSG!$D103</f>
        <v/>
      </c>
      <c r="E102" s="145" t="str">
        <f>+NSG!$E103</f>
        <v/>
      </c>
      <c r="F102" s="145" t="str">
        <f>IF(NSG!$B43="","",+$C102-$D102-$E102)</f>
        <v/>
      </c>
      <c r="G102" s="11"/>
      <c r="H102" s="11"/>
      <c r="I102" s="77"/>
    </row>
    <row r="103" spans="1:9" ht="30" hidden="1" customHeight="1" outlineLevel="1">
      <c r="A103" s="162"/>
      <c r="B103" s="163" t="str">
        <f>IF(NSG!$B44="","",+NSG!$B104)</f>
        <v/>
      </c>
      <c r="C103" s="145" t="str">
        <f>+NSG!$C104</f>
        <v/>
      </c>
      <c r="D103" s="145" t="str">
        <f>+NSG!$D104</f>
        <v/>
      </c>
      <c r="E103" s="145" t="str">
        <f>+NSG!$E104</f>
        <v/>
      </c>
      <c r="F103" s="145" t="str">
        <f>IF(NSG!$B44="","",+$C103-$D103-$E103)</f>
        <v/>
      </c>
      <c r="G103" s="11"/>
      <c r="H103" s="11"/>
      <c r="I103" s="77"/>
    </row>
    <row r="104" spans="1:9" ht="30" hidden="1" customHeight="1" outlineLevel="1">
      <c r="A104" s="162"/>
      <c r="B104" s="163" t="str">
        <f>IF(NSG!$B45="","",+NSG!$B105)</f>
        <v/>
      </c>
      <c r="C104" s="145" t="str">
        <f>+NSG!$C105</f>
        <v/>
      </c>
      <c r="D104" s="145" t="str">
        <f>+NSG!$D105</f>
        <v/>
      </c>
      <c r="E104" s="145" t="str">
        <f>+NSG!$E105</f>
        <v/>
      </c>
      <c r="F104" s="145" t="str">
        <f>IF(NSG!$B45="","",+$C104-$D104-$E104)</f>
        <v/>
      </c>
      <c r="G104" s="11"/>
      <c r="H104" s="11"/>
      <c r="I104" s="77"/>
    </row>
    <row r="105" spans="1:9" ht="30" hidden="1" customHeight="1" outlineLevel="1">
      <c r="A105" s="162"/>
      <c r="B105" s="163" t="str">
        <f>IF(NSG!$B46="","",+NSG!$B106)</f>
        <v/>
      </c>
      <c r="C105" s="145" t="str">
        <f>+NSG!$C106</f>
        <v/>
      </c>
      <c r="D105" s="145" t="str">
        <f>+NSG!$D106</f>
        <v/>
      </c>
      <c r="E105" s="145" t="str">
        <f>+NSG!$E106</f>
        <v/>
      </c>
      <c r="F105" s="145" t="str">
        <f>IF(NSG!$B46="","",+$C105-$D105-$E105)</f>
        <v/>
      </c>
      <c r="G105" s="11"/>
      <c r="H105" s="11"/>
      <c r="I105" s="77"/>
    </row>
    <row r="106" spans="1:9" ht="30" hidden="1" customHeight="1" outlineLevel="1">
      <c r="A106" s="162"/>
      <c r="B106" s="163" t="str">
        <f>IF(NSG!$B47="","",+NSG!$B107)</f>
        <v/>
      </c>
      <c r="C106" s="145" t="str">
        <f>+NSG!$C107</f>
        <v/>
      </c>
      <c r="D106" s="145" t="str">
        <f>+NSG!$D107</f>
        <v/>
      </c>
      <c r="E106" s="145" t="str">
        <f>+NSG!$E107</f>
        <v/>
      </c>
      <c r="F106" s="145" t="str">
        <f>IF(NSG!$B47="","",+$C106-$D106-$E106)</f>
        <v/>
      </c>
      <c r="G106" s="11"/>
      <c r="H106" s="11"/>
      <c r="I106" s="77"/>
    </row>
    <row r="107" spans="1:9" ht="30" hidden="1" customHeight="1" outlineLevel="1">
      <c r="A107" s="162"/>
      <c r="B107" s="163" t="str">
        <f>IF(NSG!$B48="","",+NSG!$B108)</f>
        <v/>
      </c>
      <c r="C107" s="145" t="str">
        <f>+NSG!$C108</f>
        <v/>
      </c>
      <c r="D107" s="145" t="str">
        <f>+NSG!$D108</f>
        <v/>
      </c>
      <c r="E107" s="145" t="str">
        <f>+NSG!$E108</f>
        <v/>
      </c>
      <c r="F107" s="145" t="str">
        <f>IF(NSG!$B48="","",+$C107-$D107-$E107)</f>
        <v/>
      </c>
      <c r="G107" s="11"/>
      <c r="H107" s="11"/>
      <c r="I107" s="77"/>
    </row>
    <row r="108" spans="1:9" ht="30" hidden="1" customHeight="1" outlineLevel="1">
      <c r="A108" s="162"/>
      <c r="B108" s="163" t="str">
        <f>IF(NSG!$B49="","",+NSG!$B109)</f>
        <v/>
      </c>
      <c r="C108" s="145" t="str">
        <f>+NSG!$C109</f>
        <v/>
      </c>
      <c r="D108" s="145" t="str">
        <f>+NSG!$D109</f>
        <v/>
      </c>
      <c r="E108" s="145" t="str">
        <f>+NSG!$E109</f>
        <v/>
      </c>
      <c r="F108" s="145" t="str">
        <f>IF(NSG!$B49="","",+$C108-$D108-$E108)</f>
        <v/>
      </c>
      <c r="G108" s="11"/>
      <c r="H108" s="11"/>
      <c r="I108" s="77"/>
    </row>
    <row r="109" spans="1:9" ht="30" hidden="1" customHeight="1" outlineLevel="1">
      <c r="A109" s="162"/>
      <c r="B109" s="163" t="str">
        <f>IF(NSG!$B50="","",+NSG!$B110)</f>
        <v/>
      </c>
      <c r="C109" s="145" t="str">
        <f>+NSG!$C110</f>
        <v/>
      </c>
      <c r="D109" s="145" t="str">
        <f>+NSG!$D110</f>
        <v/>
      </c>
      <c r="E109" s="145" t="str">
        <f>+NSG!$E110</f>
        <v/>
      </c>
      <c r="F109" s="145" t="str">
        <f>IF(NSG!$B50="","",+$C109-$D109-$E109)</f>
        <v/>
      </c>
      <c r="G109" s="11"/>
      <c r="H109" s="11"/>
      <c r="I109" s="77"/>
    </row>
    <row r="110" spans="1:9" ht="30" hidden="1" customHeight="1" outlineLevel="1">
      <c r="A110" s="162"/>
      <c r="B110" s="163" t="str">
        <f>IF(NSG!$B51="","",+NSG!$B111)</f>
        <v/>
      </c>
      <c r="C110" s="145" t="str">
        <f>+NSG!$C111</f>
        <v/>
      </c>
      <c r="D110" s="145" t="str">
        <f>+NSG!$D111</f>
        <v/>
      </c>
      <c r="E110" s="145" t="str">
        <f>+NSG!$E111</f>
        <v/>
      </c>
      <c r="F110" s="145" t="str">
        <f>IF(NSG!$B51="","",+$C110-$D110-$E110)</f>
        <v/>
      </c>
      <c r="G110" s="11"/>
      <c r="H110" s="11"/>
      <c r="I110" s="77"/>
    </row>
    <row r="111" spans="1:9" ht="30" hidden="1" customHeight="1" outlineLevel="1">
      <c r="A111" s="162"/>
      <c r="B111" s="163" t="str">
        <f>IF(NSG!$B52="","",+NSG!$B112)</f>
        <v/>
      </c>
      <c r="C111" s="145" t="str">
        <f>+NSG!$C112</f>
        <v/>
      </c>
      <c r="D111" s="145" t="str">
        <f>+NSG!$D112</f>
        <v/>
      </c>
      <c r="E111" s="145" t="str">
        <f>+NSG!$E112</f>
        <v/>
      </c>
      <c r="F111" s="145" t="str">
        <f>IF(NSG!$B52="","",+$C111-$D111-$E111)</f>
        <v/>
      </c>
      <c r="G111" s="11"/>
      <c r="H111" s="11"/>
      <c r="I111" s="77"/>
    </row>
    <row r="112" spans="1:9" ht="30" hidden="1" customHeight="1" outlineLevel="1">
      <c r="A112" s="162"/>
      <c r="B112" s="163" t="str">
        <f>IF(NSG!$B53="","",+NSG!$B113)</f>
        <v/>
      </c>
      <c r="C112" s="145" t="str">
        <f>+NSG!$C113</f>
        <v/>
      </c>
      <c r="D112" s="145" t="str">
        <f>+NSG!$D113</f>
        <v/>
      </c>
      <c r="E112" s="145" t="str">
        <f>+NSG!$E113</f>
        <v/>
      </c>
      <c r="F112" s="145" t="str">
        <f>IF(NSG!$B53="","",+$C112-$D112-$E112)</f>
        <v/>
      </c>
      <c r="G112" s="11"/>
      <c r="H112" s="11"/>
      <c r="I112" s="77"/>
    </row>
    <row r="113" spans="1:9" ht="30" hidden="1" customHeight="1" outlineLevel="1">
      <c r="A113" s="162"/>
      <c r="B113" s="163" t="str">
        <f>IF(NSG!$B54="","",+NSG!$B114)</f>
        <v/>
      </c>
      <c r="C113" s="145" t="str">
        <f>+NSG!$C114</f>
        <v/>
      </c>
      <c r="D113" s="145" t="str">
        <f>+NSG!$D114</f>
        <v/>
      </c>
      <c r="E113" s="145" t="str">
        <f>+NSG!$E114</f>
        <v/>
      </c>
      <c r="F113" s="145" t="str">
        <f>IF(NSG!$B54="","",+$C113-$D113-$E113)</f>
        <v/>
      </c>
      <c r="G113" s="11"/>
      <c r="H113" s="11"/>
      <c r="I113" s="77"/>
    </row>
    <row r="114" spans="1:9" ht="30" hidden="1" customHeight="1" outlineLevel="1">
      <c r="A114" s="162"/>
      <c r="B114" s="163" t="str">
        <f>IF(NSG!$B55="","",+NSG!$B115)</f>
        <v/>
      </c>
      <c r="C114" s="145" t="str">
        <f>+NSG!$C115</f>
        <v/>
      </c>
      <c r="D114" s="145" t="str">
        <f>+NSG!$D115</f>
        <v/>
      </c>
      <c r="E114" s="145" t="str">
        <f>+NSG!$E115</f>
        <v/>
      </c>
      <c r="F114" s="145" t="str">
        <f>IF(NSG!$B55="","",+$C114-$D114-$E114)</f>
        <v/>
      </c>
      <c r="G114" s="11"/>
      <c r="H114" s="11"/>
      <c r="I114" s="77"/>
    </row>
    <row r="115" spans="1:9" ht="30" hidden="1" customHeight="1" outlineLevel="1">
      <c r="A115" s="162"/>
      <c r="B115" s="163" t="str">
        <f>IF(NSG!$B56="","",+NSG!$B116)</f>
        <v/>
      </c>
      <c r="C115" s="145" t="str">
        <f>+NSG!$C116</f>
        <v/>
      </c>
      <c r="D115" s="145" t="str">
        <f>+NSG!$D116</f>
        <v/>
      </c>
      <c r="E115" s="145" t="str">
        <f>+NSG!$E116</f>
        <v/>
      </c>
      <c r="F115" s="145" t="str">
        <f>IF(NSG!$B56="","",+$C115-$D115-$E115)</f>
        <v/>
      </c>
      <c r="G115" s="11"/>
      <c r="H115" s="11"/>
      <c r="I115" s="77"/>
    </row>
    <row r="116" spans="1:9" ht="30" hidden="1" customHeight="1" outlineLevel="1">
      <c r="A116" s="162"/>
      <c r="B116" s="163" t="str">
        <f>IF(NSG!$B57="","",+NSG!$B117)</f>
        <v/>
      </c>
      <c r="C116" s="145" t="str">
        <f>+NSG!$C117</f>
        <v/>
      </c>
      <c r="D116" s="145" t="str">
        <f>+NSG!$D117</f>
        <v/>
      </c>
      <c r="E116" s="145" t="str">
        <f>+NSG!$E117</f>
        <v/>
      </c>
      <c r="F116" s="145" t="str">
        <f>IF(NSG!$B57="","",+$C116-$D116-$E116)</f>
        <v/>
      </c>
      <c r="G116" s="11"/>
      <c r="H116" s="11"/>
      <c r="I116" s="77"/>
    </row>
    <row r="117" spans="1:9" ht="30" hidden="1" customHeight="1" outlineLevel="1">
      <c r="A117" s="162"/>
      <c r="B117" s="163" t="str">
        <f>IF(NSG!$B58="","",+NSG!$B118)</f>
        <v/>
      </c>
      <c r="C117" s="145" t="str">
        <f>+NSG!$C118</f>
        <v/>
      </c>
      <c r="D117" s="145" t="str">
        <f>+NSG!$D118</f>
        <v/>
      </c>
      <c r="E117" s="145" t="str">
        <f>+NSG!$E118</f>
        <v/>
      </c>
      <c r="F117" s="145" t="str">
        <f>IF(NSG!$B58="","",+$C117-$D117-$E117)</f>
        <v/>
      </c>
      <c r="G117" s="11"/>
      <c r="H117" s="11"/>
      <c r="I117" s="77"/>
    </row>
    <row r="118" spans="1:9" ht="30" hidden="1" customHeight="1" outlineLevel="1">
      <c r="A118" s="162"/>
      <c r="B118" s="163" t="str">
        <f>IF(NSG!$B59="","",+NSG!$B119)</f>
        <v/>
      </c>
      <c r="C118" s="145" t="str">
        <f>+NSG!$C119</f>
        <v/>
      </c>
      <c r="D118" s="145" t="str">
        <f>+NSG!$D119</f>
        <v/>
      </c>
      <c r="E118" s="145" t="str">
        <f>+NSG!$E119</f>
        <v/>
      </c>
      <c r="F118" s="145" t="str">
        <f>IF(NSG!$B59="","",+$C118-$D118-$E118)</f>
        <v/>
      </c>
      <c r="G118" s="11"/>
      <c r="H118" s="11"/>
      <c r="I118" s="77"/>
    </row>
    <row r="119" spans="1:9" ht="30" hidden="1" customHeight="1" outlineLevel="1">
      <c r="A119" s="162"/>
      <c r="B119" s="163" t="str">
        <f>IF(NSG!$B60="","",+NSG!$B120)</f>
        <v/>
      </c>
      <c r="C119" s="145" t="str">
        <f>+NSG!$C120</f>
        <v/>
      </c>
      <c r="D119" s="145" t="str">
        <f>+NSG!$D120</f>
        <v/>
      </c>
      <c r="E119" s="145" t="str">
        <f>+NSG!$E120</f>
        <v/>
      </c>
      <c r="F119" s="145" t="str">
        <f>IF(NSG!$B60="","",+$C119-$D119-$E119)</f>
        <v/>
      </c>
      <c r="G119" s="11"/>
      <c r="H119" s="11"/>
      <c r="I119" s="77"/>
    </row>
    <row r="120" spans="1:9" ht="30" hidden="1" customHeight="1" outlineLevel="1">
      <c r="A120" s="162"/>
      <c r="B120" s="163" t="str">
        <f>IF(NSG!$B61="","",+NSG!$B121)</f>
        <v/>
      </c>
      <c r="C120" s="145" t="str">
        <f>+NSG!$C121</f>
        <v/>
      </c>
      <c r="D120" s="145" t="str">
        <f>+NSG!$D121</f>
        <v/>
      </c>
      <c r="E120" s="145" t="str">
        <f>+NSG!$E121</f>
        <v/>
      </c>
      <c r="F120" s="145" t="str">
        <f>IF(NSG!$B61="","",+$C120-$D120-$E120)</f>
        <v/>
      </c>
      <c r="G120" s="11"/>
      <c r="H120" s="11"/>
      <c r="I120" s="77"/>
    </row>
    <row r="121" spans="1:9" ht="30" hidden="1" customHeight="1" outlineLevel="1">
      <c r="A121" s="162"/>
      <c r="B121" s="163" t="str">
        <f>IF(NSG!$B62="","",+NSG!$B122)</f>
        <v/>
      </c>
      <c r="C121" s="145" t="str">
        <f>+NSG!$C122</f>
        <v/>
      </c>
      <c r="D121" s="145" t="str">
        <f>+NSG!$D122</f>
        <v/>
      </c>
      <c r="E121" s="145" t="str">
        <f>+NSG!$E122</f>
        <v/>
      </c>
      <c r="F121" s="145" t="str">
        <f>IF(NSG!$B62="","",+$C121-$D121-$E121)</f>
        <v/>
      </c>
      <c r="G121" s="11"/>
      <c r="H121" s="11"/>
      <c r="I121" s="77"/>
    </row>
    <row r="122" spans="1:9" ht="30" hidden="1" customHeight="1" outlineLevel="1">
      <c r="A122" s="162"/>
      <c r="B122" s="163" t="str">
        <f>IF(NSG!$B63="","",+NSG!$B123)</f>
        <v/>
      </c>
      <c r="C122" s="145" t="str">
        <f>+NSG!$C123</f>
        <v/>
      </c>
      <c r="D122" s="145" t="str">
        <f>+NSG!$D123</f>
        <v/>
      </c>
      <c r="E122" s="145" t="str">
        <f>+NSG!$E123</f>
        <v/>
      </c>
      <c r="F122" s="145" t="str">
        <f>IF(NSG!$B63="","",+$C122-$D122-$E122)</f>
        <v/>
      </c>
      <c r="G122" s="11"/>
      <c r="H122" s="11"/>
      <c r="I122" s="77"/>
    </row>
    <row r="123" spans="1:9" ht="30" hidden="1" customHeight="1" outlineLevel="1">
      <c r="A123" s="162"/>
      <c r="B123" s="163" t="str">
        <f>IF(NSG!$B64="","",+NSG!$B124)</f>
        <v/>
      </c>
      <c r="C123" s="145" t="str">
        <f>+NSG!$C124</f>
        <v/>
      </c>
      <c r="D123" s="145" t="str">
        <f>+NSG!$D124</f>
        <v/>
      </c>
      <c r="E123" s="145" t="str">
        <f>+NSG!$E124</f>
        <v/>
      </c>
      <c r="F123" s="145" t="str">
        <f>IF(NSG!$B64="","",+$C123-$D123-$E123)</f>
        <v/>
      </c>
      <c r="G123" s="11"/>
      <c r="H123" s="11"/>
      <c r="I123" s="77"/>
    </row>
    <row r="124" spans="1:9" ht="30" hidden="1" customHeight="1" outlineLevel="1">
      <c r="A124" s="162"/>
      <c r="B124" s="163" t="str">
        <f>IF(NSG!$B65="","",+NSG!$B125)</f>
        <v/>
      </c>
      <c r="C124" s="145" t="str">
        <f>+NSG!$C125</f>
        <v/>
      </c>
      <c r="D124" s="145" t="str">
        <f>+NSG!$D125</f>
        <v/>
      </c>
      <c r="E124" s="145" t="str">
        <f>+NSG!$E125</f>
        <v/>
      </c>
      <c r="F124" s="145" t="str">
        <f>IF(NSG!$B65="","",+$C124-$D124-$E124)</f>
        <v/>
      </c>
      <c r="G124" s="11"/>
      <c r="H124" s="11"/>
      <c r="I124" s="77"/>
    </row>
    <row r="125" spans="1:9" ht="30" hidden="1" customHeight="1" outlineLevel="1">
      <c r="A125" s="162"/>
      <c r="B125" s="163" t="str">
        <f>IF(NSG!$B66="","",+NSG!$B126)</f>
        <v/>
      </c>
      <c r="C125" s="145" t="str">
        <f>+NSG!$C126</f>
        <v/>
      </c>
      <c r="D125" s="145" t="str">
        <f>+NSG!$D126</f>
        <v/>
      </c>
      <c r="E125" s="145" t="str">
        <f>+NSG!$E126</f>
        <v/>
      </c>
      <c r="F125" s="145" t="str">
        <f>IF(NSG!$B66="","",+$C125-$D125-$E125)</f>
        <v/>
      </c>
      <c r="G125" s="11"/>
      <c r="H125" s="11"/>
      <c r="I125" s="77"/>
    </row>
    <row r="126" spans="1:9" ht="30" hidden="1" customHeight="1" outlineLevel="1">
      <c r="A126" s="162"/>
      <c r="B126" s="163" t="str">
        <f>IF(NSG!$B67="","",+NSG!$B127)</f>
        <v/>
      </c>
      <c r="C126" s="145" t="str">
        <f>+NSG!$C127</f>
        <v/>
      </c>
      <c r="D126" s="145" t="str">
        <f>+NSG!$D127</f>
        <v/>
      </c>
      <c r="E126" s="145" t="str">
        <f>+NSG!$E127</f>
        <v/>
      </c>
      <c r="F126" s="145" t="str">
        <f>IF(NSG!$B67="","",+$C126-$D126-$E126)</f>
        <v/>
      </c>
      <c r="G126" s="11"/>
      <c r="H126" s="11"/>
      <c r="I126" s="77"/>
    </row>
    <row r="127" spans="1:9" ht="30" hidden="1" customHeight="1" outlineLevel="1">
      <c r="A127" s="162"/>
      <c r="B127" s="163" t="str">
        <f>IF(NSG!$B68="","",+NSG!$B128)</f>
        <v/>
      </c>
      <c r="C127" s="145" t="str">
        <f>+NSG!$C128</f>
        <v/>
      </c>
      <c r="D127" s="145" t="str">
        <f>+NSG!$D128</f>
        <v/>
      </c>
      <c r="E127" s="145" t="str">
        <f>+NSG!$E128</f>
        <v/>
      </c>
      <c r="F127" s="145" t="str">
        <f>IF(NSG!$B68="","",+$C127-$D127-$E127)</f>
        <v/>
      </c>
      <c r="G127" s="11"/>
      <c r="H127" s="11"/>
      <c r="I127" s="77"/>
    </row>
    <row r="128" spans="1:9" ht="30" hidden="1" customHeight="1" outlineLevel="1">
      <c r="A128" s="162"/>
      <c r="B128" s="163" t="str">
        <f>IF(NSG!$B69="","",+NSG!$B129)</f>
        <v/>
      </c>
      <c r="C128" s="145" t="str">
        <f>+NSG!$C129</f>
        <v/>
      </c>
      <c r="D128" s="145" t="str">
        <f>+NSG!$D129</f>
        <v/>
      </c>
      <c r="E128" s="145" t="str">
        <f>+NSG!$E129</f>
        <v/>
      </c>
      <c r="F128" s="145" t="str">
        <f>IF(NSG!$B69="","",+$C128-$D128-$E128)</f>
        <v/>
      </c>
      <c r="G128" s="11"/>
      <c r="H128" s="11"/>
      <c r="I128" s="77"/>
    </row>
    <row r="129" spans="1:9" ht="30" hidden="1" customHeight="1" outlineLevel="1">
      <c r="A129" s="162"/>
      <c r="B129" s="163" t="str">
        <f>IF(NSG!$B70="","",+NSG!$B130)</f>
        <v/>
      </c>
      <c r="C129" s="145" t="str">
        <f>+NSG!$C130</f>
        <v/>
      </c>
      <c r="D129" s="145" t="str">
        <f>+NSG!$D130</f>
        <v/>
      </c>
      <c r="E129" s="145" t="str">
        <f>+NSG!$E130</f>
        <v/>
      </c>
      <c r="F129" s="145" t="str">
        <f>IF(NSG!$B70="","",+$C129-$D129-$E129)</f>
        <v/>
      </c>
      <c r="G129" s="11"/>
      <c r="H129" s="11"/>
      <c r="I129" s="77"/>
    </row>
    <row r="130" spans="1:9" ht="30" hidden="1" customHeight="1" outlineLevel="1">
      <c r="A130" s="162"/>
      <c r="B130" s="163" t="str">
        <f>IF(NSG!$B71="","",+NSG!$B131)</f>
        <v/>
      </c>
      <c r="C130" s="145" t="str">
        <f>+NSG!$C131</f>
        <v/>
      </c>
      <c r="D130" s="145" t="str">
        <f>+NSG!$D131</f>
        <v/>
      </c>
      <c r="E130" s="145" t="str">
        <f>+NSG!$E131</f>
        <v/>
      </c>
      <c r="F130" s="145" t="str">
        <f>IF(NSG!$B71="","",+$C130-$D130-$E130)</f>
        <v/>
      </c>
      <c r="G130" s="11"/>
      <c r="H130" s="11"/>
      <c r="I130" s="77"/>
    </row>
    <row r="131" spans="1:9" ht="30" hidden="1" customHeight="1">
      <c r="A131" s="162"/>
      <c r="B131" s="163"/>
      <c r="C131" s="145" t="str">
        <f>+NSG!$C131</f>
        <v/>
      </c>
      <c r="D131" s="145" t="str">
        <f>+NSG!$D131</f>
        <v/>
      </c>
      <c r="E131" s="145" t="str">
        <f>+NSG!$E131</f>
        <v/>
      </c>
      <c r="F131" s="145" t="str">
        <f>IF(NSG!$B71="","",+$C131-$D131-$E131)</f>
        <v/>
      </c>
      <c r="G131" s="11"/>
      <c r="H131" s="11"/>
      <c r="I131" s="77"/>
    </row>
    <row r="132" spans="1:9" ht="30" customHeight="1">
      <c r="A132" s="11"/>
      <c r="B132" s="190"/>
      <c r="C132" s="154">
        <f t="shared" ref="C132:F132" si="0">SUM(C75:C131)</f>
        <v>56828.7815928665</v>
      </c>
      <c r="D132" s="154">
        <f t="shared" si="0"/>
        <v>3835.4634540420698</v>
      </c>
      <c r="E132" s="154">
        <f t="shared" si="0"/>
        <v>690.38342172757257</v>
      </c>
      <c r="F132" s="154">
        <f t="shared" si="0"/>
        <v>52302.934717096861</v>
      </c>
      <c r="G132" s="11"/>
      <c r="H132" s="390" t="s">
        <v>96</v>
      </c>
      <c r="I132" s="391">
        <f>+NSG!$D$137</f>
        <v>3102.8704071335087</v>
      </c>
    </row>
    <row r="133" spans="1:9" ht="25.2" customHeight="1">
      <c r="A133" s="11"/>
      <c r="B133" s="78"/>
      <c r="C133" s="77"/>
      <c r="D133" s="11"/>
      <c r="E133" s="388" t="s">
        <v>66</v>
      </c>
      <c r="F133" s="145">
        <f>+NSG!G148</f>
        <v>502.94000000000005</v>
      </c>
      <c r="G133" s="11"/>
      <c r="H133" s="499" t="s">
        <v>97</v>
      </c>
      <c r="I133" s="499"/>
    </row>
    <row r="134" spans="1:9" ht="25.2" customHeight="1">
      <c r="A134" s="11"/>
      <c r="B134" s="78"/>
      <c r="C134" s="11"/>
      <c r="D134" s="11"/>
      <c r="E134" s="389" t="s">
        <v>67</v>
      </c>
      <c r="F134" s="154">
        <f>+F132-F133</f>
        <v>51799.994717096859</v>
      </c>
      <c r="G134" s="11"/>
      <c r="H134" s="500"/>
      <c r="I134" s="500"/>
    </row>
    <row r="135" spans="1:9" ht="15.75" customHeight="1" thickBot="1">
      <c r="A135" s="11"/>
      <c r="B135" s="78"/>
      <c r="C135" s="61"/>
      <c r="D135" s="61"/>
      <c r="E135" s="191"/>
      <c r="F135" s="77"/>
      <c r="G135" s="11"/>
      <c r="H135" s="11"/>
      <c r="I135" s="11"/>
    </row>
    <row r="136" spans="1:9" ht="42" customHeight="1" thickBot="1">
      <c r="A136" s="11"/>
      <c r="B136" s="492" t="str">
        <f>"FACTURAR A "&amp;+$C$5&amp;" POR INTERESES PACTADOS"</f>
        <v>FACTURAR A SERVICIOS MOBILES INTERNACIONALES POR INTERESES PACTADOS</v>
      </c>
      <c r="C136" s="493"/>
      <c r="E136" s="492" t="str">
        <f>"FACTURAR A "&amp;+$C$5&amp;" POR COMISION DE ESTRUCTURACIÓN"</f>
        <v>FACTURAR A SERVICIOS MOBILES INTERNACIONALES POR COMISION DE ESTRUCTURACIÓN</v>
      </c>
      <c r="F136" s="493"/>
      <c r="H136" s="492" t="str">
        <f>"FACTURAR A "&amp;+$C$5&amp;" POR INTERESES ADICIONALES"</f>
        <v>FACTURAR A SERVICIOS MOBILES INTERNACIONALES POR INTERESES ADICIONALES</v>
      </c>
      <c r="I136" s="493"/>
    </row>
    <row r="137" spans="1:9" ht="30" customHeight="1">
      <c r="A137" s="11"/>
      <c r="B137" s="192" t="s">
        <v>63</v>
      </c>
      <c r="C137" s="368">
        <f>+NSG!C146</f>
        <v>3835.4634540420698</v>
      </c>
      <c r="E137" s="193" t="s">
        <v>64</v>
      </c>
      <c r="F137" s="366">
        <f>+NSG!G146</f>
        <v>426.21586194649876</v>
      </c>
      <c r="H137" s="193" t="s">
        <v>101</v>
      </c>
      <c r="I137" s="366">
        <f>+NSG!K146</f>
        <v>2295.9568324134552</v>
      </c>
    </row>
    <row r="138" spans="1:9" ht="30" customHeight="1">
      <c r="A138" s="194"/>
      <c r="B138" s="195" t="s">
        <v>27</v>
      </c>
      <c r="C138" s="368">
        <f>+NSG!C147</f>
        <v>690.38342172757257</v>
      </c>
      <c r="E138" s="195" t="s">
        <v>27</v>
      </c>
      <c r="F138" s="367">
        <f>+NSG!G147</f>
        <v>76.718855150369777</v>
      </c>
      <c r="H138" s="195" t="s">
        <v>27</v>
      </c>
      <c r="I138" s="367">
        <f>+NSG!K147</f>
        <v>413.27222983442192</v>
      </c>
    </row>
    <row r="139" spans="1:9" ht="30" customHeight="1" thickBot="1">
      <c r="A139" s="11"/>
      <c r="B139" s="196" t="s">
        <v>57</v>
      </c>
      <c r="C139" s="369">
        <f>SUM(C137:C138)</f>
        <v>4525.8468757696428</v>
      </c>
      <c r="E139" s="197" t="s">
        <v>57</v>
      </c>
      <c r="F139" s="370">
        <f>SUM(F137:F138)</f>
        <v>502.93471709686855</v>
      </c>
      <c r="H139" s="197" t="s">
        <v>57</v>
      </c>
      <c r="I139" s="370">
        <f>SUM(I137:I138)</f>
        <v>2709.2290622478772</v>
      </c>
    </row>
    <row r="140" spans="1:9" ht="12.75" customHeight="1">
      <c r="A140" s="11"/>
      <c r="B140" s="11"/>
      <c r="C140" s="11"/>
      <c r="D140" s="11"/>
      <c r="E140" s="11"/>
      <c r="F140" s="11"/>
      <c r="G140" s="19"/>
      <c r="H140" s="11"/>
      <c r="I140" s="20"/>
    </row>
    <row r="141" spans="1:9" ht="12.75" customHeight="1">
      <c r="A141" s="11"/>
      <c r="B141" s="11"/>
      <c r="C141" s="11"/>
      <c r="D141" s="11"/>
      <c r="E141" s="11"/>
      <c r="F141" s="11"/>
      <c r="G141" s="19"/>
      <c r="H141" s="11"/>
      <c r="I141" s="20"/>
    </row>
    <row r="142" spans="1:9" ht="12.75" customHeight="1">
      <c r="A142" s="11"/>
      <c r="B142" s="11"/>
      <c r="C142" s="11"/>
      <c r="D142" s="11"/>
      <c r="E142" s="11"/>
      <c r="F142" s="11"/>
      <c r="G142" s="19"/>
      <c r="H142" s="11"/>
      <c r="I142" s="20"/>
    </row>
    <row r="143" spans="1:9" ht="12.75" customHeight="1">
      <c r="A143" s="11"/>
      <c r="B143" s="11"/>
      <c r="C143" s="11"/>
      <c r="D143" s="11"/>
      <c r="E143" s="11"/>
      <c r="F143" s="11"/>
      <c r="G143" s="19"/>
      <c r="H143" s="11"/>
      <c r="I143" s="20"/>
    </row>
    <row r="144" spans="1:9" ht="12.75" customHeight="1">
      <c r="A144" s="11"/>
      <c r="B144" s="11"/>
      <c r="C144" s="11"/>
      <c r="D144" s="11"/>
      <c r="E144" s="11"/>
      <c r="F144" s="11"/>
      <c r="G144" s="19"/>
      <c r="H144" s="11"/>
      <c r="I144" s="20"/>
    </row>
    <row r="145" spans="1:9" ht="12.75" customHeight="1">
      <c r="A145" s="11"/>
      <c r="B145" s="11"/>
      <c r="C145" s="11"/>
      <c r="D145" s="11"/>
      <c r="E145" s="11"/>
      <c r="F145" s="11"/>
      <c r="G145" s="19"/>
      <c r="H145" s="11"/>
      <c r="I145" s="20"/>
    </row>
    <row r="146" spans="1:9" ht="12.75" customHeight="1">
      <c r="A146" s="11"/>
      <c r="B146" s="11"/>
      <c r="C146" s="11"/>
      <c r="D146" s="11"/>
      <c r="E146" s="11"/>
      <c r="F146" s="11"/>
      <c r="G146" s="19"/>
      <c r="H146" s="11"/>
      <c r="I146" s="20"/>
    </row>
    <row r="147" spans="1:9" ht="12.75" customHeight="1">
      <c r="A147" s="11"/>
      <c r="B147" s="11"/>
      <c r="C147" s="11"/>
      <c r="D147" s="19"/>
      <c r="E147" s="11"/>
      <c r="F147" s="11"/>
      <c r="G147" s="19"/>
      <c r="H147" s="11"/>
      <c r="I147" s="20"/>
    </row>
    <row r="148" spans="1:9" ht="12.75" customHeight="1">
      <c r="A148" s="11"/>
      <c r="B148" s="11"/>
      <c r="C148" s="198" t="s">
        <v>127</v>
      </c>
      <c r="E148" s="11"/>
      <c r="G148" s="198" t="s">
        <v>68</v>
      </c>
      <c r="H148" s="11"/>
      <c r="I148" s="20"/>
    </row>
    <row r="149" spans="1:9" ht="12.75" customHeight="1">
      <c r="A149" s="11"/>
      <c r="B149" s="11"/>
      <c r="C149" s="199" t="s">
        <v>128</v>
      </c>
      <c r="E149" s="11"/>
      <c r="G149" s="199" t="s">
        <v>69</v>
      </c>
      <c r="H149" s="11"/>
      <c r="I149" s="20"/>
    </row>
    <row r="150" spans="1:9" ht="12.75" customHeight="1">
      <c r="A150" s="11"/>
      <c r="B150" s="11"/>
      <c r="C150" s="199" t="str">
        <f>+C5</f>
        <v>SERVICIOS MOBILES INTERNACIONALES</v>
      </c>
      <c r="E150" s="11"/>
      <c r="G150" s="199" t="s">
        <v>70</v>
      </c>
      <c r="H150" s="11"/>
      <c r="I150" s="20"/>
    </row>
    <row r="151" spans="1:9" ht="12.75" customHeight="1">
      <c r="A151" s="11"/>
      <c r="B151" s="11"/>
      <c r="C151" s="199"/>
      <c r="E151" s="11"/>
      <c r="F151" s="199"/>
      <c r="G151" s="19"/>
      <c r="H151" s="11"/>
      <c r="I151" s="20"/>
    </row>
    <row r="152" spans="1:9" ht="12.75" customHeight="1">
      <c r="A152" s="11"/>
      <c r="B152" s="11"/>
      <c r="C152" s="11"/>
      <c r="D152" s="199"/>
      <c r="E152" s="11"/>
      <c r="F152" s="199"/>
      <c r="G152" s="19"/>
      <c r="H152" s="11"/>
      <c r="I152" s="20"/>
    </row>
    <row r="153" spans="1:9" ht="12.75" customHeight="1">
      <c r="A153" s="11"/>
      <c r="B153" s="11"/>
      <c r="C153" s="11"/>
      <c r="D153" s="199"/>
      <c r="E153" s="11"/>
      <c r="F153" s="11"/>
      <c r="G153" s="19"/>
      <c r="H153" s="11"/>
      <c r="I153" s="20"/>
    </row>
    <row r="154" spans="1:9" ht="12.75" customHeight="1">
      <c r="A154" s="11"/>
      <c r="B154" s="11"/>
      <c r="C154" s="11"/>
      <c r="D154" s="11"/>
      <c r="E154" s="11"/>
      <c r="F154" s="11"/>
      <c r="G154" s="19"/>
      <c r="H154" s="11"/>
      <c r="I154" s="20"/>
    </row>
    <row r="155" spans="1:9" ht="12.75" customHeight="1">
      <c r="A155" s="11"/>
      <c r="B155" s="11"/>
      <c r="C155" s="11"/>
      <c r="D155" s="11"/>
      <c r="E155" s="11"/>
      <c r="F155" s="11"/>
      <c r="G155" s="19"/>
      <c r="H155" s="11"/>
      <c r="I155" s="20"/>
    </row>
    <row r="156" spans="1:9" ht="12.75" customHeight="1">
      <c r="A156" s="11"/>
      <c r="B156" s="19"/>
      <c r="C156" s="19"/>
      <c r="D156" s="11"/>
      <c r="E156" s="11"/>
      <c r="F156" s="19"/>
      <c r="G156" s="19"/>
      <c r="H156" s="11"/>
      <c r="I156" s="20"/>
    </row>
    <row r="157" spans="1:9" ht="12.75" customHeight="1">
      <c r="A157" s="11"/>
      <c r="B157" s="11"/>
      <c r="C157" s="198" t="str">
        <f>+C148</f>
        <v>Roberto Pablo Rocano</v>
      </c>
      <c r="D157" s="11"/>
      <c r="E157" s="198"/>
      <c r="F157" s="11"/>
      <c r="G157" s="198" t="str">
        <f t="shared" ref="G157:G158" si="1">+C157</f>
        <v>Roberto Pablo Rocano</v>
      </c>
      <c r="H157" s="11"/>
      <c r="I157" s="20"/>
    </row>
    <row r="158" spans="1:9" ht="12.75" customHeight="1">
      <c r="A158" s="11"/>
      <c r="B158" s="11"/>
      <c r="C158" s="199" t="str">
        <f>+C149</f>
        <v>DNI 40485976</v>
      </c>
      <c r="D158" s="11"/>
      <c r="E158" s="199"/>
      <c r="F158" s="11"/>
      <c r="G158" s="199" t="str">
        <f t="shared" si="1"/>
        <v>DNI 40485976</v>
      </c>
      <c r="H158" s="11"/>
      <c r="I158" s="20"/>
    </row>
    <row r="159" spans="1:9" ht="12.75" customHeight="1">
      <c r="A159" s="11"/>
      <c r="B159" s="11"/>
      <c r="C159" s="199" t="s">
        <v>71</v>
      </c>
      <c r="D159" s="11"/>
      <c r="E159" s="199"/>
      <c r="F159" s="11"/>
      <c r="G159" s="199" t="s">
        <v>72</v>
      </c>
      <c r="H159" s="11"/>
      <c r="I159" s="20"/>
    </row>
    <row r="160" spans="1:9" ht="12.75" customHeight="1">
      <c r="A160" s="11"/>
      <c r="B160" s="11"/>
      <c r="C160" s="11"/>
      <c r="D160" s="11"/>
      <c r="E160" s="11"/>
      <c r="F160" s="11"/>
      <c r="G160" s="19"/>
      <c r="H160" s="11"/>
      <c r="I160" s="20"/>
    </row>
    <row r="161" spans="1:9" ht="12.75" customHeight="1">
      <c r="A161" s="11"/>
      <c r="B161" s="11"/>
      <c r="C161" s="11"/>
      <c r="D161" s="11"/>
      <c r="E161" s="11"/>
      <c r="F161" s="11"/>
      <c r="G161" s="19"/>
      <c r="H161" s="11"/>
      <c r="I161" s="20"/>
    </row>
  </sheetData>
  <mergeCells count="7">
    <mergeCell ref="H136:I136"/>
    <mergeCell ref="A2:H2"/>
    <mergeCell ref="C11:E11"/>
    <mergeCell ref="F9:H9"/>
    <mergeCell ref="B136:C136"/>
    <mergeCell ref="E136:F136"/>
    <mergeCell ref="H133:I134"/>
  </mergeCells>
  <conditionalFormatting sqref="C7:D7">
    <cfRule type="expression" dxfId="12" priority="2">
      <formula>ISEVEN(ROW(C7))</formula>
    </cfRule>
  </conditionalFormatting>
  <printOptions horizontalCentered="1"/>
  <pageMargins left="0.23622047244094491" right="0.23622047244094491" top="0.74803149606299213" bottom="0.74803149606299213" header="0" footer="0"/>
  <pageSetup paperSize="9" scale="60" fitToWidth="2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6B02F1F-5BD3-420D-9F1F-9F2F90A0892F}">
            <xm:f>AND(NSG!$J$14=1)</xm:f>
            <x14:dxf>
              <numFmt numFmtId="186" formatCode="_-[$USD]\ * #,##0.00_-;\-[$USD]\ * #,##0.00_-;_-[$USD]\ * &quot;-&quot;??_-;_-@_-"/>
            </x14:dxf>
          </x14:cfRule>
          <xm:sqref>H14:H72 C75:F132 F133:F134 C137:C139 F137:F139 I137:I139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tabColor rgb="FFFF0000"/>
    <pageSetUpPr fitToPage="1"/>
  </sheetPr>
  <dimension ref="A1:X169"/>
  <sheetViews>
    <sheetView showGridLines="0" topLeftCell="A72" zoomScale="90" zoomScaleNormal="90" workbookViewId="0">
      <selection activeCell="G77" sqref="G77"/>
    </sheetView>
  </sheetViews>
  <sheetFormatPr defaultColWidth="14.44140625" defaultRowHeight="15" customHeight="1" outlineLevelRow="1" outlineLevelCol="1"/>
  <cols>
    <col min="1" max="1" width="11.44140625" customWidth="1"/>
    <col min="2" max="2" width="17.109375" customWidth="1"/>
    <col min="3" max="3" width="22.6640625" customWidth="1"/>
    <col min="4" max="4" width="20.88671875" customWidth="1"/>
    <col min="5" max="5" width="33" bestFit="1" customWidth="1"/>
    <col min="6" max="6" width="24.44140625" customWidth="1"/>
    <col min="7" max="7" width="25.6640625" customWidth="1"/>
    <col min="8" max="8" width="30.5546875" customWidth="1"/>
    <col min="9" max="9" width="16.109375" customWidth="1"/>
    <col min="10" max="10" width="22.109375" customWidth="1"/>
    <col min="11" max="11" width="25.6640625" customWidth="1"/>
    <col min="12" max="12" width="22.5546875" bestFit="1" customWidth="1"/>
    <col min="13" max="13" width="22.44140625" customWidth="1"/>
    <col min="14" max="14" width="21.109375" customWidth="1" outlineLevel="1"/>
    <col min="15" max="15" width="26.44140625" customWidth="1"/>
    <col min="16" max="16" width="29.6640625" customWidth="1"/>
    <col min="17" max="17" width="20.109375" customWidth="1"/>
    <col min="18" max="18" width="17.6640625" bestFit="1" customWidth="1"/>
    <col min="19" max="19" width="10.6640625" customWidth="1"/>
    <col min="20" max="20" width="16.6640625" customWidth="1"/>
    <col min="21" max="21" width="15.5546875" bestFit="1" customWidth="1"/>
    <col min="22" max="22" width="14.5546875" bestFit="1" customWidth="1"/>
    <col min="23" max="23" width="16.44140625" customWidth="1"/>
    <col min="24" max="24" width="17.5546875" customWidth="1"/>
    <col min="25" max="26" width="10.6640625" customWidth="1"/>
  </cols>
  <sheetData>
    <row r="1" spans="1:17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4"/>
      <c r="L1" s="1"/>
      <c r="M1" s="1"/>
      <c r="N1" s="1"/>
      <c r="O1" s="1"/>
      <c r="P1" s="1"/>
      <c r="Q1" s="1" t="s">
        <v>5</v>
      </c>
    </row>
    <row r="2" spans="1:17" ht="30" customHeight="1">
      <c r="A2" s="501" t="s">
        <v>91</v>
      </c>
      <c r="B2" s="495"/>
      <c r="C2" s="495"/>
      <c r="D2" s="495"/>
      <c r="E2" s="495"/>
      <c r="F2" s="495"/>
      <c r="G2" s="495"/>
      <c r="H2" s="495"/>
      <c r="I2" s="24"/>
      <c r="J2" s="26"/>
      <c r="K2" s="28"/>
      <c r="L2" s="26"/>
      <c r="M2" s="30"/>
      <c r="N2" s="30"/>
      <c r="O2" s="30"/>
      <c r="P2" s="26"/>
      <c r="Q2" s="26" t="s">
        <v>6</v>
      </c>
    </row>
    <row r="3" spans="1:17" ht="12.75" customHeight="1">
      <c r="A3" s="32"/>
      <c r="B3" s="32"/>
      <c r="C3" s="32"/>
      <c r="D3" s="32"/>
      <c r="E3" s="32"/>
      <c r="F3" s="32"/>
      <c r="G3" s="32"/>
      <c r="H3" s="32"/>
      <c r="I3" s="32"/>
      <c r="J3" s="1"/>
      <c r="K3" s="14"/>
      <c r="L3" s="1"/>
      <c r="M3" s="1"/>
      <c r="N3" s="1"/>
      <c r="O3" s="1"/>
      <c r="P3" s="1"/>
      <c r="Q3" s="1"/>
    </row>
    <row r="4" spans="1:17" ht="12.75" customHeight="1">
      <c r="A4" s="34" t="s">
        <v>7</v>
      </c>
      <c r="B4" s="36"/>
      <c r="C4" s="38"/>
      <c r="D4" s="40"/>
      <c r="E4" s="36"/>
      <c r="F4" s="51"/>
      <c r="G4" s="36"/>
      <c r="H4" s="36"/>
      <c r="I4" s="36"/>
      <c r="J4" s="36"/>
      <c r="K4" s="53"/>
      <c r="L4" s="36"/>
      <c r="M4" s="36"/>
      <c r="N4" s="54"/>
      <c r="O4" s="54"/>
      <c r="P4" s="54"/>
      <c r="Q4" s="54"/>
    </row>
    <row r="5" spans="1:17" ht="12.75" customHeight="1">
      <c r="A5" s="34" t="s">
        <v>2</v>
      </c>
      <c r="B5" s="36"/>
      <c r="C5" s="503" t="s">
        <v>122</v>
      </c>
      <c r="D5" s="504"/>
      <c r="E5" s="505"/>
      <c r="F5" s="36"/>
      <c r="G5" s="36"/>
      <c r="H5" s="36"/>
      <c r="I5" s="36"/>
      <c r="J5" s="36"/>
      <c r="K5" s="53"/>
      <c r="L5" s="36"/>
      <c r="M5" s="36"/>
      <c r="N5" s="54"/>
      <c r="O5" s="54"/>
      <c r="P5" s="54"/>
      <c r="Q5" s="54"/>
    </row>
    <row r="6" spans="1:17" ht="12.75" customHeight="1">
      <c r="A6" s="34" t="s">
        <v>3</v>
      </c>
      <c r="B6" s="36"/>
      <c r="C6" s="325">
        <v>20511763089</v>
      </c>
      <c r="D6" s="324"/>
      <c r="E6" s="324"/>
      <c r="F6" s="36"/>
      <c r="G6" s="36"/>
      <c r="H6" s="36"/>
      <c r="I6" s="36"/>
      <c r="J6" s="36"/>
      <c r="K6" s="53"/>
      <c r="L6" s="36"/>
      <c r="M6" s="36"/>
      <c r="N6" s="54"/>
      <c r="O6" s="54"/>
      <c r="P6" s="54"/>
      <c r="Q6" s="54"/>
    </row>
    <row r="7" spans="1:17" ht="12.75" customHeight="1">
      <c r="A7" s="56" t="s">
        <v>4</v>
      </c>
      <c r="B7" s="36"/>
      <c r="C7" s="506" t="s">
        <v>123</v>
      </c>
      <c r="D7" s="507"/>
      <c r="E7" s="508"/>
      <c r="F7" s="36"/>
      <c r="G7" s="56"/>
      <c r="H7" s="36"/>
      <c r="I7" s="36"/>
      <c r="J7" s="36"/>
      <c r="K7" s="53"/>
      <c r="L7" s="36"/>
      <c r="M7" s="36"/>
      <c r="N7" s="54"/>
      <c r="O7" s="54"/>
      <c r="P7" s="54"/>
      <c r="Q7" s="54"/>
    </row>
    <row r="8" spans="1:17" ht="12.75" customHeight="1">
      <c r="A8" s="56"/>
      <c r="B8" s="36"/>
      <c r="C8" s="351"/>
      <c r="D8" s="351"/>
      <c r="E8" s="351"/>
      <c r="F8" s="36"/>
      <c r="G8" s="56"/>
      <c r="H8" s="36"/>
      <c r="I8" s="36"/>
      <c r="J8" s="36"/>
      <c r="K8" s="53"/>
      <c r="L8" s="36"/>
      <c r="M8" s="36"/>
      <c r="N8" s="54"/>
      <c r="O8" s="54"/>
      <c r="P8" s="54"/>
      <c r="Q8" s="54"/>
    </row>
    <row r="9" spans="1:17" ht="12.75" customHeight="1">
      <c r="A9" s="63"/>
      <c r="B9" s="65"/>
      <c r="C9" s="63"/>
      <c r="D9" s="63"/>
      <c r="E9" s="357" t="s">
        <v>86</v>
      </c>
      <c r="F9" s="356">
        <v>63</v>
      </c>
      <c r="G9" s="67"/>
      <c r="H9" s="69"/>
      <c r="I9" s="69"/>
      <c r="J9" s="70" t="s">
        <v>5</v>
      </c>
      <c r="K9" s="72"/>
      <c r="L9" s="72"/>
      <c r="M9" s="72"/>
      <c r="N9" s="72"/>
      <c r="O9" s="54"/>
      <c r="P9" s="54"/>
      <c r="Q9" s="54"/>
    </row>
    <row r="10" spans="1:17" ht="12.75" customHeight="1">
      <c r="A10" s="63"/>
      <c r="B10" s="65"/>
      <c r="C10" s="63"/>
      <c r="D10" s="63"/>
      <c r="E10" s="67" t="s">
        <v>10</v>
      </c>
      <c r="F10" s="521">
        <v>45650</v>
      </c>
      <c r="G10" s="521"/>
      <c r="H10" s="521"/>
      <c r="I10" s="521"/>
      <c r="J10" s="70" t="s">
        <v>6</v>
      </c>
      <c r="K10" s="72"/>
      <c r="L10" s="72"/>
      <c r="M10" s="72"/>
      <c r="N10" s="72"/>
      <c r="O10" s="54"/>
      <c r="P10" s="54"/>
      <c r="Q10" s="54"/>
    </row>
    <row r="11" spans="1:17" ht="12.75" customHeight="1" thickBot="1">
      <c r="A11" s="326"/>
      <c r="B11" s="327"/>
      <c r="C11" s="326"/>
      <c r="D11" s="326"/>
      <c r="E11" s="326"/>
      <c r="F11" s="326"/>
      <c r="G11" s="328"/>
      <c r="H11" s="329"/>
      <c r="I11" s="329"/>
      <c r="J11" s="328"/>
      <c r="K11" s="330"/>
      <c r="L11" s="331"/>
      <c r="M11" s="331"/>
      <c r="N11" s="332"/>
      <c r="O11" s="1"/>
      <c r="P11" s="1"/>
      <c r="Q11" s="1"/>
    </row>
    <row r="12" spans="1:17" ht="12.75" customHeight="1" thickBot="1">
      <c r="A12" s="75"/>
      <c r="B12" s="76"/>
      <c r="C12" s="82" t="s">
        <v>11</v>
      </c>
      <c r="D12" s="84"/>
      <c r="E12" s="86"/>
      <c r="F12" s="86"/>
      <c r="G12" s="88">
        <f>MAX(H12*C132,I13)</f>
        <v>426.21586194649876</v>
      </c>
      <c r="H12" s="352">
        <v>7.4999999999999997E-3</v>
      </c>
      <c r="I12" s="93"/>
      <c r="J12" s="75"/>
      <c r="K12" s="28"/>
      <c r="L12" s="26"/>
      <c r="M12" s="26"/>
      <c r="N12" s="1"/>
      <c r="O12" s="1"/>
      <c r="P12" s="1"/>
      <c r="Q12" s="1"/>
    </row>
    <row r="13" spans="1:17" ht="12.75" customHeight="1">
      <c r="A13" s="75"/>
      <c r="B13" s="75"/>
      <c r="C13" s="75"/>
      <c r="D13" s="75"/>
      <c r="E13" s="80"/>
      <c r="F13" s="80"/>
      <c r="G13" s="75" t="s">
        <v>87</v>
      </c>
      <c r="H13" s="359">
        <v>100</v>
      </c>
      <c r="I13" s="358">
        <f>$H$13*J14</f>
        <v>400</v>
      </c>
      <c r="J13" s="111"/>
      <c r="K13" s="28"/>
      <c r="L13" s="26"/>
      <c r="M13" s="26"/>
      <c r="N13" s="1"/>
      <c r="O13" s="1"/>
    </row>
    <row r="14" spans="1:17" ht="12.75" customHeight="1">
      <c r="A14" s="75"/>
      <c r="B14" s="75"/>
      <c r="C14" s="75"/>
      <c r="D14" s="75"/>
      <c r="E14" s="80"/>
      <c r="F14" s="80"/>
      <c r="G14" s="75"/>
      <c r="H14" s="113"/>
      <c r="I14" s="113"/>
      <c r="J14" s="353">
        <v>4</v>
      </c>
      <c r="K14" s="28"/>
      <c r="L14" s="26"/>
      <c r="M14" s="26"/>
      <c r="N14" s="1"/>
      <c r="O14" s="1"/>
    </row>
    <row r="15" spans="1:17" ht="51.75" customHeight="1">
      <c r="A15" s="80"/>
      <c r="B15" s="115" t="s">
        <v>13</v>
      </c>
      <c r="C15" s="115" t="s">
        <v>38</v>
      </c>
      <c r="D15" s="115" t="s">
        <v>39</v>
      </c>
      <c r="E15" s="115" t="s">
        <v>14</v>
      </c>
      <c r="F15" s="115" t="s">
        <v>40</v>
      </c>
      <c r="G15" s="115" t="s">
        <v>17</v>
      </c>
      <c r="H15" s="116" t="s">
        <v>18</v>
      </c>
      <c r="I15" s="116" t="s">
        <v>41</v>
      </c>
      <c r="J15" s="116" t="s">
        <v>88</v>
      </c>
      <c r="K15" s="117" t="s">
        <v>102</v>
      </c>
      <c r="L15" s="119" t="s">
        <v>44</v>
      </c>
      <c r="M15" s="302" t="s">
        <v>84</v>
      </c>
      <c r="N15" s="339" t="s">
        <v>85</v>
      </c>
      <c r="O15" s="339" t="s">
        <v>136</v>
      </c>
    </row>
    <row r="16" spans="1:17" s="450" customFormat="1" ht="33" customHeight="1">
      <c r="A16" s="442">
        <v>1</v>
      </c>
      <c r="B16" s="451">
        <v>3707</v>
      </c>
      <c r="C16" s="452">
        <v>45623</v>
      </c>
      <c r="D16" s="453">
        <v>125</v>
      </c>
      <c r="E16" s="454">
        <f>IF(OR($C16="",$D16=""),"",+$C16+$D16)</f>
        <v>45748</v>
      </c>
      <c r="F16" s="447">
        <f>IF(E16="","",(MAX(+E16-$F$10,15)))</f>
        <v>98</v>
      </c>
      <c r="G16" s="455" t="str">
        <f t="shared" ref="G16:G71" si="0">IF(OR($C$5="",$B16=""),"",+$C$5)</f>
        <v>SERVICIOS MOBILES INTERNACIONALES</v>
      </c>
      <c r="H16" s="456" t="s">
        <v>131</v>
      </c>
      <c r="I16" s="457" t="s">
        <v>5</v>
      </c>
      <c r="J16" s="458">
        <v>21358.06</v>
      </c>
      <c r="K16" s="459">
        <f t="shared" ref="K16:K71" si="1">IF(I16="pen",+J16,+J16*$J$14)</f>
        <v>21358.06</v>
      </c>
      <c r="L16" s="460">
        <v>0.12</v>
      </c>
      <c r="M16" s="461">
        <f>+$K16*(1-$L16)</f>
        <v>18795.092800000002</v>
      </c>
      <c r="N16" s="462">
        <f>IF(I16="USD",+J16-(J16*L16),0)</f>
        <v>0</v>
      </c>
      <c r="O16" s="461">
        <v>17822.005369530911</v>
      </c>
    </row>
    <row r="17" spans="1:15" s="450" customFormat="1" ht="34.5" customHeight="1">
      <c r="A17" s="442">
        <v>2</v>
      </c>
      <c r="B17" s="451">
        <v>3708</v>
      </c>
      <c r="C17" s="452">
        <v>45623</v>
      </c>
      <c r="D17" s="453">
        <v>125</v>
      </c>
      <c r="E17" s="454">
        <f t="shared" ref="E17:E18" si="2">IF(OR($C17="",$D17=""),"",+$C17+$D17)</f>
        <v>45748</v>
      </c>
      <c r="F17" s="447">
        <f t="shared" ref="F17:F71" si="3">IF(E17="","",(MAX(+E17-$F$10,15)))</f>
        <v>98</v>
      </c>
      <c r="G17" s="455" t="str">
        <f t="shared" si="0"/>
        <v>SERVICIOS MOBILES INTERNACIONALES</v>
      </c>
      <c r="H17" s="456" t="s">
        <v>131</v>
      </c>
      <c r="I17" s="457" t="s">
        <v>5</v>
      </c>
      <c r="J17" s="458">
        <v>9024.4</v>
      </c>
      <c r="K17" s="459">
        <f t="shared" si="1"/>
        <v>9024.4</v>
      </c>
      <c r="L17" s="460">
        <v>0.12</v>
      </c>
      <c r="M17" s="461">
        <f>+$K17*(1-$L17)</f>
        <v>7941.4719999999998</v>
      </c>
      <c r="N17" s="462">
        <f t="shared" ref="N17:N71" si="4">IF(I17="USD",+J17-(J17*L17),0)</f>
        <v>0</v>
      </c>
      <c r="O17" s="461">
        <v>7530.3143289603422</v>
      </c>
    </row>
    <row r="18" spans="1:15" s="450" customFormat="1" ht="34.5" customHeight="1">
      <c r="A18" s="442">
        <v>3</v>
      </c>
      <c r="B18" s="451">
        <v>3709</v>
      </c>
      <c r="C18" s="452">
        <v>45628</v>
      </c>
      <c r="D18" s="453">
        <v>120</v>
      </c>
      <c r="E18" s="454">
        <f t="shared" si="2"/>
        <v>45748</v>
      </c>
      <c r="F18" s="447">
        <f t="shared" si="3"/>
        <v>98</v>
      </c>
      <c r="G18" s="455" t="str">
        <f t="shared" si="0"/>
        <v>SERVICIOS MOBILES INTERNACIONALES</v>
      </c>
      <c r="H18" s="456" t="s">
        <v>131</v>
      </c>
      <c r="I18" s="457" t="s">
        <v>5</v>
      </c>
      <c r="J18" s="458">
        <v>9024.4</v>
      </c>
      <c r="K18" s="459">
        <f t="shared" si="1"/>
        <v>9024.4</v>
      </c>
      <c r="L18" s="460">
        <v>0.12</v>
      </c>
      <c r="M18" s="461">
        <f>+$K18*(1-$L18)</f>
        <v>7941.4719999999998</v>
      </c>
      <c r="N18" s="462">
        <f t="shared" si="4"/>
        <v>0</v>
      </c>
      <c r="O18" s="461">
        <v>7530.3143289603422</v>
      </c>
    </row>
    <row r="19" spans="1:15" s="450" customFormat="1" ht="34.5" customHeight="1">
      <c r="A19" s="442">
        <v>4</v>
      </c>
      <c r="B19" s="451">
        <v>3710</v>
      </c>
      <c r="C19" s="452">
        <v>45628</v>
      </c>
      <c r="D19" s="453">
        <v>120</v>
      </c>
      <c r="E19" s="454">
        <f t="shared" ref="E19:E71" si="5">IF(OR($C19="",$D19=""),"",+$C19+$D19)</f>
        <v>45748</v>
      </c>
      <c r="F19" s="447">
        <f t="shared" si="3"/>
        <v>98</v>
      </c>
      <c r="G19" s="455" t="str">
        <f t="shared" si="0"/>
        <v>SERVICIOS MOBILES INTERNACIONALES</v>
      </c>
      <c r="H19" s="456" t="s">
        <v>131</v>
      </c>
      <c r="I19" s="457" t="s">
        <v>5</v>
      </c>
      <c r="J19" s="458">
        <v>9024.4</v>
      </c>
      <c r="K19" s="459">
        <f t="shared" si="1"/>
        <v>9024.4</v>
      </c>
      <c r="L19" s="460">
        <v>0.12</v>
      </c>
      <c r="M19" s="461">
        <f t="shared" ref="M19:M71" si="6">+$K19*(1-$L19)</f>
        <v>7941.4719999999998</v>
      </c>
      <c r="N19" s="462">
        <f t="shared" si="4"/>
        <v>0</v>
      </c>
      <c r="O19" s="461">
        <v>7530.3143289603422</v>
      </c>
    </row>
    <row r="20" spans="1:15" s="450" customFormat="1" ht="34.5" customHeight="1">
      <c r="A20" s="442">
        <v>5</v>
      </c>
      <c r="B20" s="451">
        <v>3711</v>
      </c>
      <c r="C20" s="452">
        <v>45636</v>
      </c>
      <c r="D20" s="453">
        <v>112</v>
      </c>
      <c r="E20" s="454">
        <f t="shared" si="5"/>
        <v>45748</v>
      </c>
      <c r="F20" s="447">
        <f t="shared" si="3"/>
        <v>98</v>
      </c>
      <c r="G20" s="455" t="str">
        <f t="shared" si="0"/>
        <v>SERVICIOS MOBILES INTERNACIONALES</v>
      </c>
      <c r="H20" s="456" t="s">
        <v>131</v>
      </c>
      <c r="I20" s="457" t="s">
        <v>5</v>
      </c>
      <c r="J20" s="458">
        <v>5229.6899999999996</v>
      </c>
      <c r="K20" s="459">
        <f t="shared" si="1"/>
        <v>5229.6899999999996</v>
      </c>
      <c r="L20" s="460">
        <v>0.12</v>
      </c>
      <c r="M20" s="461">
        <f t="shared" si="6"/>
        <v>4602.1271999999999</v>
      </c>
      <c r="N20" s="462">
        <f t="shared" si="4"/>
        <v>0</v>
      </c>
      <c r="O20" s="461">
        <v>4363.8590424871036</v>
      </c>
    </row>
    <row r="21" spans="1:15" s="450" customFormat="1" ht="34.5" customHeight="1">
      <c r="A21" s="442">
        <v>6</v>
      </c>
      <c r="B21" s="451">
        <v>3712</v>
      </c>
      <c r="C21" s="452">
        <v>45636</v>
      </c>
      <c r="D21" s="453">
        <v>112</v>
      </c>
      <c r="E21" s="454">
        <f t="shared" si="5"/>
        <v>45748</v>
      </c>
      <c r="F21" s="447">
        <f t="shared" si="3"/>
        <v>98</v>
      </c>
      <c r="G21" s="455" t="str">
        <f t="shared" si="0"/>
        <v>SERVICIOS MOBILES INTERNACIONALES</v>
      </c>
      <c r="H21" s="456" t="s">
        <v>131</v>
      </c>
      <c r="I21" s="457" t="s">
        <v>5</v>
      </c>
      <c r="J21" s="458">
        <v>6258.72</v>
      </c>
      <c r="K21" s="459">
        <f t="shared" si="1"/>
        <v>6258.72</v>
      </c>
      <c r="L21" s="460">
        <v>0.12</v>
      </c>
      <c r="M21" s="461">
        <f t="shared" si="6"/>
        <v>5507.6736000000001</v>
      </c>
      <c r="N21" s="462">
        <f t="shared" si="4"/>
        <v>0</v>
      </c>
      <c r="O21" s="461">
        <v>5222.5221507192364</v>
      </c>
    </row>
    <row r="22" spans="1:15" s="450" customFormat="1" ht="34.5" customHeight="1">
      <c r="A22" s="442">
        <v>7</v>
      </c>
      <c r="B22" s="451">
        <v>3713</v>
      </c>
      <c r="C22" s="452">
        <v>45636</v>
      </c>
      <c r="D22" s="453">
        <v>112</v>
      </c>
      <c r="E22" s="454">
        <f t="shared" si="5"/>
        <v>45748</v>
      </c>
      <c r="F22" s="447">
        <f t="shared" si="3"/>
        <v>98</v>
      </c>
      <c r="G22" s="455" t="str">
        <f t="shared" si="0"/>
        <v>SERVICIOS MOBILES INTERNACIONALES</v>
      </c>
      <c r="H22" s="456" t="s">
        <v>131</v>
      </c>
      <c r="I22" s="457" t="s">
        <v>5</v>
      </c>
      <c r="J22" s="458">
        <v>8184.48</v>
      </c>
      <c r="K22" s="459">
        <f t="shared" si="1"/>
        <v>8184.48</v>
      </c>
      <c r="L22" s="460">
        <v>0.12</v>
      </c>
      <c r="M22" s="461">
        <f t="shared" si="6"/>
        <v>7202.3423999999995</v>
      </c>
      <c r="N22" s="462">
        <f t="shared" si="4"/>
        <v>0</v>
      </c>
      <c r="O22" s="461">
        <v>6829.4520432482313</v>
      </c>
    </row>
    <row r="23" spans="1:15" ht="34.5" customHeight="1">
      <c r="A23" s="75">
        <v>8</v>
      </c>
      <c r="B23" s="387"/>
      <c r="C23" s="333"/>
      <c r="D23" s="334"/>
      <c r="E23" s="361" t="str">
        <f t="shared" si="5"/>
        <v/>
      </c>
      <c r="F23" s="122" t="str">
        <f t="shared" si="3"/>
        <v/>
      </c>
      <c r="G23" s="124" t="str">
        <f t="shared" si="0"/>
        <v/>
      </c>
      <c r="H23" s="347"/>
      <c r="I23" s="348"/>
      <c r="J23" s="349"/>
      <c r="K23" s="127">
        <f t="shared" si="1"/>
        <v>0</v>
      </c>
      <c r="L23" s="350"/>
      <c r="M23" s="303">
        <f t="shared" si="6"/>
        <v>0</v>
      </c>
      <c r="N23" s="343">
        <f t="shared" si="4"/>
        <v>0</v>
      </c>
    </row>
    <row r="24" spans="1:15" ht="34.5" hidden="1" customHeight="1">
      <c r="A24" s="75">
        <v>9</v>
      </c>
      <c r="B24" s="387"/>
      <c r="C24" s="333"/>
      <c r="D24" s="334"/>
      <c r="E24" s="361" t="str">
        <f t="shared" si="5"/>
        <v/>
      </c>
      <c r="F24" s="122" t="str">
        <f t="shared" si="3"/>
        <v/>
      </c>
      <c r="G24" s="124" t="str">
        <f t="shared" si="0"/>
        <v/>
      </c>
      <c r="H24" s="347"/>
      <c r="I24" s="348"/>
      <c r="J24" s="349"/>
      <c r="K24" s="127">
        <f t="shared" si="1"/>
        <v>0</v>
      </c>
      <c r="L24" s="350"/>
      <c r="M24" s="303">
        <f t="shared" si="6"/>
        <v>0</v>
      </c>
      <c r="N24" s="343">
        <f t="shared" si="4"/>
        <v>0</v>
      </c>
    </row>
    <row r="25" spans="1:15" ht="34.5" hidden="1" customHeight="1">
      <c r="A25" s="75">
        <v>10</v>
      </c>
      <c r="B25" s="387"/>
      <c r="C25" s="333"/>
      <c r="D25" s="334"/>
      <c r="E25" s="361" t="str">
        <f t="shared" si="5"/>
        <v/>
      </c>
      <c r="F25" s="122" t="str">
        <f t="shared" si="3"/>
        <v/>
      </c>
      <c r="G25" s="124" t="str">
        <f t="shared" si="0"/>
        <v/>
      </c>
      <c r="H25" s="347"/>
      <c r="I25" s="348"/>
      <c r="J25" s="349"/>
      <c r="K25" s="127">
        <f t="shared" si="1"/>
        <v>0</v>
      </c>
      <c r="L25" s="350"/>
      <c r="M25" s="303">
        <f t="shared" si="6"/>
        <v>0</v>
      </c>
      <c r="N25" s="343">
        <f t="shared" si="4"/>
        <v>0</v>
      </c>
    </row>
    <row r="26" spans="1:15" ht="34.5" hidden="1" customHeight="1">
      <c r="A26" s="75">
        <v>11</v>
      </c>
      <c r="B26" s="387"/>
      <c r="C26" s="333"/>
      <c r="D26" s="334"/>
      <c r="E26" s="361" t="str">
        <f t="shared" si="5"/>
        <v/>
      </c>
      <c r="F26" s="122" t="str">
        <f t="shared" si="3"/>
        <v/>
      </c>
      <c r="G26" s="124" t="str">
        <f t="shared" si="0"/>
        <v/>
      </c>
      <c r="H26" s="347"/>
      <c r="I26" s="348"/>
      <c r="J26" s="349"/>
      <c r="K26" s="127">
        <f t="shared" si="1"/>
        <v>0</v>
      </c>
      <c r="L26" s="350"/>
      <c r="M26" s="303">
        <f t="shared" si="6"/>
        <v>0</v>
      </c>
      <c r="N26" s="343">
        <f t="shared" si="4"/>
        <v>0</v>
      </c>
    </row>
    <row r="27" spans="1:15" ht="34.5" hidden="1" customHeight="1">
      <c r="A27" s="75">
        <v>12</v>
      </c>
      <c r="B27" s="387"/>
      <c r="C27" s="333"/>
      <c r="D27" s="334"/>
      <c r="E27" s="361" t="str">
        <f t="shared" si="5"/>
        <v/>
      </c>
      <c r="F27" s="122" t="str">
        <f t="shared" si="3"/>
        <v/>
      </c>
      <c r="G27" s="124" t="str">
        <f t="shared" si="0"/>
        <v/>
      </c>
      <c r="H27" s="347"/>
      <c r="I27" s="348"/>
      <c r="J27" s="349"/>
      <c r="K27" s="127">
        <f t="shared" si="1"/>
        <v>0</v>
      </c>
      <c r="L27" s="350"/>
      <c r="M27" s="303">
        <f t="shared" si="6"/>
        <v>0</v>
      </c>
      <c r="N27" s="343">
        <f t="shared" si="4"/>
        <v>0</v>
      </c>
    </row>
    <row r="28" spans="1:15" ht="34.5" hidden="1" customHeight="1">
      <c r="A28" s="75">
        <v>13</v>
      </c>
      <c r="B28" s="387"/>
      <c r="C28" s="333"/>
      <c r="D28" s="334"/>
      <c r="E28" s="361" t="str">
        <f t="shared" si="5"/>
        <v/>
      </c>
      <c r="F28" s="122" t="str">
        <f t="shared" si="3"/>
        <v/>
      </c>
      <c r="G28" s="124" t="str">
        <f t="shared" si="0"/>
        <v/>
      </c>
      <c r="H28" s="347"/>
      <c r="I28" s="348"/>
      <c r="J28" s="349"/>
      <c r="K28" s="127">
        <f t="shared" si="1"/>
        <v>0</v>
      </c>
      <c r="L28" s="350"/>
      <c r="M28" s="303">
        <f t="shared" si="6"/>
        <v>0</v>
      </c>
      <c r="N28" s="343">
        <f t="shared" si="4"/>
        <v>0</v>
      </c>
    </row>
    <row r="29" spans="1:15" ht="34.5" hidden="1" customHeight="1">
      <c r="A29" s="75">
        <v>14</v>
      </c>
      <c r="B29" s="387"/>
      <c r="C29" s="333"/>
      <c r="D29" s="334"/>
      <c r="E29" s="361" t="str">
        <f t="shared" si="5"/>
        <v/>
      </c>
      <c r="F29" s="122" t="str">
        <f t="shared" si="3"/>
        <v/>
      </c>
      <c r="G29" s="124" t="str">
        <f t="shared" si="0"/>
        <v/>
      </c>
      <c r="H29" s="347"/>
      <c r="I29" s="348"/>
      <c r="J29" s="349"/>
      <c r="K29" s="127">
        <f t="shared" si="1"/>
        <v>0</v>
      </c>
      <c r="L29" s="350"/>
      <c r="M29" s="303">
        <f t="shared" si="6"/>
        <v>0</v>
      </c>
      <c r="N29" s="343">
        <f t="shared" si="4"/>
        <v>0</v>
      </c>
    </row>
    <row r="30" spans="1:15" ht="34.5" hidden="1" customHeight="1">
      <c r="A30" s="75">
        <v>15</v>
      </c>
      <c r="B30" s="387"/>
      <c r="C30" s="333"/>
      <c r="D30" s="334"/>
      <c r="E30" s="361" t="str">
        <f t="shared" si="5"/>
        <v/>
      </c>
      <c r="F30" s="122" t="str">
        <f t="shared" si="3"/>
        <v/>
      </c>
      <c r="G30" s="124" t="str">
        <f t="shared" si="0"/>
        <v/>
      </c>
      <c r="H30" s="347"/>
      <c r="I30" s="348"/>
      <c r="J30" s="349"/>
      <c r="K30" s="127">
        <f t="shared" si="1"/>
        <v>0</v>
      </c>
      <c r="L30" s="350"/>
      <c r="M30" s="303">
        <f t="shared" si="6"/>
        <v>0</v>
      </c>
      <c r="N30" s="343">
        <f t="shared" si="4"/>
        <v>0</v>
      </c>
    </row>
    <row r="31" spans="1:15" ht="34.5" hidden="1" customHeight="1">
      <c r="A31" s="75">
        <v>16</v>
      </c>
      <c r="B31" s="387"/>
      <c r="C31" s="333"/>
      <c r="D31" s="334"/>
      <c r="E31" s="361" t="str">
        <f t="shared" si="5"/>
        <v/>
      </c>
      <c r="F31" s="122" t="str">
        <f t="shared" si="3"/>
        <v/>
      </c>
      <c r="G31" s="124" t="str">
        <f t="shared" si="0"/>
        <v/>
      </c>
      <c r="H31" s="347"/>
      <c r="I31" s="348"/>
      <c r="J31" s="349"/>
      <c r="K31" s="127">
        <f t="shared" si="1"/>
        <v>0</v>
      </c>
      <c r="L31" s="350"/>
      <c r="M31" s="303">
        <f t="shared" si="6"/>
        <v>0</v>
      </c>
      <c r="N31" s="343">
        <f t="shared" si="4"/>
        <v>0</v>
      </c>
    </row>
    <row r="32" spans="1:15" ht="34.5" hidden="1" customHeight="1">
      <c r="A32" s="75">
        <v>17</v>
      </c>
      <c r="B32" s="387"/>
      <c r="C32" s="333"/>
      <c r="D32" s="334"/>
      <c r="E32" s="361" t="str">
        <f t="shared" si="5"/>
        <v/>
      </c>
      <c r="F32" s="122" t="str">
        <f t="shared" si="3"/>
        <v/>
      </c>
      <c r="G32" s="124" t="str">
        <f t="shared" si="0"/>
        <v/>
      </c>
      <c r="H32" s="347"/>
      <c r="I32" s="348"/>
      <c r="J32" s="349"/>
      <c r="K32" s="127">
        <f t="shared" si="1"/>
        <v>0</v>
      </c>
      <c r="L32" s="350"/>
      <c r="M32" s="303">
        <f t="shared" si="6"/>
        <v>0</v>
      </c>
      <c r="N32" s="343">
        <f t="shared" si="4"/>
        <v>0</v>
      </c>
    </row>
    <row r="33" spans="1:14" ht="34.5" hidden="1" customHeight="1">
      <c r="A33" s="75">
        <v>18</v>
      </c>
      <c r="B33" s="387"/>
      <c r="C33" s="333"/>
      <c r="D33" s="334"/>
      <c r="E33" s="361" t="str">
        <f t="shared" si="5"/>
        <v/>
      </c>
      <c r="F33" s="122" t="str">
        <f t="shared" si="3"/>
        <v/>
      </c>
      <c r="G33" s="124" t="str">
        <f t="shared" si="0"/>
        <v/>
      </c>
      <c r="H33" s="347"/>
      <c r="I33" s="348"/>
      <c r="J33" s="349"/>
      <c r="K33" s="127">
        <f t="shared" si="1"/>
        <v>0</v>
      </c>
      <c r="L33" s="350"/>
      <c r="M33" s="303">
        <f t="shared" si="6"/>
        <v>0</v>
      </c>
      <c r="N33" s="343">
        <f t="shared" si="4"/>
        <v>0</v>
      </c>
    </row>
    <row r="34" spans="1:14" ht="34.5" hidden="1" customHeight="1">
      <c r="A34" s="75">
        <v>19</v>
      </c>
      <c r="B34" s="387"/>
      <c r="C34" s="333"/>
      <c r="D34" s="334"/>
      <c r="E34" s="361" t="str">
        <f t="shared" si="5"/>
        <v/>
      </c>
      <c r="F34" s="122" t="str">
        <f t="shared" si="3"/>
        <v/>
      </c>
      <c r="G34" s="124" t="str">
        <f t="shared" si="0"/>
        <v/>
      </c>
      <c r="H34" s="347"/>
      <c r="I34" s="348"/>
      <c r="J34" s="349"/>
      <c r="K34" s="127">
        <f t="shared" si="1"/>
        <v>0</v>
      </c>
      <c r="L34" s="350"/>
      <c r="M34" s="303">
        <f t="shared" si="6"/>
        <v>0</v>
      </c>
      <c r="N34" s="343">
        <f t="shared" si="4"/>
        <v>0</v>
      </c>
    </row>
    <row r="35" spans="1:14" ht="34.5" hidden="1" customHeight="1">
      <c r="A35" s="75">
        <v>20</v>
      </c>
      <c r="B35" s="387"/>
      <c r="C35" s="333"/>
      <c r="D35" s="334"/>
      <c r="E35" s="361" t="str">
        <f t="shared" si="5"/>
        <v/>
      </c>
      <c r="F35" s="122" t="str">
        <f t="shared" si="3"/>
        <v/>
      </c>
      <c r="G35" s="124" t="str">
        <f t="shared" si="0"/>
        <v/>
      </c>
      <c r="H35" s="347"/>
      <c r="I35" s="348"/>
      <c r="J35" s="349"/>
      <c r="K35" s="127">
        <f t="shared" si="1"/>
        <v>0</v>
      </c>
      <c r="L35" s="350"/>
      <c r="M35" s="303">
        <f t="shared" si="6"/>
        <v>0</v>
      </c>
      <c r="N35" s="343">
        <f t="shared" si="4"/>
        <v>0</v>
      </c>
    </row>
    <row r="36" spans="1:14" ht="34.5" hidden="1" customHeight="1">
      <c r="A36" s="75">
        <v>21</v>
      </c>
      <c r="B36" s="387"/>
      <c r="C36" s="333"/>
      <c r="D36" s="334"/>
      <c r="E36" s="361" t="str">
        <f t="shared" si="5"/>
        <v/>
      </c>
      <c r="F36" s="122" t="str">
        <f t="shared" si="3"/>
        <v/>
      </c>
      <c r="G36" s="124" t="str">
        <f t="shared" si="0"/>
        <v/>
      </c>
      <c r="H36" s="347"/>
      <c r="I36" s="348"/>
      <c r="J36" s="349"/>
      <c r="K36" s="127">
        <f t="shared" si="1"/>
        <v>0</v>
      </c>
      <c r="L36" s="350"/>
      <c r="M36" s="303">
        <f t="shared" si="6"/>
        <v>0</v>
      </c>
      <c r="N36" s="343">
        <f t="shared" si="4"/>
        <v>0</v>
      </c>
    </row>
    <row r="37" spans="1:14" ht="34.5" hidden="1" customHeight="1">
      <c r="A37" s="75">
        <v>22</v>
      </c>
      <c r="B37" s="387"/>
      <c r="C37" s="333"/>
      <c r="D37" s="334"/>
      <c r="E37" s="361" t="str">
        <f t="shared" si="5"/>
        <v/>
      </c>
      <c r="F37" s="122" t="str">
        <f t="shared" si="3"/>
        <v/>
      </c>
      <c r="G37" s="124" t="str">
        <f t="shared" si="0"/>
        <v/>
      </c>
      <c r="H37" s="347"/>
      <c r="I37" s="348"/>
      <c r="J37" s="349"/>
      <c r="K37" s="127">
        <f t="shared" si="1"/>
        <v>0</v>
      </c>
      <c r="L37" s="350"/>
      <c r="M37" s="303">
        <f t="shared" si="6"/>
        <v>0</v>
      </c>
      <c r="N37" s="343">
        <f t="shared" si="4"/>
        <v>0</v>
      </c>
    </row>
    <row r="38" spans="1:14" ht="34.5" hidden="1" customHeight="1">
      <c r="A38" s="75">
        <v>23</v>
      </c>
      <c r="B38" s="387"/>
      <c r="C38" s="333"/>
      <c r="D38" s="334"/>
      <c r="E38" s="361" t="str">
        <f t="shared" si="5"/>
        <v/>
      </c>
      <c r="F38" s="122" t="str">
        <f t="shared" si="3"/>
        <v/>
      </c>
      <c r="G38" s="124" t="str">
        <f t="shared" si="0"/>
        <v/>
      </c>
      <c r="H38" s="347"/>
      <c r="I38" s="348"/>
      <c r="J38" s="349"/>
      <c r="K38" s="127">
        <f t="shared" si="1"/>
        <v>0</v>
      </c>
      <c r="L38" s="350"/>
      <c r="M38" s="303">
        <f t="shared" si="6"/>
        <v>0</v>
      </c>
      <c r="N38" s="343">
        <f t="shared" si="4"/>
        <v>0</v>
      </c>
    </row>
    <row r="39" spans="1:14" ht="34.5" hidden="1" customHeight="1">
      <c r="A39" s="75">
        <v>24</v>
      </c>
      <c r="B39" s="387"/>
      <c r="C39" s="333"/>
      <c r="D39" s="334"/>
      <c r="E39" s="361" t="str">
        <f t="shared" si="5"/>
        <v/>
      </c>
      <c r="F39" s="122" t="str">
        <f t="shared" si="3"/>
        <v/>
      </c>
      <c r="G39" s="124" t="str">
        <f t="shared" si="0"/>
        <v/>
      </c>
      <c r="H39" s="347"/>
      <c r="I39" s="348"/>
      <c r="J39" s="349"/>
      <c r="K39" s="127">
        <f t="shared" si="1"/>
        <v>0</v>
      </c>
      <c r="L39" s="350"/>
      <c r="M39" s="303">
        <f t="shared" si="6"/>
        <v>0</v>
      </c>
      <c r="N39" s="343">
        <f t="shared" si="4"/>
        <v>0</v>
      </c>
    </row>
    <row r="40" spans="1:14" ht="34.5" hidden="1" customHeight="1">
      <c r="A40" s="75">
        <v>25</v>
      </c>
      <c r="B40" s="387"/>
      <c r="C40" s="333"/>
      <c r="D40" s="334"/>
      <c r="E40" s="361" t="str">
        <f t="shared" si="5"/>
        <v/>
      </c>
      <c r="F40" s="122" t="str">
        <f t="shared" si="3"/>
        <v/>
      </c>
      <c r="G40" s="124" t="str">
        <f t="shared" si="0"/>
        <v/>
      </c>
      <c r="H40" s="347"/>
      <c r="I40" s="348"/>
      <c r="J40" s="349"/>
      <c r="K40" s="127">
        <f t="shared" si="1"/>
        <v>0</v>
      </c>
      <c r="L40" s="350"/>
      <c r="M40" s="303">
        <f t="shared" si="6"/>
        <v>0</v>
      </c>
      <c r="N40" s="343">
        <f t="shared" si="4"/>
        <v>0</v>
      </c>
    </row>
    <row r="41" spans="1:14" ht="34.5" hidden="1" customHeight="1">
      <c r="A41" s="75">
        <v>26</v>
      </c>
      <c r="B41" s="387"/>
      <c r="C41" s="333"/>
      <c r="D41" s="334"/>
      <c r="E41" s="361" t="str">
        <f t="shared" si="5"/>
        <v/>
      </c>
      <c r="F41" s="122" t="str">
        <f t="shared" si="3"/>
        <v/>
      </c>
      <c r="G41" s="124" t="str">
        <f t="shared" si="0"/>
        <v/>
      </c>
      <c r="H41" s="347"/>
      <c r="I41" s="348"/>
      <c r="J41" s="349"/>
      <c r="K41" s="127">
        <f t="shared" si="1"/>
        <v>0</v>
      </c>
      <c r="L41" s="350"/>
      <c r="M41" s="303">
        <f t="shared" si="6"/>
        <v>0</v>
      </c>
      <c r="N41" s="343">
        <f t="shared" si="4"/>
        <v>0</v>
      </c>
    </row>
    <row r="42" spans="1:14" ht="34.5" hidden="1" customHeight="1">
      <c r="A42" s="75">
        <v>27</v>
      </c>
      <c r="B42" s="387"/>
      <c r="C42" s="333"/>
      <c r="D42" s="334"/>
      <c r="E42" s="361" t="str">
        <f t="shared" si="5"/>
        <v/>
      </c>
      <c r="F42" s="122" t="str">
        <f t="shared" si="3"/>
        <v/>
      </c>
      <c r="G42" s="124" t="str">
        <f t="shared" si="0"/>
        <v/>
      </c>
      <c r="H42" s="347"/>
      <c r="I42" s="348"/>
      <c r="J42" s="349"/>
      <c r="K42" s="127">
        <f t="shared" si="1"/>
        <v>0</v>
      </c>
      <c r="L42" s="350"/>
      <c r="M42" s="303">
        <f t="shared" si="6"/>
        <v>0</v>
      </c>
      <c r="N42" s="343">
        <f t="shared" si="4"/>
        <v>0</v>
      </c>
    </row>
    <row r="43" spans="1:14" ht="34.5" hidden="1" customHeight="1">
      <c r="A43" s="75">
        <v>28</v>
      </c>
      <c r="B43" s="387"/>
      <c r="C43" s="333"/>
      <c r="D43" s="334"/>
      <c r="E43" s="361" t="str">
        <f t="shared" si="5"/>
        <v/>
      </c>
      <c r="F43" s="122" t="str">
        <f t="shared" si="3"/>
        <v/>
      </c>
      <c r="G43" s="124" t="str">
        <f t="shared" si="0"/>
        <v/>
      </c>
      <c r="H43" s="347"/>
      <c r="I43" s="348"/>
      <c r="J43" s="349"/>
      <c r="K43" s="127">
        <f t="shared" si="1"/>
        <v>0</v>
      </c>
      <c r="L43" s="350"/>
      <c r="M43" s="303">
        <f t="shared" si="6"/>
        <v>0</v>
      </c>
      <c r="N43" s="343">
        <f t="shared" si="4"/>
        <v>0</v>
      </c>
    </row>
    <row r="44" spans="1:14" ht="34.5" hidden="1" customHeight="1">
      <c r="A44" s="75">
        <v>29</v>
      </c>
      <c r="B44" s="387"/>
      <c r="C44" s="333"/>
      <c r="D44" s="334"/>
      <c r="E44" s="361" t="str">
        <f t="shared" si="5"/>
        <v/>
      </c>
      <c r="F44" s="122" t="str">
        <f t="shared" si="3"/>
        <v/>
      </c>
      <c r="G44" s="124" t="str">
        <f t="shared" si="0"/>
        <v/>
      </c>
      <c r="H44" s="347"/>
      <c r="I44" s="348"/>
      <c r="J44" s="349"/>
      <c r="K44" s="127">
        <f t="shared" si="1"/>
        <v>0</v>
      </c>
      <c r="L44" s="350"/>
      <c r="M44" s="303">
        <f t="shared" si="6"/>
        <v>0</v>
      </c>
      <c r="N44" s="343">
        <f t="shared" si="4"/>
        <v>0</v>
      </c>
    </row>
    <row r="45" spans="1:14" ht="34.5" hidden="1" customHeight="1">
      <c r="A45" s="75">
        <v>30</v>
      </c>
      <c r="B45" s="387"/>
      <c r="C45" s="333"/>
      <c r="D45" s="334"/>
      <c r="E45" s="361" t="str">
        <f t="shared" si="5"/>
        <v/>
      </c>
      <c r="F45" s="122" t="str">
        <f t="shared" si="3"/>
        <v/>
      </c>
      <c r="G45" s="124" t="str">
        <f t="shared" si="0"/>
        <v/>
      </c>
      <c r="H45" s="347"/>
      <c r="I45" s="348"/>
      <c r="J45" s="349"/>
      <c r="K45" s="127">
        <f t="shared" si="1"/>
        <v>0</v>
      </c>
      <c r="L45" s="350"/>
      <c r="M45" s="303">
        <f t="shared" si="6"/>
        <v>0</v>
      </c>
      <c r="N45" s="343">
        <f t="shared" si="4"/>
        <v>0</v>
      </c>
    </row>
    <row r="46" spans="1:14" ht="34.5" hidden="1" customHeight="1">
      <c r="A46" s="75">
        <v>31</v>
      </c>
      <c r="B46" s="387"/>
      <c r="C46" s="333"/>
      <c r="D46" s="334"/>
      <c r="E46" s="361" t="str">
        <f t="shared" si="5"/>
        <v/>
      </c>
      <c r="F46" s="122" t="str">
        <f t="shared" si="3"/>
        <v/>
      </c>
      <c r="G46" s="124" t="str">
        <f t="shared" si="0"/>
        <v/>
      </c>
      <c r="H46" s="347"/>
      <c r="I46" s="348"/>
      <c r="J46" s="349"/>
      <c r="K46" s="127">
        <f t="shared" si="1"/>
        <v>0</v>
      </c>
      <c r="L46" s="350"/>
      <c r="M46" s="303">
        <f t="shared" si="6"/>
        <v>0</v>
      </c>
      <c r="N46" s="343">
        <f t="shared" si="4"/>
        <v>0</v>
      </c>
    </row>
    <row r="47" spans="1:14" ht="34.5" hidden="1" customHeight="1">
      <c r="A47" s="75">
        <v>32</v>
      </c>
      <c r="B47" s="387"/>
      <c r="C47" s="333"/>
      <c r="D47" s="334"/>
      <c r="E47" s="361" t="str">
        <f t="shared" si="5"/>
        <v/>
      </c>
      <c r="F47" s="122" t="str">
        <f t="shared" si="3"/>
        <v/>
      </c>
      <c r="G47" s="124" t="str">
        <f t="shared" si="0"/>
        <v/>
      </c>
      <c r="H47" s="347"/>
      <c r="I47" s="348"/>
      <c r="J47" s="349"/>
      <c r="K47" s="127">
        <f t="shared" si="1"/>
        <v>0</v>
      </c>
      <c r="L47" s="350"/>
      <c r="M47" s="303">
        <f t="shared" si="6"/>
        <v>0</v>
      </c>
      <c r="N47" s="343">
        <f t="shared" si="4"/>
        <v>0</v>
      </c>
    </row>
    <row r="48" spans="1:14" ht="34.5" hidden="1" customHeight="1">
      <c r="A48" s="75">
        <v>33</v>
      </c>
      <c r="B48" s="387"/>
      <c r="C48" s="333"/>
      <c r="D48" s="334"/>
      <c r="E48" s="361" t="str">
        <f t="shared" si="5"/>
        <v/>
      </c>
      <c r="F48" s="122" t="str">
        <f t="shared" si="3"/>
        <v/>
      </c>
      <c r="G48" s="124" t="str">
        <f t="shared" si="0"/>
        <v/>
      </c>
      <c r="H48" s="347"/>
      <c r="I48" s="348"/>
      <c r="J48" s="349"/>
      <c r="K48" s="127">
        <f t="shared" si="1"/>
        <v>0</v>
      </c>
      <c r="L48" s="350"/>
      <c r="M48" s="303">
        <f t="shared" si="6"/>
        <v>0</v>
      </c>
      <c r="N48" s="343">
        <f t="shared" si="4"/>
        <v>0</v>
      </c>
    </row>
    <row r="49" spans="1:14" ht="34.5" hidden="1" customHeight="1">
      <c r="A49" s="75">
        <v>34</v>
      </c>
      <c r="B49" s="387"/>
      <c r="C49" s="333"/>
      <c r="D49" s="334"/>
      <c r="E49" s="361" t="str">
        <f t="shared" si="5"/>
        <v/>
      </c>
      <c r="F49" s="122" t="str">
        <f t="shared" si="3"/>
        <v/>
      </c>
      <c r="G49" s="124" t="str">
        <f t="shared" si="0"/>
        <v/>
      </c>
      <c r="H49" s="347"/>
      <c r="I49" s="348"/>
      <c r="J49" s="349"/>
      <c r="K49" s="127">
        <f t="shared" si="1"/>
        <v>0</v>
      </c>
      <c r="L49" s="350"/>
      <c r="M49" s="303">
        <f t="shared" si="6"/>
        <v>0</v>
      </c>
      <c r="N49" s="343">
        <f t="shared" si="4"/>
        <v>0</v>
      </c>
    </row>
    <row r="50" spans="1:14" ht="34.5" hidden="1" customHeight="1">
      <c r="A50" s="75">
        <v>35</v>
      </c>
      <c r="B50" s="387"/>
      <c r="C50" s="333"/>
      <c r="D50" s="334"/>
      <c r="E50" s="361" t="str">
        <f t="shared" si="5"/>
        <v/>
      </c>
      <c r="F50" s="122" t="str">
        <f t="shared" si="3"/>
        <v/>
      </c>
      <c r="G50" s="124" t="str">
        <f t="shared" si="0"/>
        <v/>
      </c>
      <c r="H50" s="347"/>
      <c r="I50" s="348"/>
      <c r="J50" s="349"/>
      <c r="K50" s="127">
        <f t="shared" si="1"/>
        <v>0</v>
      </c>
      <c r="L50" s="350"/>
      <c r="M50" s="303">
        <f t="shared" si="6"/>
        <v>0</v>
      </c>
      <c r="N50" s="343">
        <f t="shared" si="4"/>
        <v>0</v>
      </c>
    </row>
    <row r="51" spans="1:14" ht="34.5" hidden="1" customHeight="1">
      <c r="A51" s="75">
        <v>36</v>
      </c>
      <c r="B51" s="387"/>
      <c r="C51" s="333"/>
      <c r="D51" s="334"/>
      <c r="E51" s="361" t="str">
        <f t="shared" si="5"/>
        <v/>
      </c>
      <c r="F51" s="122" t="str">
        <f t="shared" si="3"/>
        <v/>
      </c>
      <c r="G51" s="124" t="str">
        <f t="shared" si="0"/>
        <v/>
      </c>
      <c r="H51" s="347"/>
      <c r="I51" s="348"/>
      <c r="J51" s="349"/>
      <c r="K51" s="127">
        <f t="shared" si="1"/>
        <v>0</v>
      </c>
      <c r="L51" s="350"/>
      <c r="M51" s="303">
        <f t="shared" si="6"/>
        <v>0</v>
      </c>
      <c r="N51" s="343">
        <f t="shared" si="4"/>
        <v>0</v>
      </c>
    </row>
    <row r="52" spans="1:14" ht="34.5" hidden="1" customHeight="1">
      <c r="A52" s="75">
        <v>37</v>
      </c>
      <c r="B52" s="387"/>
      <c r="C52" s="333"/>
      <c r="D52" s="334"/>
      <c r="E52" s="361" t="str">
        <f t="shared" si="5"/>
        <v/>
      </c>
      <c r="F52" s="122" t="str">
        <f t="shared" si="3"/>
        <v/>
      </c>
      <c r="G52" s="124" t="str">
        <f t="shared" si="0"/>
        <v/>
      </c>
      <c r="H52" s="347"/>
      <c r="I52" s="348"/>
      <c r="J52" s="349"/>
      <c r="K52" s="127">
        <f t="shared" si="1"/>
        <v>0</v>
      </c>
      <c r="L52" s="350"/>
      <c r="M52" s="303">
        <f t="shared" si="6"/>
        <v>0</v>
      </c>
      <c r="N52" s="343">
        <f t="shared" si="4"/>
        <v>0</v>
      </c>
    </row>
    <row r="53" spans="1:14" ht="34.5" hidden="1" customHeight="1">
      <c r="A53" s="75">
        <v>38</v>
      </c>
      <c r="B53" s="387"/>
      <c r="C53" s="333"/>
      <c r="D53" s="334"/>
      <c r="E53" s="361" t="str">
        <f t="shared" si="5"/>
        <v/>
      </c>
      <c r="F53" s="122" t="str">
        <f t="shared" si="3"/>
        <v/>
      </c>
      <c r="G53" s="124" t="str">
        <f t="shared" si="0"/>
        <v/>
      </c>
      <c r="H53" s="347"/>
      <c r="I53" s="348"/>
      <c r="J53" s="349"/>
      <c r="K53" s="127">
        <f t="shared" si="1"/>
        <v>0</v>
      </c>
      <c r="L53" s="350"/>
      <c r="M53" s="303">
        <f t="shared" si="6"/>
        <v>0</v>
      </c>
      <c r="N53" s="343">
        <f t="shared" si="4"/>
        <v>0</v>
      </c>
    </row>
    <row r="54" spans="1:14" ht="34.5" hidden="1" customHeight="1">
      <c r="A54" s="75">
        <v>39</v>
      </c>
      <c r="B54" s="387"/>
      <c r="C54" s="333"/>
      <c r="D54" s="334"/>
      <c r="E54" s="361" t="str">
        <f t="shared" si="5"/>
        <v/>
      </c>
      <c r="F54" s="122" t="str">
        <f t="shared" si="3"/>
        <v/>
      </c>
      <c r="G54" s="124" t="str">
        <f t="shared" si="0"/>
        <v/>
      </c>
      <c r="H54" s="347"/>
      <c r="I54" s="348"/>
      <c r="J54" s="349"/>
      <c r="K54" s="127">
        <f t="shared" si="1"/>
        <v>0</v>
      </c>
      <c r="L54" s="350"/>
      <c r="M54" s="303">
        <f t="shared" si="6"/>
        <v>0</v>
      </c>
      <c r="N54" s="343">
        <f t="shared" si="4"/>
        <v>0</v>
      </c>
    </row>
    <row r="55" spans="1:14" ht="34.5" hidden="1" customHeight="1">
      <c r="A55" s="75">
        <v>40</v>
      </c>
      <c r="B55" s="387"/>
      <c r="C55" s="333"/>
      <c r="D55" s="334"/>
      <c r="E55" s="361" t="str">
        <f t="shared" si="5"/>
        <v/>
      </c>
      <c r="F55" s="122" t="str">
        <f t="shared" si="3"/>
        <v/>
      </c>
      <c r="G55" s="124" t="str">
        <f t="shared" si="0"/>
        <v/>
      </c>
      <c r="H55" s="347"/>
      <c r="I55" s="348"/>
      <c r="J55" s="349"/>
      <c r="K55" s="127">
        <f t="shared" si="1"/>
        <v>0</v>
      </c>
      <c r="L55" s="350"/>
      <c r="M55" s="303">
        <f t="shared" si="6"/>
        <v>0</v>
      </c>
      <c r="N55" s="343">
        <f t="shared" si="4"/>
        <v>0</v>
      </c>
    </row>
    <row r="56" spans="1:14" ht="34.5" hidden="1" customHeight="1">
      <c r="A56" s="75">
        <v>41</v>
      </c>
      <c r="B56" s="387"/>
      <c r="C56" s="333"/>
      <c r="D56" s="334"/>
      <c r="E56" s="361" t="str">
        <f t="shared" si="5"/>
        <v/>
      </c>
      <c r="F56" s="122" t="str">
        <f t="shared" si="3"/>
        <v/>
      </c>
      <c r="G56" s="124" t="str">
        <f t="shared" si="0"/>
        <v/>
      </c>
      <c r="H56" s="347"/>
      <c r="I56" s="348"/>
      <c r="J56" s="349"/>
      <c r="K56" s="127">
        <f t="shared" si="1"/>
        <v>0</v>
      </c>
      <c r="L56" s="350"/>
      <c r="M56" s="303">
        <f t="shared" si="6"/>
        <v>0</v>
      </c>
      <c r="N56" s="343">
        <f t="shared" si="4"/>
        <v>0</v>
      </c>
    </row>
    <row r="57" spans="1:14" ht="34.5" hidden="1" customHeight="1" outlineLevel="1">
      <c r="A57" s="75">
        <v>42</v>
      </c>
      <c r="B57" s="387"/>
      <c r="C57" s="333"/>
      <c r="D57" s="334"/>
      <c r="E57" s="361" t="str">
        <f t="shared" si="5"/>
        <v/>
      </c>
      <c r="F57" s="122" t="str">
        <f t="shared" si="3"/>
        <v/>
      </c>
      <c r="G57" s="124" t="str">
        <f t="shared" si="0"/>
        <v/>
      </c>
      <c r="H57" s="347"/>
      <c r="I57" s="348"/>
      <c r="J57" s="349"/>
      <c r="K57" s="127">
        <f t="shared" si="1"/>
        <v>0</v>
      </c>
      <c r="L57" s="350"/>
      <c r="M57" s="303">
        <f t="shared" si="6"/>
        <v>0</v>
      </c>
      <c r="N57" s="343">
        <f t="shared" si="4"/>
        <v>0</v>
      </c>
    </row>
    <row r="58" spans="1:14" ht="34.5" hidden="1" customHeight="1" outlineLevel="1">
      <c r="A58" s="75">
        <v>43</v>
      </c>
      <c r="B58" s="387"/>
      <c r="C58" s="333"/>
      <c r="D58" s="334"/>
      <c r="E58" s="361" t="str">
        <f t="shared" si="5"/>
        <v/>
      </c>
      <c r="F58" s="122" t="str">
        <f t="shared" si="3"/>
        <v/>
      </c>
      <c r="G58" s="124" t="str">
        <f t="shared" si="0"/>
        <v/>
      </c>
      <c r="H58" s="347"/>
      <c r="I58" s="348"/>
      <c r="J58" s="349"/>
      <c r="K58" s="127">
        <f t="shared" si="1"/>
        <v>0</v>
      </c>
      <c r="L58" s="350"/>
      <c r="M58" s="303">
        <f t="shared" si="6"/>
        <v>0</v>
      </c>
      <c r="N58" s="343">
        <f t="shared" si="4"/>
        <v>0</v>
      </c>
    </row>
    <row r="59" spans="1:14" ht="34.5" hidden="1" customHeight="1" outlineLevel="1">
      <c r="A59" s="75">
        <v>44</v>
      </c>
      <c r="B59" s="387"/>
      <c r="C59" s="333"/>
      <c r="D59" s="334"/>
      <c r="E59" s="361" t="str">
        <f t="shared" si="5"/>
        <v/>
      </c>
      <c r="F59" s="122" t="str">
        <f t="shared" si="3"/>
        <v/>
      </c>
      <c r="G59" s="124" t="str">
        <f t="shared" si="0"/>
        <v/>
      </c>
      <c r="H59" s="347"/>
      <c r="I59" s="348"/>
      <c r="J59" s="349"/>
      <c r="K59" s="127">
        <f t="shared" si="1"/>
        <v>0</v>
      </c>
      <c r="L59" s="350"/>
      <c r="M59" s="303">
        <f t="shared" si="6"/>
        <v>0</v>
      </c>
      <c r="N59" s="343">
        <f t="shared" si="4"/>
        <v>0</v>
      </c>
    </row>
    <row r="60" spans="1:14" ht="34.5" hidden="1" customHeight="1" outlineLevel="1">
      <c r="A60" s="75">
        <v>45</v>
      </c>
      <c r="B60" s="387"/>
      <c r="C60" s="333"/>
      <c r="D60" s="334"/>
      <c r="E60" s="361" t="str">
        <f t="shared" si="5"/>
        <v/>
      </c>
      <c r="F60" s="122" t="str">
        <f t="shared" si="3"/>
        <v/>
      </c>
      <c r="G60" s="124" t="str">
        <f t="shared" si="0"/>
        <v/>
      </c>
      <c r="H60" s="347"/>
      <c r="I60" s="348"/>
      <c r="J60" s="349"/>
      <c r="K60" s="127">
        <f t="shared" si="1"/>
        <v>0</v>
      </c>
      <c r="L60" s="350"/>
      <c r="M60" s="303">
        <f t="shared" si="6"/>
        <v>0</v>
      </c>
      <c r="N60" s="343">
        <f t="shared" si="4"/>
        <v>0</v>
      </c>
    </row>
    <row r="61" spans="1:14" ht="34.5" hidden="1" customHeight="1" outlineLevel="1">
      <c r="A61" s="75">
        <v>46</v>
      </c>
      <c r="B61" s="387"/>
      <c r="C61" s="333"/>
      <c r="D61" s="334"/>
      <c r="E61" s="361" t="str">
        <f t="shared" si="5"/>
        <v/>
      </c>
      <c r="F61" s="122" t="str">
        <f t="shared" si="3"/>
        <v/>
      </c>
      <c r="G61" s="124" t="str">
        <f t="shared" si="0"/>
        <v/>
      </c>
      <c r="H61" s="347"/>
      <c r="I61" s="348"/>
      <c r="J61" s="349"/>
      <c r="K61" s="127">
        <f t="shared" si="1"/>
        <v>0</v>
      </c>
      <c r="L61" s="350"/>
      <c r="M61" s="303">
        <f t="shared" si="6"/>
        <v>0</v>
      </c>
      <c r="N61" s="343">
        <f t="shared" si="4"/>
        <v>0</v>
      </c>
    </row>
    <row r="62" spans="1:14" ht="34.5" hidden="1" customHeight="1" outlineLevel="1">
      <c r="A62" s="75">
        <v>47</v>
      </c>
      <c r="B62" s="387"/>
      <c r="C62" s="333"/>
      <c r="D62" s="334"/>
      <c r="E62" s="361" t="str">
        <f t="shared" si="5"/>
        <v/>
      </c>
      <c r="F62" s="122" t="str">
        <f t="shared" si="3"/>
        <v/>
      </c>
      <c r="G62" s="124" t="str">
        <f t="shared" si="0"/>
        <v/>
      </c>
      <c r="H62" s="347"/>
      <c r="I62" s="348"/>
      <c r="J62" s="349"/>
      <c r="K62" s="127">
        <f t="shared" si="1"/>
        <v>0</v>
      </c>
      <c r="L62" s="350"/>
      <c r="M62" s="303">
        <f t="shared" si="6"/>
        <v>0</v>
      </c>
      <c r="N62" s="343">
        <f t="shared" si="4"/>
        <v>0</v>
      </c>
    </row>
    <row r="63" spans="1:14" ht="34.5" hidden="1" customHeight="1" outlineLevel="1">
      <c r="A63" s="75">
        <v>48</v>
      </c>
      <c r="B63" s="387"/>
      <c r="C63" s="333"/>
      <c r="D63" s="334"/>
      <c r="E63" s="361" t="str">
        <f t="shared" si="5"/>
        <v/>
      </c>
      <c r="F63" s="122" t="str">
        <f t="shared" si="3"/>
        <v/>
      </c>
      <c r="G63" s="124" t="str">
        <f t="shared" si="0"/>
        <v/>
      </c>
      <c r="H63" s="347"/>
      <c r="I63" s="348"/>
      <c r="J63" s="349"/>
      <c r="K63" s="127">
        <f t="shared" si="1"/>
        <v>0</v>
      </c>
      <c r="L63" s="350"/>
      <c r="M63" s="303">
        <f t="shared" si="6"/>
        <v>0</v>
      </c>
      <c r="N63" s="343">
        <f t="shared" si="4"/>
        <v>0</v>
      </c>
    </row>
    <row r="64" spans="1:14" ht="34.5" hidden="1" customHeight="1" outlineLevel="1">
      <c r="A64" s="75">
        <v>49</v>
      </c>
      <c r="B64" s="387"/>
      <c r="C64" s="333"/>
      <c r="D64" s="334"/>
      <c r="E64" s="361" t="str">
        <f t="shared" si="5"/>
        <v/>
      </c>
      <c r="F64" s="122" t="str">
        <f t="shared" si="3"/>
        <v/>
      </c>
      <c r="G64" s="124" t="str">
        <f t="shared" si="0"/>
        <v/>
      </c>
      <c r="H64" s="347"/>
      <c r="I64" s="348"/>
      <c r="J64" s="349"/>
      <c r="K64" s="127">
        <f t="shared" si="1"/>
        <v>0</v>
      </c>
      <c r="L64" s="350"/>
      <c r="M64" s="303">
        <f t="shared" si="6"/>
        <v>0</v>
      </c>
      <c r="N64" s="343">
        <f t="shared" si="4"/>
        <v>0</v>
      </c>
    </row>
    <row r="65" spans="1:24" ht="34.5" hidden="1" customHeight="1" outlineLevel="1">
      <c r="A65" s="75">
        <v>50</v>
      </c>
      <c r="B65" s="387"/>
      <c r="C65" s="333"/>
      <c r="D65" s="334"/>
      <c r="E65" s="361" t="str">
        <f t="shared" si="5"/>
        <v/>
      </c>
      <c r="F65" s="122" t="str">
        <f t="shared" si="3"/>
        <v/>
      </c>
      <c r="G65" s="124" t="str">
        <f t="shared" si="0"/>
        <v/>
      </c>
      <c r="H65" s="347"/>
      <c r="I65" s="348"/>
      <c r="J65" s="349"/>
      <c r="K65" s="127">
        <f t="shared" si="1"/>
        <v>0</v>
      </c>
      <c r="L65" s="350"/>
      <c r="M65" s="303">
        <f t="shared" si="6"/>
        <v>0</v>
      </c>
      <c r="N65" s="343">
        <f t="shared" si="4"/>
        <v>0</v>
      </c>
    </row>
    <row r="66" spans="1:24" ht="34.5" hidden="1" customHeight="1" outlineLevel="1">
      <c r="A66" s="75">
        <v>51</v>
      </c>
      <c r="B66" s="387"/>
      <c r="C66" s="333"/>
      <c r="D66" s="334"/>
      <c r="E66" s="361" t="str">
        <f t="shared" si="5"/>
        <v/>
      </c>
      <c r="F66" s="122" t="str">
        <f t="shared" si="3"/>
        <v/>
      </c>
      <c r="G66" s="124" t="str">
        <f t="shared" si="0"/>
        <v/>
      </c>
      <c r="H66" s="347"/>
      <c r="I66" s="348"/>
      <c r="J66" s="349"/>
      <c r="K66" s="127">
        <f t="shared" si="1"/>
        <v>0</v>
      </c>
      <c r="L66" s="350"/>
      <c r="M66" s="303">
        <f t="shared" si="6"/>
        <v>0</v>
      </c>
      <c r="N66" s="343">
        <f t="shared" si="4"/>
        <v>0</v>
      </c>
    </row>
    <row r="67" spans="1:24" ht="34.5" hidden="1" customHeight="1" outlineLevel="1">
      <c r="A67" s="75">
        <v>52</v>
      </c>
      <c r="B67" s="387"/>
      <c r="C67" s="333"/>
      <c r="D67" s="334"/>
      <c r="E67" s="361" t="str">
        <f t="shared" si="5"/>
        <v/>
      </c>
      <c r="F67" s="122" t="str">
        <f t="shared" si="3"/>
        <v/>
      </c>
      <c r="G67" s="124" t="str">
        <f t="shared" si="0"/>
        <v/>
      </c>
      <c r="H67" s="347"/>
      <c r="I67" s="348"/>
      <c r="J67" s="349"/>
      <c r="K67" s="127">
        <f t="shared" si="1"/>
        <v>0</v>
      </c>
      <c r="L67" s="350"/>
      <c r="M67" s="303">
        <f t="shared" si="6"/>
        <v>0</v>
      </c>
      <c r="N67" s="343">
        <f t="shared" si="4"/>
        <v>0</v>
      </c>
    </row>
    <row r="68" spans="1:24" ht="34.5" hidden="1" customHeight="1" outlineLevel="1">
      <c r="A68" s="75">
        <v>53</v>
      </c>
      <c r="B68" s="387"/>
      <c r="C68" s="333"/>
      <c r="D68" s="334"/>
      <c r="E68" s="361" t="str">
        <f t="shared" si="5"/>
        <v/>
      </c>
      <c r="F68" s="122" t="str">
        <f t="shared" si="3"/>
        <v/>
      </c>
      <c r="G68" s="124" t="str">
        <f t="shared" si="0"/>
        <v/>
      </c>
      <c r="H68" s="347"/>
      <c r="I68" s="348"/>
      <c r="J68" s="349"/>
      <c r="K68" s="127">
        <f t="shared" si="1"/>
        <v>0</v>
      </c>
      <c r="L68" s="350"/>
      <c r="M68" s="303">
        <f t="shared" si="6"/>
        <v>0</v>
      </c>
      <c r="N68" s="343">
        <f t="shared" si="4"/>
        <v>0</v>
      </c>
    </row>
    <row r="69" spans="1:24" ht="34.5" hidden="1" customHeight="1" outlineLevel="1">
      <c r="A69" s="75">
        <v>54</v>
      </c>
      <c r="B69" s="387"/>
      <c r="C69" s="333"/>
      <c r="D69" s="334"/>
      <c r="E69" s="361" t="str">
        <f t="shared" si="5"/>
        <v/>
      </c>
      <c r="F69" s="122" t="str">
        <f t="shared" si="3"/>
        <v/>
      </c>
      <c r="G69" s="124" t="str">
        <f t="shared" si="0"/>
        <v/>
      </c>
      <c r="H69" s="347"/>
      <c r="I69" s="348"/>
      <c r="J69" s="349"/>
      <c r="K69" s="127">
        <f t="shared" si="1"/>
        <v>0</v>
      </c>
      <c r="L69" s="350"/>
      <c r="M69" s="303">
        <f t="shared" si="6"/>
        <v>0</v>
      </c>
      <c r="N69" s="343">
        <f t="shared" si="4"/>
        <v>0</v>
      </c>
    </row>
    <row r="70" spans="1:24" ht="34.5" hidden="1" customHeight="1" outlineLevel="1">
      <c r="A70" s="75">
        <v>55</v>
      </c>
      <c r="B70" s="346"/>
      <c r="C70" s="333"/>
      <c r="D70" s="334"/>
      <c r="E70" s="361" t="str">
        <f t="shared" si="5"/>
        <v/>
      </c>
      <c r="F70" s="122" t="str">
        <f t="shared" si="3"/>
        <v/>
      </c>
      <c r="G70" s="124" t="str">
        <f t="shared" si="0"/>
        <v/>
      </c>
      <c r="H70" s="347"/>
      <c r="I70" s="348"/>
      <c r="J70" s="349"/>
      <c r="K70" s="127">
        <f t="shared" si="1"/>
        <v>0</v>
      </c>
      <c r="L70" s="350"/>
      <c r="M70" s="303">
        <f t="shared" si="6"/>
        <v>0</v>
      </c>
      <c r="N70" s="343">
        <f t="shared" si="4"/>
        <v>0</v>
      </c>
    </row>
    <row r="71" spans="1:24" ht="34.5" hidden="1" customHeight="1" collapsed="1">
      <c r="A71" s="75">
        <v>56</v>
      </c>
      <c r="B71" s="346"/>
      <c r="C71" s="333"/>
      <c r="D71" s="334"/>
      <c r="E71" s="361" t="str">
        <f t="shared" si="5"/>
        <v/>
      </c>
      <c r="F71" s="122" t="str">
        <f t="shared" si="3"/>
        <v/>
      </c>
      <c r="G71" s="124" t="str">
        <f t="shared" si="0"/>
        <v/>
      </c>
      <c r="H71" s="347"/>
      <c r="I71" s="348"/>
      <c r="J71" s="349"/>
      <c r="K71" s="127">
        <f t="shared" si="1"/>
        <v>0</v>
      </c>
      <c r="L71" s="350"/>
      <c r="M71" s="303">
        <f t="shared" si="6"/>
        <v>0</v>
      </c>
      <c r="N71" s="343">
        <f t="shared" si="4"/>
        <v>0</v>
      </c>
    </row>
    <row r="72" spans="1:24" ht="24" customHeight="1">
      <c r="A72" s="75"/>
      <c r="B72" s="75"/>
      <c r="C72" s="134"/>
      <c r="D72" s="135"/>
      <c r="E72" s="136"/>
      <c r="F72" s="136"/>
      <c r="G72" s="137"/>
      <c r="H72" s="138" t="s">
        <v>47</v>
      </c>
      <c r="I72" s="138"/>
      <c r="J72" s="138"/>
      <c r="K72" s="139">
        <f>SUM(K16:K71)</f>
        <v>68104.150000000009</v>
      </c>
      <c r="L72" s="140"/>
      <c r="M72" s="139">
        <f>SUM(M16:M71)</f>
        <v>59931.652000000009</v>
      </c>
      <c r="N72" s="344">
        <f>SUM(N16:N71)</f>
        <v>0</v>
      </c>
      <c r="O72" s="139">
        <f>SUM(O16:O71)</f>
        <v>56828.7815928665</v>
      </c>
    </row>
    <row r="73" spans="1:24" ht="15" customHeight="1">
      <c r="A73" s="75"/>
      <c r="B73" s="75"/>
      <c r="C73" s="141"/>
      <c r="D73" s="141"/>
      <c r="E73" s="142"/>
      <c r="F73" s="142"/>
      <c r="G73" s="142"/>
      <c r="H73" s="141"/>
      <c r="I73" s="141"/>
      <c r="J73" s="143"/>
      <c r="K73" s="28"/>
      <c r="L73" s="26"/>
      <c r="M73" s="26"/>
      <c r="N73" s="1"/>
    </row>
    <row r="74" spans="1:24" ht="49.5" customHeight="1">
      <c r="A74" s="75"/>
      <c r="B74" s="115" t="s">
        <v>13</v>
      </c>
      <c r="C74" s="336" t="s">
        <v>25</v>
      </c>
      <c r="D74" s="336" t="s">
        <v>26</v>
      </c>
      <c r="E74" s="115" t="s">
        <v>27</v>
      </c>
      <c r="F74" s="115" t="s">
        <v>28</v>
      </c>
      <c r="G74" s="115" t="s">
        <v>29</v>
      </c>
      <c r="H74" s="362" t="s">
        <v>48</v>
      </c>
      <c r="I74" s="362" t="s">
        <v>49</v>
      </c>
      <c r="J74" s="362" t="s">
        <v>93</v>
      </c>
      <c r="K74" s="362" t="s">
        <v>98</v>
      </c>
      <c r="L74" s="362" t="s">
        <v>50</v>
      </c>
      <c r="M74" s="402" t="s">
        <v>27</v>
      </c>
      <c r="N74" s="403" t="s">
        <v>57</v>
      </c>
      <c r="O74" s="403" t="s">
        <v>137</v>
      </c>
    </row>
    <row r="75" spans="1:24" ht="28.8">
      <c r="A75" s="75"/>
      <c r="B75" s="144"/>
      <c r="C75" s="371">
        <v>0.94822651631339161</v>
      </c>
      <c r="D75" s="338">
        <v>0.02</v>
      </c>
      <c r="E75" s="146">
        <v>0.18</v>
      </c>
      <c r="F75" s="146"/>
      <c r="G75" s="147" t="s">
        <v>51</v>
      </c>
      <c r="H75" s="147"/>
      <c r="I75" s="147"/>
      <c r="J75" s="147"/>
      <c r="K75" s="147"/>
      <c r="L75" s="147"/>
      <c r="M75" s="147"/>
      <c r="N75" s="147"/>
      <c r="O75" s="147"/>
      <c r="Q75" s="485" t="s">
        <v>151</v>
      </c>
      <c r="R75" s="485" t="s">
        <v>152</v>
      </c>
      <c r="S75" s="485" t="s">
        <v>153</v>
      </c>
      <c r="T75" s="485" t="s">
        <v>98</v>
      </c>
      <c r="U75" s="485" t="s">
        <v>50</v>
      </c>
      <c r="V75" s="485" t="s">
        <v>27</v>
      </c>
      <c r="W75" s="403" t="s">
        <v>57</v>
      </c>
      <c r="X75" s="403" t="s">
        <v>136</v>
      </c>
    </row>
    <row r="76" spans="1:24" s="450" customFormat="1" ht="33" customHeight="1">
      <c r="A76" s="442">
        <v>1</v>
      </c>
      <c r="B76" s="443">
        <f>IF(+B16="","",+B16)</f>
        <v>3707</v>
      </c>
      <c r="C76" s="444">
        <f>IF($B76="","",+(1-$L16)*$K16*$C$75)</f>
        <v>17822.005369530911</v>
      </c>
      <c r="D76" s="444">
        <f>IF($B76="","",+$C76*((1+$D$75/30)^$F16-1))</f>
        <v>1202.835048660585</v>
      </c>
      <c r="E76" s="445">
        <f t="shared" ref="E76:E131" si="7">IF($B76="","",+D76*$E$75)</f>
        <v>216.5103087589053</v>
      </c>
      <c r="F76" s="445">
        <f>IF($B76="","",+$C76/$C$132*$F$132)</f>
        <v>133.66504027148184</v>
      </c>
      <c r="G76" s="445">
        <f>IF($B76="","",+$C76-$D76-$E76-$F76)</f>
        <v>16268.994971839938</v>
      </c>
      <c r="H76" s="446">
        <v>45772</v>
      </c>
      <c r="I76" s="447">
        <f>IFERROR(+H76-E16,"")</f>
        <v>24</v>
      </c>
      <c r="J76" s="448">
        <f>+C76</f>
        <v>17822.005369530911</v>
      </c>
      <c r="K76" s="448">
        <f>IF(I76&lt;0,IFERROR(+((1+$D$75/30)^(F16+I76)-1)*(C76),0)-D76,IFERROR(+((1+$D$75/30)^(I76)-1)*(C76),0))</f>
        <v>287.34897733476816</v>
      </c>
      <c r="L76" s="448">
        <f>IF(I76&gt;0,IFERROR(+((1+3%/30)^I76-1)*(C76),0),0)</f>
        <v>432.68326422608413</v>
      </c>
      <c r="M76" s="448">
        <f t="shared" ref="M76:M131" si="8">SUM(K76:L76)*18%</f>
        <v>129.6058034809534</v>
      </c>
      <c r="N76" s="449">
        <f>+SUM(J76:M76)</f>
        <v>18671.643414572718</v>
      </c>
      <c r="O76" s="449">
        <f>+O16-N76</f>
        <v>-849.63804504180735</v>
      </c>
      <c r="Q76" s="488">
        <v>45784</v>
      </c>
      <c r="R76" s="489">
        <f>-O76</f>
        <v>849.63804504180735</v>
      </c>
      <c r="S76" s="490">
        <f>Q76-H76</f>
        <v>12</v>
      </c>
      <c r="T76" s="491">
        <f>IFERROR(+((1+$D$75/30)^(S76)-1)*(R76),0)</f>
        <v>6.8220825432990706</v>
      </c>
      <c r="U76" s="491">
        <f>IF(S76&gt;0,IFERROR(+((1+3%/30)^S76-1)*(R76),0),0)</f>
        <v>10.251919993087519</v>
      </c>
      <c r="V76" s="491">
        <f>SUM(T76:U76)*18%</f>
        <v>3.073320456549586</v>
      </c>
      <c r="W76" s="489">
        <f>T76+U76+V76+R76</f>
        <v>869.78536803474356</v>
      </c>
      <c r="X76" s="491">
        <v>869.78536803474356</v>
      </c>
    </row>
    <row r="77" spans="1:24" s="450" customFormat="1" ht="33" customHeight="1">
      <c r="A77" s="442">
        <v>2</v>
      </c>
      <c r="B77" s="443">
        <f t="shared" ref="B77:B131" si="9">IF(+B17="","",+B17)</f>
        <v>3708</v>
      </c>
      <c r="C77" s="444">
        <f t="shared" ref="C77:C130" si="10">IF($B77="","",+(1-$L17)*$K17*$C$75)</f>
        <v>7530.3143289603422</v>
      </c>
      <c r="D77" s="444">
        <f t="shared" ref="D77:D131" si="11">IF($B77="","",+$C77*((1+$D$75/30)^$F17-1))</f>
        <v>508.23270527063698</v>
      </c>
      <c r="E77" s="445">
        <f t="shared" si="7"/>
        <v>91.48188694871466</v>
      </c>
      <c r="F77" s="445">
        <f t="shared" ref="F77:F131" si="12">IF($B77="","",+$C77/$C$132*$F$132)</f>
        <v>56.477357467202566</v>
      </c>
      <c r="G77" s="445">
        <f t="shared" ref="G76:G131" si="13">IF($B77="","",+$C77-$D77-$E77-$F77)</f>
        <v>6874.1223792737883</v>
      </c>
      <c r="H77" s="446">
        <v>45772</v>
      </c>
      <c r="I77" s="447">
        <f t="shared" ref="I77:I131" si="14">IFERROR(+H77-E17,"")</f>
        <v>24</v>
      </c>
      <c r="J77" s="448">
        <f t="shared" ref="J77:J131" si="15">+C77</f>
        <v>7530.3143289603422</v>
      </c>
      <c r="K77" s="448">
        <f t="shared" ref="K77:K130" si="16">IF(I77&lt;0,IFERROR(+((1+$D$75/30)^(F17+I77)-1)*(C77),0)-D77,IFERROR(+((1+$D$75/30)^(I77)-1)*(C77),0))</f>
        <v>121.41327962651484</v>
      </c>
      <c r="L77" s="448">
        <f>IF(I77&gt;0,IFERROR(+((1+3%/30)^I77-1)*(C77),0),0)</f>
        <v>182.82123234422383</v>
      </c>
      <c r="M77" s="448">
        <f t="shared" si="8"/>
        <v>54.762212154732957</v>
      </c>
      <c r="N77" s="449">
        <f t="shared" ref="N77:N131" si="17">+SUM(J77:M77)</f>
        <v>7889.3110530858139</v>
      </c>
      <c r="O77" s="449">
        <f t="shared" ref="O77:O82" si="18">+O17-N77</f>
        <v>-358.9967241254717</v>
      </c>
      <c r="Q77" s="488">
        <v>45784</v>
      </c>
      <c r="R77" s="489">
        <f t="shared" ref="R77:R82" si="19">-O77</f>
        <v>358.9967241254717</v>
      </c>
      <c r="S77" s="490">
        <f t="shared" ref="S77:S82" si="20">Q77-H77</f>
        <v>12</v>
      </c>
      <c r="T77" s="491">
        <f t="shared" ref="T77:T82" si="21">IFERROR(+((1+$D$75/30)^(S77)-1)*(R77),0)</f>
        <v>2.8825277999850183</v>
      </c>
      <c r="U77" s="491">
        <f t="shared" ref="U77:U82" si="22">IF(S77&gt;0,IFERROR(+((1+3%/30)^S77-1)*(R77),0),0)</f>
        <v>4.3317336305647061</v>
      </c>
      <c r="V77" s="491">
        <f t="shared" ref="V77:V82" si="23">SUM(T77:U77)*18%</f>
        <v>1.2985670574989503</v>
      </c>
      <c r="W77" s="489">
        <f t="shared" ref="W77:W82" si="24">T77+U77+V77+R77</f>
        <v>367.50955261352038</v>
      </c>
      <c r="X77" s="491">
        <v>367.50955261352038</v>
      </c>
    </row>
    <row r="78" spans="1:24" s="450" customFormat="1" ht="33" customHeight="1">
      <c r="A78" s="442">
        <v>3</v>
      </c>
      <c r="B78" s="443">
        <f t="shared" si="9"/>
        <v>3709</v>
      </c>
      <c r="C78" s="444">
        <f t="shared" si="10"/>
        <v>7530.3143289603422</v>
      </c>
      <c r="D78" s="444">
        <f t="shared" si="11"/>
        <v>508.23270527063698</v>
      </c>
      <c r="E78" s="445">
        <f t="shared" si="7"/>
        <v>91.48188694871466</v>
      </c>
      <c r="F78" s="445">
        <f t="shared" si="12"/>
        <v>56.477357467202566</v>
      </c>
      <c r="G78" s="445">
        <f t="shared" si="13"/>
        <v>6874.1223792737883</v>
      </c>
      <c r="H78" s="446">
        <v>45772</v>
      </c>
      <c r="I78" s="447">
        <f t="shared" si="14"/>
        <v>24</v>
      </c>
      <c r="J78" s="448">
        <f t="shared" si="15"/>
        <v>7530.3143289603422</v>
      </c>
      <c r="K78" s="448">
        <f t="shared" si="16"/>
        <v>121.41327962651484</v>
      </c>
      <c r="L78" s="448">
        <f t="shared" ref="L78:L131" si="25">IF(I78&gt;0,IFERROR(+((1+3%/30)^I78-1)*(C78),0),0)</f>
        <v>182.82123234422383</v>
      </c>
      <c r="M78" s="448">
        <f t="shared" si="8"/>
        <v>54.762212154732957</v>
      </c>
      <c r="N78" s="449">
        <f t="shared" si="17"/>
        <v>7889.3110530858139</v>
      </c>
      <c r="O78" s="449">
        <f t="shared" si="18"/>
        <v>-358.9967241254717</v>
      </c>
      <c r="Q78" s="488">
        <v>45784</v>
      </c>
      <c r="R78" s="489">
        <f t="shared" si="19"/>
        <v>358.9967241254717</v>
      </c>
      <c r="S78" s="490">
        <f t="shared" si="20"/>
        <v>12</v>
      </c>
      <c r="T78" s="491">
        <f t="shared" si="21"/>
        <v>2.8825277999850183</v>
      </c>
      <c r="U78" s="491">
        <f t="shared" si="22"/>
        <v>4.3317336305647061</v>
      </c>
      <c r="V78" s="491">
        <f t="shared" si="23"/>
        <v>1.2985670574989503</v>
      </c>
      <c r="W78" s="489">
        <f t="shared" si="24"/>
        <v>367.50955261352038</v>
      </c>
      <c r="X78" s="491">
        <v>367.50955261352038</v>
      </c>
    </row>
    <row r="79" spans="1:24" s="450" customFormat="1" ht="33" customHeight="1">
      <c r="A79" s="442">
        <v>4</v>
      </c>
      <c r="B79" s="443">
        <f t="shared" si="9"/>
        <v>3710</v>
      </c>
      <c r="C79" s="444">
        <f t="shared" si="10"/>
        <v>7530.3143289603422</v>
      </c>
      <c r="D79" s="444">
        <f t="shared" si="11"/>
        <v>508.23270527063698</v>
      </c>
      <c r="E79" s="445">
        <f t="shared" si="7"/>
        <v>91.48188694871466</v>
      </c>
      <c r="F79" s="445">
        <f t="shared" si="12"/>
        <v>56.477357467202566</v>
      </c>
      <c r="G79" s="445">
        <f t="shared" si="13"/>
        <v>6874.1223792737883</v>
      </c>
      <c r="H79" s="446">
        <v>45772</v>
      </c>
      <c r="I79" s="447">
        <f t="shared" si="14"/>
        <v>24</v>
      </c>
      <c r="J79" s="448">
        <f t="shared" si="15"/>
        <v>7530.3143289603422</v>
      </c>
      <c r="K79" s="448">
        <f t="shared" si="16"/>
        <v>121.41327962651484</v>
      </c>
      <c r="L79" s="448">
        <f t="shared" si="25"/>
        <v>182.82123234422383</v>
      </c>
      <c r="M79" s="448">
        <f t="shared" si="8"/>
        <v>54.762212154732957</v>
      </c>
      <c r="N79" s="449">
        <f t="shared" si="17"/>
        <v>7889.3110530858139</v>
      </c>
      <c r="O79" s="449">
        <f t="shared" si="18"/>
        <v>-358.9967241254717</v>
      </c>
      <c r="Q79" s="488">
        <v>45784</v>
      </c>
      <c r="R79" s="489">
        <f t="shared" si="19"/>
        <v>358.9967241254717</v>
      </c>
      <c r="S79" s="490">
        <f t="shared" si="20"/>
        <v>12</v>
      </c>
      <c r="T79" s="491">
        <f t="shared" si="21"/>
        <v>2.8825277999850183</v>
      </c>
      <c r="U79" s="491">
        <f t="shared" si="22"/>
        <v>4.3317336305647061</v>
      </c>
      <c r="V79" s="491">
        <f t="shared" si="23"/>
        <v>1.2985670574989503</v>
      </c>
      <c r="W79" s="489">
        <f t="shared" si="24"/>
        <v>367.50955261352038</v>
      </c>
      <c r="X79" s="491">
        <v>367.50955261352038</v>
      </c>
    </row>
    <row r="80" spans="1:24" s="450" customFormat="1" ht="33" customHeight="1">
      <c r="A80" s="442">
        <v>5</v>
      </c>
      <c r="B80" s="443">
        <f t="shared" si="9"/>
        <v>3711</v>
      </c>
      <c r="C80" s="444">
        <f t="shared" si="10"/>
        <v>4363.8590424871036</v>
      </c>
      <c r="D80" s="444">
        <f t="shared" si="11"/>
        <v>294.52367984872103</v>
      </c>
      <c r="E80" s="445">
        <f t="shared" si="7"/>
        <v>53.014262372769785</v>
      </c>
      <c r="F80" s="445">
        <f t="shared" si="12"/>
        <v>32.728942818653273</v>
      </c>
      <c r="G80" s="445">
        <f t="shared" si="13"/>
        <v>3983.5921574469594</v>
      </c>
      <c r="H80" s="446">
        <v>45772</v>
      </c>
      <c r="I80" s="447">
        <f t="shared" si="14"/>
        <v>24</v>
      </c>
      <c r="J80" s="448">
        <f t="shared" si="15"/>
        <v>4363.8590424871036</v>
      </c>
      <c r="K80" s="448">
        <f t="shared" si="16"/>
        <v>70.359670928813927</v>
      </c>
      <c r="L80" s="448">
        <f t="shared" si="25"/>
        <v>105.94592112254156</v>
      </c>
      <c r="M80" s="448">
        <f t="shared" si="8"/>
        <v>31.735006569243986</v>
      </c>
      <c r="N80" s="449">
        <f t="shared" si="17"/>
        <v>4571.8996411077032</v>
      </c>
      <c r="O80" s="449">
        <f t="shared" si="18"/>
        <v>-208.04059862059967</v>
      </c>
      <c r="Q80" s="488">
        <v>45784</v>
      </c>
      <c r="R80" s="489">
        <f t="shared" si="19"/>
        <v>208.04059862059967</v>
      </c>
      <c r="S80" s="490">
        <f t="shared" si="20"/>
        <v>12</v>
      </c>
      <c r="T80" s="491">
        <f t="shared" si="21"/>
        <v>1.6704408947191682</v>
      </c>
      <c r="U80" s="491">
        <f t="shared" si="22"/>
        <v>2.5102637350325736</v>
      </c>
      <c r="V80" s="491">
        <f t="shared" si="23"/>
        <v>0.75252683335531345</v>
      </c>
      <c r="W80" s="489">
        <f t="shared" si="24"/>
        <v>212.97383008370673</v>
      </c>
      <c r="X80" s="491">
        <v>212.97383008370673</v>
      </c>
    </row>
    <row r="81" spans="1:24" s="450" customFormat="1" ht="33" customHeight="1">
      <c r="A81" s="442">
        <v>6</v>
      </c>
      <c r="B81" s="443">
        <f t="shared" si="9"/>
        <v>3712</v>
      </c>
      <c r="C81" s="444">
        <f t="shared" si="10"/>
        <v>5222.5221507192364</v>
      </c>
      <c r="D81" s="444">
        <f t="shared" si="11"/>
        <v>352.47619754570292</v>
      </c>
      <c r="E81" s="445">
        <f t="shared" si="7"/>
        <v>63.445715558226524</v>
      </c>
      <c r="F81" s="445">
        <f t="shared" si="12"/>
        <v>39.168916130394273</v>
      </c>
      <c r="G81" s="445">
        <f t="shared" si="13"/>
        <v>4767.4313214849126</v>
      </c>
      <c r="H81" s="446">
        <v>45772</v>
      </c>
      <c r="I81" s="447">
        <f t="shared" si="14"/>
        <v>24</v>
      </c>
      <c r="J81" s="448">
        <f t="shared" si="15"/>
        <v>5222.5221507192364</v>
      </c>
      <c r="K81" s="448">
        <f t="shared" si="16"/>
        <v>84.204126752367017</v>
      </c>
      <c r="L81" s="448">
        <f t="shared" si="25"/>
        <v>126.79257383287982</v>
      </c>
      <c r="M81" s="448">
        <f t="shared" si="8"/>
        <v>37.979406105344431</v>
      </c>
      <c r="N81" s="449">
        <f t="shared" si="17"/>
        <v>5471.4982574098276</v>
      </c>
      <c r="O81" s="449">
        <f t="shared" si="18"/>
        <v>-248.97610669059122</v>
      </c>
      <c r="Q81" s="488">
        <v>45784</v>
      </c>
      <c r="R81" s="489">
        <f t="shared" si="19"/>
        <v>248.97610669059122</v>
      </c>
      <c r="S81" s="490">
        <f t="shared" si="20"/>
        <v>12</v>
      </c>
      <c r="T81" s="491">
        <f t="shared" si="21"/>
        <v>1.9991284065779695</v>
      </c>
      <c r="U81" s="491">
        <f t="shared" si="22"/>
        <v>3.0042006015123364</v>
      </c>
      <c r="V81" s="491">
        <f t="shared" si="23"/>
        <v>0.90059922145625504</v>
      </c>
      <c r="W81" s="489">
        <f t="shared" si="24"/>
        <v>254.88003492013777</v>
      </c>
      <c r="X81" s="491">
        <v>254.88003492013777</v>
      </c>
    </row>
    <row r="82" spans="1:24" s="450" customFormat="1" ht="33" customHeight="1">
      <c r="A82" s="442">
        <v>7</v>
      </c>
      <c r="B82" s="443">
        <f t="shared" si="9"/>
        <v>3713</v>
      </c>
      <c r="C82" s="444">
        <f t="shared" si="10"/>
        <v>6829.4520432482313</v>
      </c>
      <c r="D82" s="444">
        <f t="shared" si="11"/>
        <v>460.93041217514991</v>
      </c>
      <c r="E82" s="445">
        <f t="shared" si="7"/>
        <v>82.967474191526975</v>
      </c>
      <c r="F82" s="445">
        <f t="shared" si="12"/>
        <v>51.22089032436174</v>
      </c>
      <c r="G82" s="445">
        <f t="shared" si="13"/>
        <v>6234.3332665571925</v>
      </c>
      <c r="H82" s="446">
        <v>45772</v>
      </c>
      <c r="I82" s="447">
        <f t="shared" si="14"/>
        <v>24</v>
      </c>
      <c r="J82" s="448">
        <f t="shared" si="15"/>
        <v>6829.4520432482313</v>
      </c>
      <c r="K82" s="448">
        <f t="shared" si="16"/>
        <v>110.1130888300184</v>
      </c>
      <c r="L82" s="448">
        <f t="shared" si="25"/>
        <v>165.80567347376589</v>
      </c>
      <c r="M82" s="448">
        <f t="shared" si="8"/>
        <v>49.665377214681179</v>
      </c>
      <c r="N82" s="449">
        <f t="shared" si="17"/>
        <v>7155.0361827666966</v>
      </c>
      <c r="O82" s="449">
        <f t="shared" si="18"/>
        <v>-325.58413951846524</v>
      </c>
      <c r="Q82" s="488">
        <v>45784</v>
      </c>
      <c r="R82" s="489">
        <f t="shared" si="19"/>
        <v>325.58413951846524</v>
      </c>
      <c r="S82" s="490">
        <f t="shared" si="20"/>
        <v>12</v>
      </c>
      <c r="T82" s="491">
        <f t="shared" si="21"/>
        <v>2.6142448393711892</v>
      </c>
      <c r="U82" s="491">
        <f t="shared" si="22"/>
        <v>3.9285700173622837</v>
      </c>
      <c r="V82" s="491">
        <f t="shared" si="23"/>
        <v>1.1777066742120252</v>
      </c>
      <c r="W82" s="489">
        <f t="shared" si="24"/>
        <v>333.30466104941075</v>
      </c>
      <c r="X82" s="491">
        <v>333.30466104941075</v>
      </c>
    </row>
    <row r="83" spans="1:24" ht="33" customHeight="1">
      <c r="A83" s="75">
        <v>8</v>
      </c>
      <c r="B83" s="335" t="str">
        <f t="shared" si="9"/>
        <v/>
      </c>
      <c r="C83" s="337" t="str">
        <f t="shared" si="10"/>
        <v/>
      </c>
      <c r="D83" s="337" t="str">
        <f t="shared" si="11"/>
        <v/>
      </c>
      <c r="E83" s="148" t="str">
        <f t="shared" si="7"/>
        <v/>
      </c>
      <c r="F83" s="148" t="str">
        <f t="shared" si="12"/>
        <v/>
      </c>
      <c r="G83" s="148" t="str">
        <f t="shared" si="13"/>
        <v/>
      </c>
      <c r="H83" s="363" t="str">
        <f t="shared" ref="H83:H109" si="26">IF(B83="","",E23)</f>
        <v/>
      </c>
      <c r="I83" s="122" t="str">
        <f t="shared" si="14"/>
        <v/>
      </c>
      <c r="J83" s="377" t="str">
        <f t="shared" si="15"/>
        <v/>
      </c>
      <c r="K83" s="377">
        <f t="shared" si="16"/>
        <v>0</v>
      </c>
      <c r="L83" s="377">
        <f t="shared" si="25"/>
        <v>0</v>
      </c>
      <c r="M83" s="377">
        <f t="shared" si="8"/>
        <v>0</v>
      </c>
      <c r="N83" s="378">
        <f t="shared" si="17"/>
        <v>0</v>
      </c>
    </row>
    <row r="84" spans="1:24" ht="33" hidden="1" customHeight="1">
      <c r="A84" s="75">
        <v>9</v>
      </c>
      <c r="B84" s="335" t="str">
        <f t="shared" si="9"/>
        <v/>
      </c>
      <c r="C84" s="337" t="str">
        <f t="shared" si="10"/>
        <v/>
      </c>
      <c r="D84" s="337" t="str">
        <f t="shared" si="11"/>
        <v/>
      </c>
      <c r="E84" s="148" t="str">
        <f t="shared" si="7"/>
        <v/>
      </c>
      <c r="F84" s="148" t="str">
        <f t="shared" si="12"/>
        <v/>
      </c>
      <c r="G84" s="148" t="str">
        <f t="shared" si="13"/>
        <v/>
      </c>
      <c r="H84" s="363" t="str">
        <f t="shared" si="26"/>
        <v/>
      </c>
      <c r="I84" s="122" t="str">
        <f t="shared" si="14"/>
        <v/>
      </c>
      <c r="J84" s="377" t="str">
        <f t="shared" si="15"/>
        <v/>
      </c>
      <c r="K84" s="377">
        <f t="shared" si="16"/>
        <v>0</v>
      </c>
      <c r="L84" s="377">
        <f t="shared" si="25"/>
        <v>0</v>
      </c>
      <c r="M84" s="377">
        <f t="shared" si="8"/>
        <v>0</v>
      </c>
      <c r="N84" s="378">
        <f t="shared" si="17"/>
        <v>0</v>
      </c>
    </row>
    <row r="85" spans="1:24" ht="33" hidden="1" customHeight="1">
      <c r="A85" s="75">
        <v>10</v>
      </c>
      <c r="B85" s="335" t="str">
        <f t="shared" si="9"/>
        <v/>
      </c>
      <c r="C85" s="337" t="str">
        <f t="shared" si="10"/>
        <v/>
      </c>
      <c r="D85" s="337" t="str">
        <f t="shared" si="11"/>
        <v/>
      </c>
      <c r="E85" s="148" t="str">
        <f t="shared" si="7"/>
        <v/>
      </c>
      <c r="F85" s="148" t="str">
        <f t="shared" si="12"/>
        <v/>
      </c>
      <c r="G85" s="148" t="str">
        <f t="shared" si="13"/>
        <v/>
      </c>
      <c r="H85" s="363" t="str">
        <f t="shared" si="26"/>
        <v/>
      </c>
      <c r="I85" s="122" t="str">
        <f t="shared" si="14"/>
        <v/>
      </c>
      <c r="J85" s="377" t="str">
        <f t="shared" si="15"/>
        <v/>
      </c>
      <c r="K85" s="377">
        <f t="shared" si="16"/>
        <v>0</v>
      </c>
      <c r="L85" s="377">
        <f t="shared" si="25"/>
        <v>0</v>
      </c>
      <c r="M85" s="377">
        <f t="shared" si="8"/>
        <v>0</v>
      </c>
      <c r="N85" s="378">
        <f t="shared" si="17"/>
        <v>0</v>
      </c>
    </row>
    <row r="86" spans="1:24" ht="33" hidden="1" customHeight="1">
      <c r="A86" s="75">
        <v>11</v>
      </c>
      <c r="B86" s="335" t="str">
        <f t="shared" si="9"/>
        <v/>
      </c>
      <c r="C86" s="337" t="str">
        <f t="shared" si="10"/>
        <v/>
      </c>
      <c r="D86" s="337" t="str">
        <f t="shared" si="11"/>
        <v/>
      </c>
      <c r="E86" s="148" t="str">
        <f t="shared" si="7"/>
        <v/>
      </c>
      <c r="F86" s="148" t="str">
        <f t="shared" si="12"/>
        <v/>
      </c>
      <c r="G86" s="148" t="str">
        <f t="shared" si="13"/>
        <v/>
      </c>
      <c r="H86" s="363" t="str">
        <f t="shared" si="26"/>
        <v/>
      </c>
      <c r="I86" s="122" t="str">
        <f t="shared" si="14"/>
        <v/>
      </c>
      <c r="J86" s="377" t="str">
        <f t="shared" si="15"/>
        <v/>
      </c>
      <c r="K86" s="377">
        <f t="shared" si="16"/>
        <v>0</v>
      </c>
      <c r="L86" s="377">
        <f t="shared" si="25"/>
        <v>0</v>
      </c>
      <c r="M86" s="377">
        <f t="shared" si="8"/>
        <v>0</v>
      </c>
      <c r="N86" s="378">
        <f t="shared" si="17"/>
        <v>0</v>
      </c>
    </row>
    <row r="87" spans="1:24" ht="33" hidden="1" customHeight="1">
      <c r="A87" s="75">
        <v>12</v>
      </c>
      <c r="B87" s="335" t="str">
        <f t="shared" si="9"/>
        <v/>
      </c>
      <c r="C87" s="337" t="str">
        <f t="shared" si="10"/>
        <v/>
      </c>
      <c r="D87" s="337" t="str">
        <f t="shared" si="11"/>
        <v/>
      </c>
      <c r="E87" s="148" t="str">
        <f t="shared" si="7"/>
        <v/>
      </c>
      <c r="F87" s="148" t="str">
        <f t="shared" si="12"/>
        <v/>
      </c>
      <c r="G87" s="148" t="str">
        <f t="shared" si="13"/>
        <v/>
      </c>
      <c r="H87" s="363" t="str">
        <f t="shared" si="26"/>
        <v/>
      </c>
      <c r="I87" s="122" t="str">
        <f t="shared" si="14"/>
        <v/>
      </c>
      <c r="J87" s="377" t="str">
        <f t="shared" si="15"/>
        <v/>
      </c>
      <c r="K87" s="377">
        <f t="shared" si="16"/>
        <v>0</v>
      </c>
      <c r="L87" s="377">
        <f t="shared" si="25"/>
        <v>0</v>
      </c>
      <c r="M87" s="377">
        <f t="shared" si="8"/>
        <v>0</v>
      </c>
      <c r="N87" s="378">
        <f t="shared" si="17"/>
        <v>0</v>
      </c>
    </row>
    <row r="88" spans="1:24" ht="33" hidden="1" customHeight="1">
      <c r="A88" s="75">
        <v>13</v>
      </c>
      <c r="B88" s="335" t="str">
        <f t="shared" si="9"/>
        <v/>
      </c>
      <c r="C88" s="337" t="str">
        <f t="shared" si="10"/>
        <v/>
      </c>
      <c r="D88" s="337" t="str">
        <f t="shared" si="11"/>
        <v/>
      </c>
      <c r="E88" s="148" t="str">
        <f t="shared" si="7"/>
        <v/>
      </c>
      <c r="F88" s="148" t="str">
        <f t="shared" si="12"/>
        <v/>
      </c>
      <c r="G88" s="148" t="str">
        <f t="shared" si="13"/>
        <v/>
      </c>
      <c r="H88" s="363" t="str">
        <f t="shared" si="26"/>
        <v/>
      </c>
      <c r="I88" s="122" t="str">
        <f t="shared" si="14"/>
        <v/>
      </c>
      <c r="J88" s="377" t="str">
        <f t="shared" si="15"/>
        <v/>
      </c>
      <c r="K88" s="377">
        <f t="shared" si="16"/>
        <v>0</v>
      </c>
      <c r="L88" s="377">
        <f t="shared" si="25"/>
        <v>0</v>
      </c>
      <c r="M88" s="377">
        <f t="shared" si="8"/>
        <v>0</v>
      </c>
      <c r="N88" s="378">
        <f t="shared" si="17"/>
        <v>0</v>
      </c>
    </row>
    <row r="89" spans="1:24" ht="33" hidden="1" customHeight="1">
      <c r="A89" s="75">
        <v>14</v>
      </c>
      <c r="B89" s="335" t="str">
        <f t="shared" si="9"/>
        <v/>
      </c>
      <c r="C89" s="337" t="str">
        <f t="shared" si="10"/>
        <v/>
      </c>
      <c r="D89" s="337" t="str">
        <f t="shared" si="11"/>
        <v/>
      </c>
      <c r="E89" s="148" t="str">
        <f t="shared" si="7"/>
        <v/>
      </c>
      <c r="F89" s="148" t="str">
        <f t="shared" si="12"/>
        <v/>
      </c>
      <c r="G89" s="148" t="str">
        <f t="shared" si="13"/>
        <v/>
      </c>
      <c r="H89" s="363" t="str">
        <f t="shared" si="26"/>
        <v/>
      </c>
      <c r="I89" s="122" t="str">
        <f t="shared" si="14"/>
        <v/>
      </c>
      <c r="J89" s="377" t="str">
        <f t="shared" si="15"/>
        <v/>
      </c>
      <c r="K89" s="377">
        <f t="shared" si="16"/>
        <v>0</v>
      </c>
      <c r="L89" s="377">
        <f t="shared" si="25"/>
        <v>0</v>
      </c>
      <c r="M89" s="377">
        <f t="shared" si="8"/>
        <v>0</v>
      </c>
      <c r="N89" s="378">
        <f t="shared" si="17"/>
        <v>0</v>
      </c>
    </row>
    <row r="90" spans="1:24" ht="33" hidden="1" customHeight="1">
      <c r="A90" s="75">
        <v>15</v>
      </c>
      <c r="B90" s="335" t="str">
        <f t="shared" si="9"/>
        <v/>
      </c>
      <c r="C90" s="337" t="str">
        <f t="shared" si="10"/>
        <v/>
      </c>
      <c r="D90" s="337" t="str">
        <f t="shared" si="11"/>
        <v/>
      </c>
      <c r="E90" s="148" t="str">
        <f t="shared" si="7"/>
        <v/>
      </c>
      <c r="F90" s="148" t="str">
        <f t="shared" si="12"/>
        <v/>
      </c>
      <c r="G90" s="148" t="str">
        <f t="shared" si="13"/>
        <v/>
      </c>
      <c r="H90" s="363" t="str">
        <f t="shared" si="26"/>
        <v/>
      </c>
      <c r="I90" s="122" t="str">
        <f t="shared" si="14"/>
        <v/>
      </c>
      <c r="J90" s="377" t="str">
        <f t="shared" si="15"/>
        <v/>
      </c>
      <c r="K90" s="377">
        <f t="shared" si="16"/>
        <v>0</v>
      </c>
      <c r="L90" s="377">
        <f t="shared" si="25"/>
        <v>0</v>
      </c>
      <c r="M90" s="377">
        <f t="shared" si="8"/>
        <v>0</v>
      </c>
      <c r="N90" s="378">
        <f t="shared" si="17"/>
        <v>0</v>
      </c>
    </row>
    <row r="91" spans="1:24" ht="33" hidden="1" customHeight="1">
      <c r="A91" s="75">
        <v>16</v>
      </c>
      <c r="B91" s="335" t="str">
        <f t="shared" si="9"/>
        <v/>
      </c>
      <c r="C91" s="337" t="str">
        <f t="shared" si="10"/>
        <v/>
      </c>
      <c r="D91" s="337" t="str">
        <f t="shared" si="11"/>
        <v/>
      </c>
      <c r="E91" s="148" t="str">
        <f t="shared" si="7"/>
        <v/>
      </c>
      <c r="F91" s="148" t="str">
        <f t="shared" si="12"/>
        <v/>
      </c>
      <c r="G91" s="148" t="str">
        <f t="shared" si="13"/>
        <v/>
      </c>
      <c r="H91" s="363" t="str">
        <f t="shared" si="26"/>
        <v/>
      </c>
      <c r="I91" s="122" t="str">
        <f t="shared" si="14"/>
        <v/>
      </c>
      <c r="J91" s="377" t="str">
        <f t="shared" si="15"/>
        <v/>
      </c>
      <c r="K91" s="377">
        <f t="shared" si="16"/>
        <v>0</v>
      </c>
      <c r="L91" s="377">
        <f t="shared" si="25"/>
        <v>0</v>
      </c>
      <c r="M91" s="377">
        <f t="shared" si="8"/>
        <v>0</v>
      </c>
      <c r="N91" s="378">
        <f t="shared" si="17"/>
        <v>0</v>
      </c>
    </row>
    <row r="92" spans="1:24" ht="33" hidden="1" customHeight="1">
      <c r="A92" s="75">
        <v>17</v>
      </c>
      <c r="B92" s="335" t="str">
        <f t="shared" si="9"/>
        <v/>
      </c>
      <c r="C92" s="337" t="str">
        <f t="shared" si="10"/>
        <v/>
      </c>
      <c r="D92" s="337" t="str">
        <f t="shared" si="11"/>
        <v/>
      </c>
      <c r="E92" s="148" t="str">
        <f t="shared" si="7"/>
        <v/>
      </c>
      <c r="F92" s="148" t="str">
        <f t="shared" si="12"/>
        <v/>
      </c>
      <c r="G92" s="148" t="str">
        <f t="shared" si="13"/>
        <v/>
      </c>
      <c r="H92" s="363" t="str">
        <f t="shared" si="26"/>
        <v/>
      </c>
      <c r="I92" s="122" t="str">
        <f t="shared" si="14"/>
        <v/>
      </c>
      <c r="J92" s="377" t="str">
        <f t="shared" si="15"/>
        <v/>
      </c>
      <c r="K92" s="377">
        <f t="shared" si="16"/>
        <v>0</v>
      </c>
      <c r="L92" s="377">
        <f t="shared" si="25"/>
        <v>0</v>
      </c>
      <c r="M92" s="377">
        <f t="shared" si="8"/>
        <v>0</v>
      </c>
      <c r="N92" s="378">
        <f t="shared" si="17"/>
        <v>0</v>
      </c>
    </row>
    <row r="93" spans="1:24" ht="33" hidden="1" customHeight="1">
      <c r="A93" s="75">
        <v>18</v>
      </c>
      <c r="B93" s="335" t="str">
        <f t="shared" si="9"/>
        <v/>
      </c>
      <c r="C93" s="337" t="str">
        <f t="shared" si="10"/>
        <v/>
      </c>
      <c r="D93" s="337" t="str">
        <f t="shared" si="11"/>
        <v/>
      </c>
      <c r="E93" s="148" t="str">
        <f t="shared" si="7"/>
        <v/>
      </c>
      <c r="F93" s="148" t="str">
        <f t="shared" si="12"/>
        <v/>
      </c>
      <c r="G93" s="148" t="str">
        <f t="shared" si="13"/>
        <v/>
      </c>
      <c r="H93" s="363" t="str">
        <f t="shared" si="26"/>
        <v/>
      </c>
      <c r="I93" s="122" t="str">
        <f t="shared" si="14"/>
        <v/>
      </c>
      <c r="J93" s="377" t="str">
        <f t="shared" si="15"/>
        <v/>
      </c>
      <c r="K93" s="377">
        <f t="shared" si="16"/>
        <v>0</v>
      </c>
      <c r="L93" s="377">
        <f t="shared" si="25"/>
        <v>0</v>
      </c>
      <c r="M93" s="377">
        <f t="shared" si="8"/>
        <v>0</v>
      </c>
      <c r="N93" s="378">
        <f t="shared" si="17"/>
        <v>0</v>
      </c>
    </row>
    <row r="94" spans="1:24" ht="33" hidden="1" customHeight="1">
      <c r="A94" s="75">
        <v>19</v>
      </c>
      <c r="B94" s="335" t="str">
        <f t="shared" si="9"/>
        <v/>
      </c>
      <c r="C94" s="337" t="str">
        <f t="shared" si="10"/>
        <v/>
      </c>
      <c r="D94" s="337" t="str">
        <f t="shared" si="11"/>
        <v/>
      </c>
      <c r="E94" s="148" t="str">
        <f t="shared" si="7"/>
        <v/>
      </c>
      <c r="F94" s="148" t="str">
        <f t="shared" si="12"/>
        <v/>
      </c>
      <c r="G94" s="148" t="str">
        <f t="shared" si="13"/>
        <v/>
      </c>
      <c r="H94" s="363" t="str">
        <f t="shared" si="26"/>
        <v/>
      </c>
      <c r="I94" s="122" t="str">
        <f t="shared" si="14"/>
        <v/>
      </c>
      <c r="J94" s="377" t="str">
        <f t="shared" si="15"/>
        <v/>
      </c>
      <c r="K94" s="377">
        <f t="shared" si="16"/>
        <v>0</v>
      </c>
      <c r="L94" s="377">
        <f t="shared" si="25"/>
        <v>0</v>
      </c>
      <c r="M94" s="377">
        <f t="shared" si="8"/>
        <v>0</v>
      </c>
      <c r="N94" s="378">
        <f t="shared" si="17"/>
        <v>0</v>
      </c>
    </row>
    <row r="95" spans="1:24" ht="33" hidden="1" customHeight="1">
      <c r="A95" s="75">
        <v>20</v>
      </c>
      <c r="B95" s="335" t="str">
        <f t="shared" si="9"/>
        <v/>
      </c>
      <c r="C95" s="337" t="str">
        <f t="shared" si="10"/>
        <v/>
      </c>
      <c r="D95" s="337" t="str">
        <f t="shared" si="11"/>
        <v/>
      </c>
      <c r="E95" s="148" t="str">
        <f t="shared" si="7"/>
        <v/>
      </c>
      <c r="F95" s="148" t="str">
        <f t="shared" si="12"/>
        <v/>
      </c>
      <c r="G95" s="148" t="str">
        <f t="shared" si="13"/>
        <v/>
      </c>
      <c r="H95" s="363" t="str">
        <f t="shared" si="26"/>
        <v/>
      </c>
      <c r="I95" s="122" t="str">
        <f t="shared" si="14"/>
        <v/>
      </c>
      <c r="J95" s="377" t="str">
        <f t="shared" si="15"/>
        <v/>
      </c>
      <c r="K95" s="377">
        <f t="shared" si="16"/>
        <v>0</v>
      </c>
      <c r="L95" s="377">
        <f t="shared" si="25"/>
        <v>0</v>
      </c>
      <c r="M95" s="377">
        <f t="shared" si="8"/>
        <v>0</v>
      </c>
      <c r="N95" s="378">
        <f t="shared" si="17"/>
        <v>0</v>
      </c>
    </row>
    <row r="96" spans="1:24" ht="33" hidden="1" customHeight="1">
      <c r="A96" s="75">
        <v>21</v>
      </c>
      <c r="B96" s="335" t="str">
        <f t="shared" si="9"/>
        <v/>
      </c>
      <c r="C96" s="337" t="str">
        <f t="shared" si="10"/>
        <v/>
      </c>
      <c r="D96" s="337" t="str">
        <f t="shared" si="11"/>
        <v/>
      </c>
      <c r="E96" s="148" t="str">
        <f t="shared" si="7"/>
        <v/>
      </c>
      <c r="F96" s="148" t="str">
        <f t="shared" si="12"/>
        <v/>
      </c>
      <c r="G96" s="148" t="str">
        <f t="shared" si="13"/>
        <v/>
      </c>
      <c r="H96" s="363" t="str">
        <f t="shared" si="26"/>
        <v/>
      </c>
      <c r="I96" s="122" t="str">
        <f t="shared" si="14"/>
        <v/>
      </c>
      <c r="J96" s="377" t="str">
        <f t="shared" si="15"/>
        <v/>
      </c>
      <c r="K96" s="377">
        <f t="shared" si="16"/>
        <v>0</v>
      </c>
      <c r="L96" s="377">
        <f t="shared" si="25"/>
        <v>0</v>
      </c>
      <c r="M96" s="377">
        <f t="shared" si="8"/>
        <v>0</v>
      </c>
      <c r="N96" s="378">
        <f t="shared" si="17"/>
        <v>0</v>
      </c>
    </row>
    <row r="97" spans="1:14" ht="33" hidden="1" customHeight="1">
      <c r="A97" s="75">
        <v>22</v>
      </c>
      <c r="B97" s="335" t="str">
        <f t="shared" si="9"/>
        <v/>
      </c>
      <c r="C97" s="337" t="str">
        <f t="shared" si="10"/>
        <v/>
      </c>
      <c r="D97" s="337" t="str">
        <f t="shared" si="11"/>
        <v/>
      </c>
      <c r="E97" s="148" t="str">
        <f t="shared" si="7"/>
        <v/>
      </c>
      <c r="F97" s="148" t="str">
        <f t="shared" si="12"/>
        <v/>
      </c>
      <c r="G97" s="148" t="str">
        <f t="shared" si="13"/>
        <v/>
      </c>
      <c r="H97" s="363" t="str">
        <f t="shared" si="26"/>
        <v/>
      </c>
      <c r="I97" s="122" t="str">
        <f t="shared" si="14"/>
        <v/>
      </c>
      <c r="J97" s="377" t="str">
        <f t="shared" si="15"/>
        <v/>
      </c>
      <c r="K97" s="377">
        <f t="shared" si="16"/>
        <v>0</v>
      </c>
      <c r="L97" s="377">
        <f t="shared" si="25"/>
        <v>0</v>
      </c>
      <c r="M97" s="377">
        <f t="shared" si="8"/>
        <v>0</v>
      </c>
      <c r="N97" s="378">
        <f t="shared" si="17"/>
        <v>0</v>
      </c>
    </row>
    <row r="98" spans="1:14" ht="33" hidden="1" customHeight="1">
      <c r="A98" s="75">
        <v>23</v>
      </c>
      <c r="B98" s="335" t="str">
        <f t="shared" si="9"/>
        <v/>
      </c>
      <c r="C98" s="337" t="str">
        <f t="shared" si="10"/>
        <v/>
      </c>
      <c r="D98" s="337" t="str">
        <f t="shared" si="11"/>
        <v/>
      </c>
      <c r="E98" s="148" t="str">
        <f t="shared" si="7"/>
        <v/>
      </c>
      <c r="F98" s="148" t="str">
        <f t="shared" si="12"/>
        <v/>
      </c>
      <c r="G98" s="148" t="str">
        <f t="shared" si="13"/>
        <v/>
      </c>
      <c r="H98" s="363" t="str">
        <f t="shared" si="26"/>
        <v/>
      </c>
      <c r="I98" s="122" t="str">
        <f t="shared" si="14"/>
        <v/>
      </c>
      <c r="J98" s="377" t="str">
        <f t="shared" si="15"/>
        <v/>
      </c>
      <c r="K98" s="377">
        <f t="shared" si="16"/>
        <v>0</v>
      </c>
      <c r="L98" s="377">
        <f t="shared" si="25"/>
        <v>0</v>
      </c>
      <c r="M98" s="377">
        <f t="shared" si="8"/>
        <v>0</v>
      </c>
      <c r="N98" s="378">
        <f t="shared" si="17"/>
        <v>0</v>
      </c>
    </row>
    <row r="99" spans="1:14" ht="33" hidden="1" customHeight="1">
      <c r="A99" s="75">
        <v>24</v>
      </c>
      <c r="B99" s="335" t="str">
        <f t="shared" si="9"/>
        <v/>
      </c>
      <c r="C99" s="337" t="str">
        <f t="shared" si="10"/>
        <v/>
      </c>
      <c r="D99" s="337" t="str">
        <f t="shared" si="11"/>
        <v/>
      </c>
      <c r="E99" s="148" t="str">
        <f t="shared" si="7"/>
        <v/>
      </c>
      <c r="F99" s="148" t="str">
        <f t="shared" si="12"/>
        <v/>
      </c>
      <c r="G99" s="148" t="str">
        <f t="shared" si="13"/>
        <v/>
      </c>
      <c r="H99" s="363" t="str">
        <f t="shared" si="26"/>
        <v/>
      </c>
      <c r="I99" s="122" t="str">
        <f t="shared" si="14"/>
        <v/>
      </c>
      <c r="J99" s="377" t="str">
        <f t="shared" si="15"/>
        <v/>
      </c>
      <c r="K99" s="377">
        <f t="shared" si="16"/>
        <v>0</v>
      </c>
      <c r="L99" s="377">
        <f t="shared" si="25"/>
        <v>0</v>
      </c>
      <c r="M99" s="377">
        <f t="shared" si="8"/>
        <v>0</v>
      </c>
      <c r="N99" s="378">
        <f t="shared" si="17"/>
        <v>0</v>
      </c>
    </row>
    <row r="100" spans="1:14" ht="33" hidden="1" customHeight="1">
      <c r="A100" s="75">
        <v>25</v>
      </c>
      <c r="B100" s="335" t="str">
        <f t="shared" si="9"/>
        <v/>
      </c>
      <c r="C100" s="337" t="str">
        <f t="shared" si="10"/>
        <v/>
      </c>
      <c r="D100" s="337" t="str">
        <f t="shared" si="11"/>
        <v/>
      </c>
      <c r="E100" s="148" t="str">
        <f t="shared" si="7"/>
        <v/>
      </c>
      <c r="F100" s="148" t="str">
        <f t="shared" si="12"/>
        <v/>
      </c>
      <c r="G100" s="148" t="str">
        <f t="shared" si="13"/>
        <v/>
      </c>
      <c r="H100" s="363" t="str">
        <f t="shared" si="26"/>
        <v/>
      </c>
      <c r="I100" s="122" t="str">
        <f t="shared" si="14"/>
        <v/>
      </c>
      <c r="J100" s="377" t="str">
        <f t="shared" si="15"/>
        <v/>
      </c>
      <c r="K100" s="377">
        <f t="shared" si="16"/>
        <v>0</v>
      </c>
      <c r="L100" s="377">
        <f t="shared" si="25"/>
        <v>0</v>
      </c>
      <c r="M100" s="377">
        <f t="shared" si="8"/>
        <v>0</v>
      </c>
      <c r="N100" s="378">
        <f t="shared" si="17"/>
        <v>0</v>
      </c>
    </row>
    <row r="101" spans="1:14" ht="33" hidden="1" customHeight="1">
      <c r="A101" s="75">
        <v>26</v>
      </c>
      <c r="B101" s="335" t="str">
        <f t="shared" si="9"/>
        <v/>
      </c>
      <c r="C101" s="337" t="str">
        <f t="shared" si="10"/>
        <v/>
      </c>
      <c r="D101" s="337" t="str">
        <f t="shared" si="11"/>
        <v/>
      </c>
      <c r="E101" s="148" t="str">
        <f t="shared" si="7"/>
        <v/>
      </c>
      <c r="F101" s="148" t="str">
        <f t="shared" si="12"/>
        <v/>
      </c>
      <c r="G101" s="148" t="str">
        <f t="shared" si="13"/>
        <v/>
      </c>
      <c r="H101" s="363" t="str">
        <f t="shared" si="26"/>
        <v/>
      </c>
      <c r="I101" s="122" t="str">
        <f t="shared" si="14"/>
        <v/>
      </c>
      <c r="J101" s="377" t="str">
        <f t="shared" si="15"/>
        <v/>
      </c>
      <c r="K101" s="377">
        <f t="shared" si="16"/>
        <v>0</v>
      </c>
      <c r="L101" s="377">
        <f t="shared" si="25"/>
        <v>0</v>
      </c>
      <c r="M101" s="377">
        <f t="shared" si="8"/>
        <v>0</v>
      </c>
      <c r="N101" s="378">
        <f t="shared" si="17"/>
        <v>0</v>
      </c>
    </row>
    <row r="102" spans="1:14" ht="33" hidden="1" customHeight="1">
      <c r="A102" s="75">
        <v>27</v>
      </c>
      <c r="B102" s="335" t="str">
        <f t="shared" si="9"/>
        <v/>
      </c>
      <c r="C102" s="337" t="str">
        <f t="shared" si="10"/>
        <v/>
      </c>
      <c r="D102" s="337" t="str">
        <f t="shared" si="11"/>
        <v/>
      </c>
      <c r="E102" s="148" t="str">
        <f t="shared" si="7"/>
        <v/>
      </c>
      <c r="F102" s="148" t="str">
        <f t="shared" si="12"/>
        <v/>
      </c>
      <c r="G102" s="148" t="str">
        <f t="shared" si="13"/>
        <v/>
      </c>
      <c r="H102" s="363" t="str">
        <f t="shared" si="26"/>
        <v/>
      </c>
      <c r="I102" s="122" t="str">
        <f t="shared" si="14"/>
        <v/>
      </c>
      <c r="J102" s="377" t="str">
        <f t="shared" si="15"/>
        <v/>
      </c>
      <c r="K102" s="377">
        <f t="shared" si="16"/>
        <v>0</v>
      </c>
      <c r="L102" s="377">
        <f t="shared" si="25"/>
        <v>0</v>
      </c>
      <c r="M102" s="377">
        <f t="shared" si="8"/>
        <v>0</v>
      </c>
      <c r="N102" s="378">
        <f t="shared" si="17"/>
        <v>0</v>
      </c>
    </row>
    <row r="103" spans="1:14" ht="33" hidden="1" customHeight="1">
      <c r="A103" s="75">
        <v>28</v>
      </c>
      <c r="B103" s="335" t="str">
        <f t="shared" si="9"/>
        <v/>
      </c>
      <c r="C103" s="337" t="str">
        <f t="shared" si="10"/>
        <v/>
      </c>
      <c r="D103" s="337" t="str">
        <f t="shared" si="11"/>
        <v/>
      </c>
      <c r="E103" s="148" t="str">
        <f t="shared" si="7"/>
        <v/>
      </c>
      <c r="F103" s="148" t="str">
        <f t="shared" si="12"/>
        <v/>
      </c>
      <c r="G103" s="148" t="str">
        <f t="shared" si="13"/>
        <v/>
      </c>
      <c r="H103" s="363" t="str">
        <f t="shared" si="26"/>
        <v/>
      </c>
      <c r="I103" s="122" t="str">
        <f t="shared" si="14"/>
        <v/>
      </c>
      <c r="J103" s="377" t="str">
        <f t="shared" si="15"/>
        <v/>
      </c>
      <c r="K103" s="377">
        <f t="shared" si="16"/>
        <v>0</v>
      </c>
      <c r="L103" s="377">
        <f t="shared" si="25"/>
        <v>0</v>
      </c>
      <c r="M103" s="377">
        <f t="shared" si="8"/>
        <v>0</v>
      </c>
      <c r="N103" s="378">
        <f t="shared" si="17"/>
        <v>0</v>
      </c>
    </row>
    <row r="104" spans="1:14" ht="33" hidden="1" customHeight="1">
      <c r="A104" s="75">
        <v>29</v>
      </c>
      <c r="B104" s="335" t="str">
        <f t="shared" si="9"/>
        <v/>
      </c>
      <c r="C104" s="337" t="str">
        <f t="shared" si="10"/>
        <v/>
      </c>
      <c r="D104" s="337" t="str">
        <f t="shared" si="11"/>
        <v/>
      </c>
      <c r="E104" s="148" t="str">
        <f t="shared" si="7"/>
        <v/>
      </c>
      <c r="F104" s="148" t="str">
        <f t="shared" si="12"/>
        <v/>
      </c>
      <c r="G104" s="148" t="str">
        <f t="shared" si="13"/>
        <v/>
      </c>
      <c r="H104" s="363" t="str">
        <f t="shared" si="26"/>
        <v/>
      </c>
      <c r="I104" s="122" t="str">
        <f t="shared" si="14"/>
        <v/>
      </c>
      <c r="J104" s="377" t="str">
        <f t="shared" si="15"/>
        <v/>
      </c>
      <c r="K104" s="377">
        <f t="shared" si="16"/>
        <v>0</v>
      </c>
      <c r="L104" s="377">
        <f t="shared" si="25"/>
        <v>0</v>
      </c>
      <c r="M104" s="377">
        <f t="shared" si="8"/>
        <v>0</v>
      </c>
      <c r="N104" s="378">
        <f t="shared" si="17"/>
        <v>0</v>
      </c>
    </row>
    <row r="105" spans="1:14" ht="33" hidden="1" customHeight="1">
      <c r="A105" s="75">
        <v>30</v>
      </c>
      <c r="B105" s="335" t="str">
        <f t="shared" si="9"/>
        <v/>
      </c>
      <c r="C105" s="337" t="str">
        <f t="shared" si="10"/>
        <v/>
      </c>
      <c r="D105" s="337" t="str">
        <f t="shared" si="11"/>
        <v/>
      </c>
      <c r="E105" s="148" t="str">
        <f t="shared" si="7"/>
        <v/>
      </c>
      <c r="F105" s="148" t="str">
        <f t="shared" si="12"/>
        <v/>
      </c>
      <c r="G105" s="148" t="str">
        <f t="shared" si="13"/>
        <v/>
      </c>
      <c r="H105" s="363" t="str">
        <f t="shared" si="26"/>
        <v/>
      </c>
      <c r="I105" s="122" t="str">
        <f t="shared" si="14"/>
        <v/>
      </c>
      <c r="J105" s="377" t="str">
        <f t="shared" si="15"/>
        <v/>
      </c>
      <c r="K105" s="377">
        <f t="shared" si="16"/>
        <v>0</v>
      </c>
      <c r="L105" s="377">
        <f t="shared" si="25"/>
        <v>0</v>
      </c>
      <c r="M105" s="377">
        <f t="shared" si="8"/>
        <v>0</v>
      </c>
      <c r="N105" s="378">
        <f t="shared" si="17"/>
        <v>0</v>
      </c>
    </row>
    <row r="106" spans="1:14" ht="33" hidden="1" customHeight="1">
      <c r="A106" s="75">
        <v>31</v>
      </c>
      <c r="B106" s="335" t="str">
        <f t="shared" si="9"/>
        <v/>
      </c>
      <c r="C106" s="337" t="str">
        <f t="shared" si="10"/>
        <v/>
      </c>
      <c r="D106" s="337" t="str">
        <f t="shared" si="11"/>
        <v/>
      </c>
      <c r="E106" s="148" t="str">
        <f t="shared" si="7"/>
        <v/>
      </c>
      <c r="F106" s="148" t="str">
        <f t="shared" si="12"/>
        <v/>
      </c>
      <c r="G106" s="148" t="str">
        <f t="shared" si="13"/>
        <v/>
      </c>
      <c r="H106" s="363" t="str">
        <f t="shared" si="26"/>
        <v/>
      </c>
      <c r="I106" s="122" t="str">
        <f t="shared" si="14"/>
        <v/>
      </c>
      <c r="J106" s="377" t="str">
        <f t="shared" si="15"/>
        <v/>
      </c>
      <c r="K106" s="377">
        <f t="shared" si="16"/>
        <v>0</v>
      </c>
      <c r="L106" s="377">
        <f t="shared" si="25"/>
        <v>0</v>
      </c>
      <c r="M106" s="377">
        <f t="shared" si="8"/>
        <v>0</v>
      </c>
      <c r="N106" s="378">
        <f t="shared" si="17"/>
        <v>0</v>
      </c>
    </row>
    <row r="107" spans="1:14" ht="33" hidden="1" customHeight="1">
      <c r="A107" s="75">
        <v>32</v>
      </c>
      <c r="B107" s="335" t="str">
        <f t="shared" si="9"/>
        <v/>
      </c>
      <c r="C107" s="337" t="str">
        <f t="shared" si="10"/>
        <v/>
      </c>
      <c r="D107" s="337" t="str">
        <f t="shared" si="11"/>
        <v/>
      </c>
      <c r="E107" s="148" t="str">
        <f t="shared" si="7"/>
        <v/>
      </c>
      <c r="F107" s="148" t="str">
        <f t="shared" si="12"/>
        <v/>
      </c>
      <c r="G107" s="148" t="str">
        <f t="shared" si="13"/>
        <v/>
      </c>
      <c r="H107" s="363" t="str">
        <f t="shared" si="26"/>
        <v/>
      </c>
      <c r="I107" s="122" t="str">
        <f t="shared" si="14"/>
        <v/>
      </c>
      <c r="J107" s="377" t="str">
        <f t="shared" si="15"/>
        <v/>
      </c>
      <c r="K107" s="377">
        <f t="shared" si="16"/>
        <v>0</v>
      </c>
      <c r="L107" s="377">
        <f t="shared" si="25"/>
        <v>0</v>
      </c>
      <c r="M107" s="377">
        <f t="shared" si="8"/>
        <v>0</v>
      </c>
      <c r="N107" s="378">
        <f t="shared" si="17"/>
        <v>0</v>
      </c>
    </row>
    <row r="108" spans="1:14" ht="33" hidden="1" customHeight="1">
      <c r="A108" s="75">
        <v>33</v>
      </c>
      <c r="B108" s="335" t="str">
        <f t="shared" si="9"/>
        <v/>
      </c>
      <c r="C108" s="337" t="str">
        <f t="shared" si="10"/>
        <v/>
      </c>
      <c r="D108" s="337" t="str">
        <f t="shared" si="11"/>
        <v/>
      </c>
      <c r="E108" s="148" t="str">
        <f t="shared" si="7"/>
        <v/>
      </c>
      <c r="F108" s="148" t="str">
        <f t="shared" si="12"/>
        <v/>
      </c>
      <c r="G108" s="148" t="str">
        <f t="shared" si="13"/>
        <v/>
      </c>
      <c r="H108" s="363" t="str">
        <f t="shared" si="26"/>
        <v/>
      </c>
      <c r="I108" s="122" t="str">
        <f t="shared" si="14"/>
        <v/>
      </c>
      <c r="J108" s="377" t="str">
        <f t="shared" si="15"/>
        <v/>
      </c>
      <c r="K108" s="377">
        <f t="shared" si="16"/>
        <v>0</v>
      </c>
      <c r="L108" s="377">
        <f t="shared" si="25"/>
        <v>0</v>
      </c>
      <c r="M108" s="377">
        <f t="shared" si="8"/>
        <v>0</v>
      </c>
      <c r="N108" s="378">
        <f t="shared" si="17"/>
        <v>0</v>
      </c>
    </row>
    <row r="109" spans="1:14" ht="33" hidden="1" customHeight="1">
      <c r="A109" s="75">
        <v>34</v>
      </c>
      <c r="B109" s="335" t="str">
        <f t="shared" si="9"/>
        <v/>
      </c>
      <c r="C109" s="337" t="str">
        <f t="shared" si="10"/>
        <v/>
      </c>
      <c r="D109" s="337" t="str">
        <f t="shared" si="11"/>
        <v/>
      </c>
      <c r="E109" s="148" t="str">
        <f t="shared" si="7"/>
        <v/>
      </c>
      <c r="F109" s="148" t="str">
        <f t="shared" si="12"/>
        <v/>
      </c>
      <c r="G109" s="148" t="str">
        <f t="shared" si="13"/>
        <v/>
      </c>
      <c r="H109" s="363" t="str">
        <f t="shared" si="26"/>
        <v/>
      </c>
      <c r="I109" s="122" t="str">
        <f t="shared" si="14"/>
        <v/>
      </c>
      <c r="J109" s="377" t="str">
        <f t="shared" si="15"/>
        <v/>
      </c>
      <c r="K109" s="377">
        <f t="shared" si="16"/>
        <v>0</v>
      </c>
      <c r="L109" s="377">
        <f t="shared" si="25"/>
        <v>0</v>
      </c>
      <c r="M109" s="377">
        <f t="shared" si="8"/>
        <v>0</v>
      </c>
      <c r="N109" s="378">
        <f t="shared" si="17"/>
        <v>0</v>
      </c>
    </row>
    <row r="110" spans="1:14" ht="33" hidden="1" customHeight="1">
      <c r="A110" s="75">
        <v>35</v>
      </c>
      <c r="B110" s="335" t="str">
        <f t="shared" si="9"/>
        <v/>
      </c>
      <c r="C110" s="337" t="str">
        <f t="shared" si="10"/>
        <v/>
      </c>
      <c r="D110" s="337" t="str">
        <f t="shared" si="11"/>
        <v/>
      </c>
      <c r="E110" s="148" t="str">
        <f t="shared" si="7"/>
        <v/>
      </c>
      <c r="F110" s="148" t="str">
        <f t="shared" si="12"/>
        <v/>
      </c>
      <c r="G110" s="148" t="str">
        <f t="shared" si="13"/>
        <v/>
      </c>
      <c r="H110" s="363" t="str">
        <f t="shared" ref="H110:H131" si="27">IF(B110="","",E50)</f>
        <v/>
      </c>
      <c r="I110" s="122" t="str">
        <f t="shared" si="14"/>
        <v/>
      </c>
      <c r="J110" s="377" t="str">
        <f t="shared" si="15"/>
        <v/>
      </c>
      <c r="K110" s="377">
        <f t="shared" si="16"/>
        <v>0</v>
      </c>
      <c r="L110" s="377">
        <f t="shared" si="25"/>
        <v>0</v>
      </c>
      <c r="M110" s="377">
        <f t="shared" si="8"/>
        <v>0</v>
      </c>
      <c r="N110" s="378">
        <f t="shared" si="17"/>
        <v>0</v>
      </c>
    </row>
    <row r="111" spans="1:14" ht="33" hidden="1" customHeight="1">
      <c r="A111" s="75">
        <v>36</v>
      </c>
      <c r="B111" s="335" t="str">
        <f t="shared" si="9"/>
        <v/>
      </c>
      <c r="C111" s="337" t="str">
        <f t="shared" si="10"/>
        <v/>
      </c>
      <c r="D111" s="337" t="str">
        <f t="shared" si="11"/>
        <v/>
      </c>
      <c r="E111" s="148" t="str">
        <f t="shared" si="7"/>
        <v/>
      </c>
      <c r="F111" s="148" t="str">
        <f t="shared" si="12"/>
        <v/>
      </c>
      <c r="G111" s="148" t="str">
        <f t="shared" si="13"/>
        <v/>
      </c>
      <c r="H111" s="363" t="str">
        <f t="shared" si="27"/>
        <v/>
      </c>
      <c r="I111" s="122" t="str">
        <f t="shared" si="14"/>
        <v/>
      </c>
      <c r="J111" s="377" t="str">
        <f t="shared" si="15"/>
        <v/>
      </c>
      <c r="K111" s="377">
        <f t="shared" si="16"/>
        <v>0</v>
      </c>
      <c r="L111" s="377">
        <f t="shared" si="25"/>
        <v>0</v>
      </c>
      <c r="M111" s="377">
        <f t="shared" si="8"/>
        <v>0</v>
      </c>
      <c r="N111" s="378">
        <f t="shared" si="17"/>
        <v>0</v>
      </c>
    </row>
    <row r="112" spans="1:14" ht="33" hidden="1" customHeight="1">
      <c r="A112" s="75">
        <v>37</v>
      </c>
      <c r="B112" s="335" t="str">
        <f t="shared" si="9"/>
        <v/>
      </c>
      <c r="C112" s="337" t="str">
        <f t="shared" si="10"/>
        <v/>
      </c>
      <c r="D112" s="337" t="str">
        <f t="shared" si="11"/>
        <v/>
      </c>
      <c r="E112" s="148" t="str">
        <f t="shared" si="7"/>
        <v/>
      </c>
      <c r="F112" s="148" t="str">
        <f t="shared" si="12"/>
        <v/>
      </c>
      <c r="G112" s="148" t="str">
        <f t="shared" si="13"/>
        <v/>
      </c>
      <c r="H112" s="363" t="str">
        <f t="shared" si="27"/>
        <v/>
      </c>
      <c r="I112" s="122" t="str">
        <f t="shared" si="14"/>
        <v/>
      </c>
      <c r="J112" s="377" t="str">
        <f t="shared" si="15"/>
        <v/>
      </c>
      <c r="K112" s="377">
        <f t="shared" si="16"/>
        <v>0</v>
      </c>
      <c r="L112" s="377">
        <f t="shared" si="25"/>
        <v>0</v>
      </c>
      <c r="M112" s="377">
        <f t="shared" si="8"/>
        <v>0</v>
      </c>
      <c r="N112" s="378">
        <f t="shared" si="17"/>
        <v>0</v>
      </c>
    </row>
    <row r="113" spans="1:14" ht="33" hidden="1" customHeight="1">
      <c r="A113" s="75">
        <v>38</v>
      </c>
      <c r="B113" s="335" t="str">
        <f t="shared" si="9"/>
        <v/>
      </c>
      <c r="C113" s="337" t="str">
        <f t="shared" si="10"/>
        <v/>
      </c>
      <c r="D113" s="337" t="str">
        <f t="shared" si="11"/>
        <v/>
      </c>
      <c r="E113" s="148" t="str">
        <f t="shared" si="7"/>
        <v/>
      </c>
      <c r="F113" s="148" t="str">
        <f t="shared" si="12"/>
        <v/>
      </c>
      <c r="G113" s="148" t="str">
        <f t="shared" si="13"/>
        <v/>
      </c>
      <c r="H113" s="363" t="str">
        <f t="shared" si="27"/>
        <v/>
      </c>
      <c r="I113" s="122" t="str">
        <f t="shared" si="14"/>
        <v/>
      </c>
      <c r="J113" s="377" t="str">
        <f t="shared" si="15"/>
        <v/>
      </c>
      <c r="K113" s="377">
        <f t="shared" si="16"/>
        <v>0</v>
      </c>
      <c r="L113" s="377">
        <f t="shared" si="25"/>
        <v>0</v>
      </c>
      <c r="M113" s="377">
        <f t="shared" si="8"/>
        <v>0</v>
      </c>
      <c r="N113" s="378">
        <f t="shared" si="17"/>
        <v>0</v>
      </c>
    </row>
    <row r="114" spans="1:14" ht="33" hidden="1" customHeight="1">
      <c r="A114" s="75">
        <v>39</v>
      </c>
      <c r="B114" s="335" t="str">
        <f t="shared" si="9"/>
        <v/>
      </c>
      <c r="C114" s="337" t="str">
        <f t="shared" si="10"/>
        <v/>
      </c>
      <c r="D114" s="337" t="str">
        <f t="shared" si="11"/>
        <v/>
      </c>
      <c r="E114" s="148" t="str">
        <f t="shared" si="7"/>
        <v/>
      </c>
      <c r="F114" s="148" t="str">
        <f t="shared" si="12"/>
        <v/>
      </c>
      <c r="G114" s="148" t="str">
        <f t="shared" si="13"/>
        <v/>
      </c>
      <c r="H114" s="363" t="str">
        <f t="shared" si="27"/>
        <v/>
      </c>
      <c r="I114" s="122" t="str">
        <f t="shared" si="14"/>
        <v/>
      </c>
      <c r="J114" s="377" t="str">
        <f t="shared" si="15"/>
        <v/>
      </c>
      <c r="K114" s="377">
        <f t="shared" si="16"/>
        <v>0</v>
      </c>
      <c r="L114" s="377">
        <f t="shared" si="25"/>
        <v>0</v>
      </c>
      <c r="M114" s="377">
        <f t="shared" si="8"/>
        <v>0</v>
      </c>
      <c r="N114" s="378">
        <f t="shared" si="17"/>
        <v>0</v>
      </c>
    </row>
    <row r="115" spans="1:14" ht="33" hidden="1" customHeight="1">
      <c r="A115" s="75">
        <v>40</v>
      </c>
      <c r="B115" s="335" t="str">
        <f t="shared" si="9"/>
        <v/>
      </c>
      <c r="C115" s="337" t="str">
        <f t="shared" si="10"/>
        <v/>
      </c>
      <c r="D115" s="337" t="str">
        <f t="shared" si="11"/>
        <v/>
      </c>
      <c r="E115" s="148" t="str">
        <f t="shared" si="7"/>
        <v/>
      </c>
      <c r="F115" s="148" t="str">
        <f t="shared" si="12"/>
        <v/>
      </c>
      <c r="G115" s="148" t="str">
        <f t="shared" si="13"/>
        <v/>
      </c>
      <c r="H115" s="363" t="str">
        <f t="shared" si="27"/>
        <v/>
      </c>
      <c r="I115" s="122" t="str">
        <f t="shared" si="14"/>
        <v/>
      </c>
      <c r="J115" s="377" t="str">
        <f t="shared" si="15"/>
        <v/>
      </c>
      <c r="K115" s="377">
        <f t="shared" si="16"/>
        <v>0</v>
      </c>
      <c r="L115" s="377">
        <f t="shared" si="25"/>
        <v>0</v>
      </c>
      <c r="M115" s="377">
        <f t="shared" si="8"/>
        <v>0</v>
      </c>
      <c r="N115" s="378">
        <f t="shared" si="17"/>
        <v>0</v>
      </c>
    </row>
    <row r="116" spans="1:14" ht="33" hidden="1" customHeight="1">
      <c r="A116" s="75">
        <v>41</v>
      </c>
      <c r="B116" s="335" t="str">
        <f t="shared" si="9"/>
        <v/>
      </c>
      <c r="C116" s="337" t="str">
        <f t="shared" si="10"/>
        <v/>
      </c>
      <c r="D116" s="337" t="str">
        <f t="shared" si="11"/>
        <v/>
      </c>
      <c r="E116" s="148" t="str">
        <f t="shared" si="7"/>
        <v/>
      </c>
      <c r="F116" s="148" t="str">
        <f t="shared" si="12"/>
        <v/>
      </c>
      <c r="G116" s="148" t="str">
        <f t="shared" si="13"/>
        <v/>
      </c>
      <c r="H116" s="363" t="str">
        <f t="shared" si="27"/>
        <v/>
      </c>
      <c r="I116" s="122" t="str">
        <f t="shared" si="14"/>
        <v/>
      </c>
      <c r="J116" s="377" t="str">
        <f t="shared" si="15"/>
        <v/>
      </c>
      <c r="K116" s="377">
        <f t="shared" si="16"/>
        <v>0</v>
      </c>
      <c r="L116" s="377">
        <f t="shared" si="25"/>
        <v>0</v>
      </c>
      <c r="M116" s="377">
        <f t="shared" si="8"/>
        <v>0</v>
      </c>
      <c r="N116" s="378">
        <f t="shared" si="17"/>
        <v>0</v>
      </c>
    </row>
    <row r="117" spans="1:14" ht="33" hidden="1" customHeight="1" outlineLevel="1">
      <c r="A117" s="75">
        <v>42</v>
      </c>
      <c r="B117" s="335" t="str">
        <f t="shared" si="9"/>
        <v/>
      </c>
      <c r="C117" s="337" t="str">
        <f t="shared" si="10"/>
        <v/>
      </c>
      <c r="D117" s="337" t="str">
        <f t="shared" si="11"/>
        <v/>
      </c>
      <c r="E117" s="148" t="str">
        <f t="shared" si="7"/>
        <v/>
      </c>
      <c r="F117" s="148" t="str">
        <f t="shared" si="12"/>
        <v/>
      </c>
      <c r="G117" s="148" t="str">
        <f t="shared" si="13"/>
        <v/>
      </c>
      <c r="H117" s="363" t="str">
        <f t="shared" si="27"/>
        <v/>
      </c>
      <c r="I117" s="122" t="str">
        <f t="shared" si="14"/>
        <v/>
      </c>
      <c r="J117" s="377" t="str">
        <f t="shared" si="15"/>
        <v/>
      </c>
      <c r="K117" s="377">
        <f t="shared" si="16"/>
        <v>0</v>
      </c>
      <c r="L117" s="377">
        <f t="shared" si="25"/>
        <v>0</v>
      </c>
      <c r="M117" s="377">
        <f t="shared" si="8"/>
        <v>0</v>
      </c>
      <c r="N117" s="378">
        <f t="shared" si="17"/>
        <v>0</v>
      </c>
    </row>
    <row r="118" spans="1:14" ht="33" hidden="1" customHeight="1" outlineLevel="1">
      <c r="A118" s="75">
        <v>43</v>
      </c>
      <c r="B118" s="335" t="str">
        <f t="shared" si="9"/>
        <v/>
      </c>
      <c r="C118" s="337" t="str">
        <f t="shared" si="10"/>
        <v/>
      </c>
      <c r="D118" s="337" t="str">
        <f t="shared" si="11"/>
        <v/>
      </c>
      <c r="E118" s="148" t="str">
        <f t="shared" si="7"/>
        <v/>
      </c>
      <c r="F118" s="148" t="str">
        <f t="shared" si="12"/>
        <v/>
      </c>
      <c r="G118" s="148" t="str">
        <f t="shared" si="13"/>
        <v/>
      </c>
      <c r="H118" s="363" t="str">
        <f t="shared" si="27"/>
        <v/>
      </c>
      <c r="I118" s="122" t="str">
        <f t="shared" si="14"/>
        <v/>
      </c>
      <c r="J118" s="377" t="str">
        <f t="shared" si="15"/>
        <v/>
      </c>
      <c r="K118" s="377">
        <f t="shared" si="16"/>
        <v>0</v>
      </c>
      <c r="L118" s="377">
        <f t="shared" si="25"/>
        <v>0</v>
      </c>
      <c r="M118" s="377">
        <f t="shared" si="8"/>
        <v>0</v>
      </c>
      <c r="N118" s="378">
        <f t="shared" si="17"/>
        <v>0</v>
      </c>
    </row>
    <row r="119" spans="1:14" ht="33" hidden="1" customHeight="1" outlineLevel="1">
      <c r="A119" s="75">
        <v>44</v>
      </c>
      <c r="B119" s="335" t="str">
        <f t="shared" si="9"/>
        <v/>
      </c>
      <c r="C119" s="337" t="str">
        <f t="shared" si="10"/>
        <v/>
      </c>
      <c r="D119" s="337" t="str">
        <f t="shared" si="11"/>
        <v/>
      </c>
      <c r="E119" s="148" t="str">
        <f t="shared" si="7"/>
        <v/>
      </c>
      <c r="F119" s="148" t="str">
        <f t="shared" si="12"/>
        <v/>
      </c>
      <c r="G119" s="148" t="str">
        <f t="shared" si="13"/>
        <v/>
      </c>
      <c r="H119" s="363" t="str">
        <f t="shared" si="27"/>
        <v/>
      </c>
      <c r="I119" s="122" t="str">
        <f t="shared" si="14"/>
        <v/>
      </c>
      <c r="J119" s="377" t="str">
        <f t="shared" si="15"/>
        <v/>
      </c>
      <c r="K119" s="377">
        <f t="shared" si="16"/>
        <v>0</v>
      </c>
      <c r="L119" s="377">
        <f t="shared" si="25"/>
        <v>0</v>
      </c>
      <c r="M119" s="377">
        <f t="shared" si="8"/>
        <v>0</v>
      </c>
      <c r="N119" s="378">
        <f t="shared" si="17"/>
        <v>0</v>
      </c>
    </row>
    <row r="120" spans="1:14" ht="33" hidden="1" customHeight="1" outlineLevel="1">
      <c r="A120" s="75">
        <v>45</v>
      </c>
      <c r="B120" s="335" t="str">
        <f t="shared" si="9"/>
        <v/>
      </c>
      <c r="C120" s="337" t="str">
        <f t="shared" si="10"/>
        <v/>
      </c>
      <c r="D120" s="337" t="str">
        <f t="shared" si="11"/>
        <v/>
      </c>
      <c r="E120" s="148" t="str">
        <f t="shared" si="7"/>
        <v/>
      </c>
      <c r="F120" s="148" t="str">
        <f t="shared" si="12"/>
        <v/>
      </c>
      <c r="G120" s="148" t="str">
        <f t="shared" si="13"/>
        <v/>
      </c>
      <c r="H120" s="363" t="str">
        <f t="shared" si="27"/>
        <v/>
      </c>
      <c r="I120" s="122" t="str">
        <f t="shared" si="14"/>
        <v/>
      </c>
      <c r="J120" s="377" t="str">
        <f t="shared" si="15"/>
        <v/>
      </c>
      <c r="K120" s="377">
        <f t="shared" si="16"/>
        <v>0</v>
      </c>
      <c r="L120" s="377">
        <f t="shared" si="25"/>
        <v>0</v>
      </c>
      <c r="M120" s="377">
        <f t="shared" si="8"/>
        <v>0</v>
      </c>
      <c r="N120" s="378">
        <f t="shared" si="17"/>
        <v>0</v>
      </c>
    </row>
    <row r="121" spans="1:14" ht="33" hidden="1" customHeight="1" outlineLevel="1">
      <c r="A121" s="75">
        <v>46</v>
      </c>
      <c r="B121" s="335" t="str">
        <f t="shared" si="9"/>
        <v/>
      </c>
      <c r="C121" s="337" t="str">
        <f t="shared" si="10"/>
        <v/>
      </c>
      <c r="D121" s="337" t="str">
        <f t="shared" si="11"/>
        <v/>
      </c>
      <c r="E121" s="148" t="str">
        <f t="shared" si="7"/>
        <v/>
      </c>
      <c r="F121" s="148" t="str">
        <f t="shared" si="12"/>
        <v/>
      </c>
      <c r="G121" s="148" t="str">
        <f t="shared" si="13"/>
        <v/>
      </c>
      <c r="H121" s="363" t="str">
        <f t="shared" si="27"/>
        <v/>
      </c>
      <c r="I121" s="122" t="str">
        <f t="shared" si="14"/>
        <v/>
      </c>
      <c r="J121" s="377" t="str">
        <f t="shared" si="15"/>
        <v/>
      </c>
      <c r="K121" s="377">
        <f t="shared" si="16"/>
        <v>0</v>
      </c>
      <c r="L121" s="377">
        <f t="shared" si="25"/>
        <v>0</v>
      </c>
      <c r="M121" s="377">
        <f t="shared" si="8"/>
        <v>0</v>
      </c>
      <c r="N121" s="378">
        <f t="shared" si="17"/>
        <v>0</v>
      </c>
    </row>
    <row r="122" spans="1:14" ht="33" hidden="1" customHeight="1" outlineLevel="1">
      <c r="A122" s="75">
        <v>47</v>
      </c>
      <c r="B122" s="335" t="str">
        <f t="shared" si="9"/>
        <v/>
      </c>
      <c r="C122" s="337" t="str">
        <f t="shared" si="10"/>
        <v/>
      </c>
      <c r="D122" s="337" t="str">
        <f t="shared" si="11"/>
        <v/>
      </c>
      <c r="E122" s="148" t="str">
        <f t="shared" si="7"/>
        <v/>
      </c>
      <c r="F122" s="148" t="str">
        <f t="shared" si="12"/>
        <v/>
      </c>
      <c r="G122" s="148" t="str">
        <f t="shared" si="13"/>
        <v/>
      </c>
      <c r="H122" s="363" t="str">
        <f t="shared" si="27"/>
        <v/>
      </c>
      <c r="I122" s="122" t="str">
        <f t="shared" si="14"/>
        <v/>
      </c>
      <c r="J122" s="377" t="str">
        <f t="shared" si="15"/>
        <v/>
      </c>
      <c r="K122" s="377">
        <f t="shared" si="16"/>
        <v>0</v>
      </c>
      <c r="L122" s="377">
        <f t="shared" si="25"/>
        <v>0</v>
      </c>
      <c r="M122" s="377">
        <f t="shared" si="8"/>
        <v>0</v>
      </c>
      <c r="N122" s="378">
        <f t="shared" si="17"/>
        <v>0</v>
      </c>
    </row>
    <row r="123" spans="1:14" ht="33" hidden="1" customHeight="1" outlineLevel="1">
      <c r="A123" s="75">
        <v>48</v>
      </c>
      <c r="B123" s="335" t="str">
        <f t="shared" si="9"/>
        <v/>
      </c>
      <c r="C123" s="337" t="str">
        <f t="shared" si="10"/>
        <v/>
      </c>
      <c r="D123" s="337" t="str">
        <f t="shared" si="11"/>
        <v/>
      </c>
      <c r="E123" s="148" t="str">
        <f t="shared" si="7"/>
        <v/>
      </c>
      <c r="F123" s="148" t="str">
        <f t="shared" si="12"/>
        <v/>
      </c>
      <c r="G123" s="148" t="str">
        <f t="shared" si="13"/>
        <v/>
      </c>
      <c r="H123" s="363" t="str">
        <f t="shared" si="27"/>
        <v/>
      </c>
      <c r="I123" s="122" t="str">
        <f t="shared" si="14"/>
        <v/>
      </c>
      <c r="J123" s="377" t="str">
        <f t="shared" si="15"/>
        <v/>
      </c>
      <c r="K123" s="377">
        <f t="shared" si="16"/>
        <v>0</v>
      </c>
      <c r="L123" s="377">
        <f t="shared" si="25"/>
        <v>0</v>
      </c>
      <c r="M123" s="377">
        <f t="shared" si="8"/>
        <v>0</v>
      </c>
      <c r="N123" s="378">
        <f t="shared" si="17"/>
        <v>0</v>
      </c>
    </row>
    <row r="124" spans="1:14" ht="33" hidden="1" customHeight="1" outlineLevel="1">
      <c r="A124" s="75">
        <v>49</v>
      </c>
      <c r="B124" s="335" t="str">
        <f t="shared" si="9"/>
        <v/>
      </c>
      <c r="C124" s="337" t="str">
        <f t="shared" si="10"/>
        <v/>
      </c>
      <c r="D124" s="337" t="str">
        <f t="shared" si="11"/>
        <v/>
      </c>
      <c r="E124" s="148" t="str">
        <f t="shared" si="7"/>
        <v/>
      </c>
      <c r="F124" s="148" t="str">
        <f t="shared" si="12"/>
        <v/>
      </c>
      <c r="G124" s="148" t="str">
        <f t="shared" si="13"/>
        <v/>
      </c>
      <c r="H124" s="363" t="str">
        <f t="shared" si="27"/>
        <v/>
      </c>
      <c r="I124" s="122" t="str">
        <f t="shared" si="14"/>
        <v/>
      </c>
      <c r="J124" s="377" t="str">
        <f t="shared" si="15"/>
        <v/>
      </c>
      <c r="K124" s="377">
        <f t="shared" si="16"/>
        <v>0</v>
      </c>
      <c r="L124" s="377">
        <f t="shared" si="25"/>
        <v>0</v>
      </c>
      <c r="M124" s="377">
        <f t="shared" si="8"/>
        <v>0</v>
      </c>
      <c r="N124" s="378">
        <f t="shared" si="17"/>
        <v>0</v>
      </c>
    </row>
    <row r="125" spans="1:14" ht="33" hidden="1" customHeight="1" outlineLevel="1">
      <c r="A125" s="75">
        <v>50</v>
      </c>
      <c r="B125" s="335" t="str">
        <f t="shared" si="9"/>
        <v/>
      </c>
      <c r="C125" s="337" t="str">
        <f t="shared" si="10"/>
        <v/>
      </c>
      <c r="D125" s="337" t="str">
        <f t="shared" si="11"/>
        <v/>
      </c>
      <c r="E125" s="148" t="str">
        <f t="shared" si="7"/>
        <v/>
      </c>
      <c r="F125" s="148" t="str">
        <f t="shared" si="12"/>
        <v/>
      </c>
      <c r="G125" s="148" t="str">
        <f t="shared" si="13"/>
        <v/>
      </c>
      <c r="H125" s="363" t="str">
        <f t="shared" si="27"/>
        <v/>
      </c>
      <c r="I125" s="122" t="str">
        <f t="shared" si="14"/>
        <v/>
      </c>
      <c r="J125" s="377" t="str">
        <f t="shared" si="15"/>
        <v/>
      </c>
      <c r="K125" s="377">
        <f t="shared" si="16"/>
        <v>0</v>
      </c>
      <c r="L125" s="377">
        <f t="shared" si="25"/>
        <v>0</v>
      </c>
      <c r="M125" s="377">
        <f t="shared" si="8"/>
        <v>0</v>
      </c>
      <c r="N125" s="378">
        <f t="shared" si="17"/>
        <v>0</v>
      </c>
    </row>
    <row r="126" spans="1:14" ht="33" hidden="1" customHeight="1" outlineLevel="1">
      <c r="A126" s="75">
        <v>51</v>
      </c>
      <c r="B126" s="335" t="str">
        <f t="shared" si="9"/>
        <v/>
      </c>
      <c r="C126" s="337" t="str">
        <f t="shared" si="10"/>
        <v/>
      </c>
      <c r="D126" s="337" t="str">
        <f t="shared" si="11"/>
        <v/>
      </c>
      <c r="E126" s="148" t="str">
        <f t="shared" si="7"/>
        <v/>
      </c>
      <c r="F126" s="148" t="str">
        <f t="shared" si="12"/>
        <v/>
      </c>
      <c r="G126" s="148" t="str">
        <f t="shared" si="13"/>
        <v/>
      </c>
      <c r="H126" s="363" t="str">
        <f t="shared" si="27"/>
        <v/>
      </c>
      <c r="I126" s="122" t="str">
        <f t="shared" si="14"/>
        <v/>
      </c>
      <c r="J126" s="377" t="str">
        <f t="shared" si="15"/>
        <v/>
      </c>
      <c r="K126" s="377">
        <f t="shared" si="16"/>
        <v>0</v>
      </c>
      <c r="L126" s="377">
        <f t="shared" si="25"/>
        <v>0</v>
      </c>
      <c r="M126" s="377">
        <f t="shared" si="8"/>
        <v>0</v>
      </c>
      <c r="N126" s="378">
        <f t="shared" si="17"/>
        <v>0</v>
      </c>
    </row>
    <row r="127" spans="1:14" ht="33" hidden="1" customHeight="1" outlineLevel="1">
      <c r="A127" s="75">
        <v>52</v>
      </c>
      <c r="B127" s="335" t="str">
        <f t="shared" si="9"/>
        <v/>
      </c>
      <c r="C127" s="337" t="str">
        <f t="shared" si="10"/>
        <v/>
      </c>
      <c r="D127" s="337" t="str">
        <f t="shared" si="11"/>
        <v/>
      </c>
      <c r="E127" s="148" t="str">
        <f t="shared" si="7"/>
        <v/>
      </c>
      <c r="F127" s="148" t="str">
        <f t="shared" si="12"/>
        <v/>
      </c>
      <c r="G127" s="148" t="str">
        <f t="shared" si="13"/>
        <v/>
      </c>
      <c r="H127" s="363" t="str">
        <f t="shared" si="27"/>
        <v/>
      </c>
      <c r="I127" s="122" t="str">
        <f t="shared" si="14"/>
        <v/>
      </c>
      <c r="J127" s="377" t="str">
        <f t="shared" si="15"/>
        <v/>
      </c>
      <c r="K127" s="377">
        <f t="shared" si="16"/>
        <v>0</v>
      </c>
      <c r="L127" s="377">
        <f t="shared" si="25"/>
        <v>0</v>
      </c>
      <c r="M127" s="377">
        <f t="shared" si="8"/>
        <v>0</v>
      </c>
      <c r="N127" s="378">
        <f t="shared" si="17"/>
        <v>0</v>
      </c>
    </row>
    <row r="128" spans="1:14" ht="33" hidden="1" customHeight="1" outlineLevel="1">
      <c r="A128" s="75">
        <v>53</v>
      </c>
      <c r="B128" s="335" t="str">
        <f t="shared" si="9"/>
        <v/>
      </c>
      <c r="C128" s="337" t="str">
        <f t="shared" si="10"/>
        <v/>
      </c>
      <c r="D128" s="337" t="str">
        <f t="shared" si="11"/>
        <v/>
      </c>
      <c r="E128" s="148" t="str">
        <f t="shared" si="7"/>
        <v/>
      </c>
      <c r="F128" s="148" t="str">
        <f t="shared" si="12"/>
        <v/>
      </c>
      <c r="G128" s="148" t="str">
        <f t="shared" si="13"/>
        <v/>
      </c>
      <c r="H128" s="363" t="str">
        <f t="shared" si="27"/>
        <v/>
      </c>
      <c r="I128" s="122" t="str">
        <f t="shared" si="14"/>
        <v/>
      </c>
      <c r="J128" s="377" t="str">
        <f t="shared" si="15"/>
        <v/>
      </c>
      <c r="K128" s="377">
        <f t="shared" si="16"/>
        <v>0</v>
      </c>
      <c r="L128" s="377">
        <f t="shared" si="25"/>
        <v>0</v>
      </c>
      <c r="M128" s="377">
        <f t="shared" si="8"/>
        <v>0</v>
      </c>
      <c r="N128" s="378">
        <f t="shared" si="17"/>
        <v>0</v>
      </c>
    </row>
    <row r="129" spans="1:24" ht="33" hidden="1" customHeight="1" outlineLevel="1">
      <c r="A129" s="75">
        <v>54</v>
      </c>
      <c r="B129" s="335" t="str">
        <f t="shared" si="9"/>
        <v/>
      </c>
      <c r="C129" s="337" t="str">
        <f t="shared" si="10"/>
        <v/>
      </c>
      <c r="D129" s="337" t="str">
        <f t="shared" si="11"/>
        <v/>
      </c>
      <c r="E129" s="148" t="str">
        <f t="shared" si="7"/>
        <v/>
      </c>
      <c r="F129" s="148" t="str">
        <f t="shared" si="12"/>
        <v/>
      </c>
      <c r="G129" s="148" t="str">
        <f t="shared" si="13"/>
        <v/>
      </c>
      <c r="H129" s="363" t="str">
        <f t="shared" si="27"/>
        <v/>
      </c>
      <c r="I129" s="122" t="str">
        <f t="shared" si="14"/>
        <v/>
      </c>
      <c r="J129" s="377" t="str">
        <f t="shared" si="15"/>
        <v/>
      </c>
      <c r="K129" s="377">
        <f t="shared" si="16"/>
        <v>0</v>
      </c>
      <c r="L129" s="377">
        <f t="shared" si="25"/>
        <v>0</v>
      </c>
      <c r="M129" s="377">
        <f t="shared" si="8"/>
        <v>0</v>
      </c>
      <c r="N129" s="378">
        <f t="shared" si="17"/>
        <v>0</v>
      </c>
    </row>
    <row r="130" spans="1:24" ht="33" hidden="1" customHeight="1" outlineLevel="1">
      <c r="A130" s="75">
        <v>55</v>
      </c>
      <c r="B130" s="335" t="str">
        <f t="shared" si="9"/>
        <v/>
      </c>
      <c r="C130" s="337" t="str">
        <f t="shared" si="10"/>
        <v/>
      </c>
      <c r="D130" s="337" t="str">
        <f t="shared" si="11"/>
        <v/>
      </c>
      <c r="E130" s="148" t="str">
        <f t="shared" si="7"/>
        <v/>
      </c>
      <c r="F130" s="148" t="str">
        <f t="shared" si="12"/>
        <v/>
      </c>
      <c r="G130" s="148" t="str">
        <f t="shared" si="13"/>
        <v/>
      </c>
      <c r="H130" s="363" t="str">
        <f t="shared" si="27"/>
        <v/>
      </c>
      <c r="I130" s="122" t="str">
        <f t="shared" si="14"/>
        <v/>
      </c>
      <c r="J130" s="377" t="str">
        <f t="shared" si="15"/>
        <v/>
      </c>
      <c r="K130" s="377">
        <f t="shared" si="16"/>
        <v>0</v>
      </c>
      <c r="L130" s="377">
        <f t="shared" si="25"/>
        <v>0</v>
      </c>
      <c r="M130" s="377">
        <f t="shared" si="8"/>
        <v>0</v>
      </c>
      <c r="N130" s="378">
        <f t="shared" si="17"/>
        <v>0</v>
      </c>
    </row>
    <row r="131" spans="1:24" ht="33" hidden="1" customHeight="1" collapsed="1">
      <c r="A131" s="75">
        <v>56</v>
      </c>
      <c r="B131" s="335" t="str">
        <f t="shared" si="9"/>
        <v/>
      </c>
      <c r="C131" s="337" t="str">
        <f>IF($B131="","",+(1-$L71)*$K71*$C$75)</f>
        <v/>
      </c>
      <c r="D131" s="337" t="str">
        <f t="shared" si="11"/>
        <v/>
      </c>
      <c r="E131" s="148" t="str">
        <f t="shared" si="7"/>
        <v/>
      </c>
      <c r="F131" s="148" t="str">
        <f t="shared" si="12"/>
        <v/>
      </c>
      <c r="G131" s="148" t="str">
        <f t="shared" si="13"/>
        <v/>
      </c>
      <c r="H131" s="363" t="str">
        <f t="shared" si="27"/>
        <v/>
      </c>
      <c r="I131" s="122" t="str">
        <f t="shared" si="14"/>
        <v/>
      </c>
      <c r="J131" s="377" t="str">
        <f t="shared" si="15"/>
        <v/>
      </c>
      <c r="K131" s="377">
        <f>IF(I131&lt;0,IFERROR(+((1+$D$75/30)^(F71+I131)-1)*(C131),0)-D131,IFERROR(+((1+$D$75/30)^(I131)-1)*(C131),0))</f>
        <v>0</v>
      </c>
      <c r="L131" s="377">
        <f t="shared" si="25"/>
        <v>0</v>
      </c>
      <c r="M131" s="377">
        <f t="shared" si="8"/>
        <v>0</v>
      </c>
      <c r="N131" s="378">
        <f t="shared" si="17"/>
        <v>0</v>
      </c>
    </row>
    <row r="132" spans="1:24" ht="24.75" customHeight="1">
      <c r="A132" s="75"/>
      <c r="B132" s="164"/>
      <c r="C132" s="165">
        <f t="shared" ref="C132:E132" si="28">SUM(C76:C131)</f>
        <v>56828.7815928665</v>
      </c>
      <c r="D132" s="165">
        <f t="shared" si="28"/>
        <v>3835.4634540420698</v>
      </c>
      <c r="E132" s="165">
        <f t="shared" si="28"/>
        <v>690.38342172757257</v>
      </c>
      <c r="F132" s="166">
        <f>IF($C$132=0,0,+$G$12)</f>
        <v>426.21586194649876</v>
      </c>
      <c r="G132" s="139">
        <f>SUM(G76:G131)</f>
        <v>51876.718855150371</v>
      </c>
      <c r="H132" s="80"/>
      <c r="I132" s="80"/>
      <c r="J132" s="139">
        <f t="shared" ref="J132:O132" si="29">SUM(J76:J131)</f>
        <v>56828.7815928665</v>
      </c>
      <c r="K132" s="139">
        <f t="shared" si="29"/>
        <v>916.26570272551203</v>
      </c>
      <c r="L132" s="139">
        <f t="shared" si="29"/>
        <v>1379.691129687943</v>
      </c>
      <c r="M132" s="139">
        <f t="shared" si="29"/>
        <v>413.27222983442186</v>
      </c>
      <c r="N132" s="139">
        <f t="shared" si="29"/>
        <v>59538.010655114384</v>
      </c>
      <c r="O132" s="139">
        <f t="shared" si="29"/>
        <v>-2709.2290622478786</v>
      </c>
      <c r="W132" s="486">
        <f>SUM(W76:W131)</f>
        <v>2773.4725519285598</v>
      </c>
      <c r="X132" s="486">
        <f>SUM(X76:X131)</f>
        <v>2773.4725519285598</v>
      </c>
    </row>
    <row r="133" spans="1:24" ht="19.5" customHeight="1">
      <c r="A133" s="75"/>
      <c r="B133" s="167"/>
      <c r="C133" s="168"/>
      <c r="D133" s="169"/>
      <c r="E133" s="75"/>
      <c r="F133" s="170" t="s">
        <v>56</v>
      </c>
      <c r="G133" s="171">
        <f>0.18*F132</f>
        <v>76.718855150369777</v>
      </c>
      <c r="H133" s="26"/>
      <c r="I133" s="172"/>
      <c r="J133" s="26"/>
      <c r="K133" s="173"/>
      <c r="L133" s="26"/>
      <c r="M133" s="26"/>
      <c r="N133" s="1"/>
    </row>
    <row r="134" spans="1:24" ht="19.5" customHeight="1" thickBot="1">
      <c r="A134" s="75"/>
      <c r="B134" s="167"/>
      <c r="C134" s="168"/>
      <c r="D134" s="168"/>
      <c r="E134" s="75"/>
      <c r="F134" s="174" t="s">
        <v>57</v>
      </c>
      <c r="G134" s="175">
        <f>+G132-G133</f>
        <v>51800</v>
      </c>
      <c r="H134" s="176"/>
      <c r="I134" s="177" t="s">
        <v>58</v>
      </c>
      <c r="J134" s="345">
        <v>51800</v>
      </c>
      <c r="K134" s="178">
        <f>+G134-J134</f>
        <v>0</v>
      </c>
      <c r="L134" s="26"/>
      <c r="M134" s="26"/>
      <c r="N134" s="1"/>
    </row>
    <row r="135" spans="1:24" ht="16.5" customHeight="1">
      <c r="A135" s="75"/>
      <c r="B135" s="75"/>
      <c r="C135" s="179"/>
      <c r="D135" s="76"/>
      <c r="E135" s="180"/>
      <c r="F135" s="180"/>
      <c r="G135" s="14"/>
      <c r="L135" s="26"/>
      <c r="M135" s="1"/>
      <c r="N135" s="1"/>
    </row>
    <row r="136" spans="1:24" ht="16.5" customHeight="1">
      <c r="A136" s="75"/>
      <c r="B136" s="511" t="s">
        <v>94</v>
      </c>
      <c r="C136" s="511"/>
      <c r="D136" s="379"/>
      <c r="E136" s="380"/>
      <c r="F136" s="381"/>
      <c r="G136" s="381"/>
      <c r="H136" s="502" t="s">
        <v>95</v>
      </c>
      <c r="I136" s="502"/>
      <c r="J136" s="382"/>
      <c r="K136" s="383"/>
      <c r="L136" s="384"/>
      <c r="M136" s="384"/>
      <c r="N136" s="1"/>
    </row>
    <row r="137" spans="1:24" ht="16.5" customHeight="1">
      <c r="A137" s="75"/>
      <c r="B137" s="512" t="s">
        <v>59</v>
      </c>
      <c r="C137" s="513"/>
      <c r="D137" s="181">
        <f>+$M$72-$C$132</f>
        <v>3102.8704071335087</v>
      </c>
      <c r="E137" s="410">
        <f>IF(D137=0,"",+D137/$M$72)</f>
        <v>5.1773483686608675E-2</v>
      </c>
      <c r="F137" s="411" t="s">
        <v>60</v>
      </c>
      <c r="G137" s="412">
        <f>IFERROR(LN(1+($D$137/1.18)/$C$132)/LN(1+$D$75/30),0)</f>
        <v>67.871907428488285</v>
      </c>
      <c r="H137" s="515" t="s">
        <v>59</v>
      </c>
      <c r="I137" s="516"/>
      <c r="J137" s="181">
        <f>+$M$72-$C$132-$K$148</f>
        <v>393.64040713350869</v>
      </c>
      <c r="K137" s="398"/>
      <c r="L137" s="399"/>
      <c r="M137" s="400">
        <f>IFERROR(LN(1+($D$137/1.18)/$C$132)/LN(1+$D$75/30),0)</f>
        <v>67.871907428488285</v>
      </c>
      <c r="N137" s="1"/>
    </row>
    <row r="138" spans="1:24" ht="16.5" customHeight="1">
      <c r="A138" s="75"/>
      <c r="B138" s="512" t="s">
        <v>27</v>
      </c>
      <c r="C138" s="513"/>
      <c r="D138" s="385">
        <f>+$E$132+$G$133</f>
        <v>767.10227687794236</v>
      </c>
      <c r="E138" s="407">
        <f>IFERROR(+D138/$M$72,"")</f>
        <v>1.279961841996183E-2</v>
      </c>
      <c r="F138" s="408"/>
      <c r="G138" s="409"/>
      <c r="H138" s="515" t="s">
        <v>27</v>
      </c>
      <c r="I138" s="516"/>
      <c r="J138" s="385">
        <f>+$E$132+$G$133+$K$147</f>
        <v>1180.3745067123643</v>
      </c>
      <c r="K138" s="395">
        <f>IFERROR(+J138/$M$72,"")</f>
        <v>1.9695344068145562E-2</v>
      </c>
      <c r="L138" s="396"/>
      <c r="M138" s="397"/>
      <c r="N138" s="1"/>
    </row>
    <row r="139" spans="1:24" ht="16.5" customHeight="1">
      <c r="A139" s="75"/>
      <c r="B139" s="512" t="s">
        <v>62</v>
      </c>
      <c r="C139" s="513"/>
      <c r="D139" s="386">
        <f>+$C$146+$G$146</f>
        <v>4261.6793159885683</v>
      </c>
      <c r="E139" s="407">
        <f t="shared" ref="E139:E140" si="30">IFERROR(+D139/$M$72,"")</f>
        <v>7.1108991222010157E-2</v>
      </c>
      <c r="F139" s="408"/>
      <c r="G139" s="409"/>
      <c r="H139" s="515" t="s">
        <v>62</v>
      </c>
      <c r="I139" s="516"/>
      <c r="J139" s="386">
        <f>+$C$146+$G$146+$K$146</f>
        <v>6557.6361484020235</v>
      </c>
      <c r="K139" s="395">
        <f t="shared" ref="K139:K140" si="31">IFERROR(+J139/$M$72,"")</f>
        <v>0.10941857815636423</v>
      </c>
      <c r="L139" s="396"/>
      <c r="M139" s="397"/>
      <c r="N139" s="1"/>
    </row>
    <row r="140" spans="1:24" ht="16.5" customHeight="1">
      <c r="A140" s="75"/>
      <c r="B140" s="512" t="s">
        <v>65</v>
      </c>
      <c r="C140" s="513"/>
      <c r="D140" s="171">
        <f>+$G$134</f>
        <v>51800</v>
      </c>
      <c r="E140" s="413">
        <f t="shared" si="30"/>
        <v>0.8643179066714195</v>
      </c>
      <c r="F140" s="408"/>
      <c r="G140" s="409"/>
      <c r="H140" s="515" t="s">
        <v>65</v>
      </c>
      <c r="I140" s="516"/>
      <c r="J140" s="171">
        <f>+$G$134</f>
        <v>51800</v>
      </c>
      <c r="K140" s="401">
        <f t="shared" si="31"/>
        <v>0.8643179066714195</v>
      </c>
      <c r="L140" s="396"/>
      <c r="M140" s="397"/>
      <c r="N140" s="1"/>
    </row>
    <row r="141" spans="1:24" ht="16.5" customHeight="1">
      <c r="A141" s="75"/>
      <c r="B141" s="404"/>
      <c r="C141" s="405"/>
      <c r="D141" s="406"/>
      <c r="E141" s="407">
        <f>SUM(E137:E140)</f>
        <v>1.0000000000000002</v>
      </c>
      <c r="F141" s="408"/>
      <c r="G141" s="409"/>
      <c r="H141" s="392"/>
      <c r="I141" s="393"/>
      <c r="J141" s="394"/>
      <c r="K141" s="395">
        <f>SUM(K137:K140)</f>
        <v>0.99343182889592929</v>
      </c>
      <c r="L141" s="396"/>
      <c r="M141" s="397"/>
      <c r="N141" s="1"/>
    </row>
    <row r="142" spans="1:24" ht="16.5" customHeight="1">
      <c r="A142" s="75"/>
      <c r="B142" s="75"/>
      <c r="C142" s="75"/>
      <c r="D142" s="76"/>
      <c r="E142" s="180"/>
      <c r="F142" s="180"/>
      <c r="G142" s="355"/>
      <c r="H142" s="354"/>
      <c r="I142" s="186"/>
      <c r="J142" s="187"/>
      <c r="K142" s="360"/>
      <c r="L142" s="26"/>
      <c r="N142" s="1"/>
    </row>
    <row r="143" spans="1:24" ht="16.5" customHeight="1" thickBot="1">
      <c r="A143" s="75"/>
      <c r="B143" s="56" t="s">
        <v>89</v>
      </c>
      <c r="C143" s="75"/>
      <c r="D143" s="76"/>
      <c r="E143" s="180"/>
      <c r="F143" s="364" t="s">
        <v>90</v>
      </c>
      <c r="G143" s="364"/>
      <c r="I143" s="364" t="s">
        <v>99</v>
      </c>
      <c r="K143" s="364"/>
      <c r="N143" s="1"/>
    </row>
    <row r="144" spans="1:24" ht="16.5" customHeight="1">
      <c r="A144" s="75"/>
      <c r="B144" s="509" t="str">
        <f>+C5</f>
        <v>SERVICIOS MOBILES INTERNACIONALES</v>
      </c>
      <c r="C144" s="510"/>
      <c r="D144" s="514"/>
      <c r="E144" s="180"/>
      <c r="F144" s="517" t="str">
        <f>+C5</f>
        <v>SERVICIOS MOBILES INTERNACIONALES</v>
      </c>
      <c r="G144" s="518"/>
      <c r="I144" s="509" t="str">
        <f>+C5</f>
        <v>SERVICIOS MOBILES INTERNACIONALES</v>
      </c>
      <c r="J144" s="510"/>
      <c r="K144" s="372"/>
      <c r="N144" s="1"/>
    </row>
    <row r="145" spans="2:13" ht="16.5" customHeight="1" thickBot="1">
      <c r="B145" s="526" t="s">
        <v>61</v>
      </c>
      <c r="C145" s="527"/>
      <c r="D145" s="528"/>
      <c r="E145" s="180"/>
      <c r="F145" s="531" t="s">
        <v>61</v>
      </c>
      <c r="G145" s="532"/>
      <c r="I145" s="533" t="s">
        <v>61</v>
      </c>
      <c r="J145" s="534"/>
      <c r="K145" s="375"/>
    </row>
    <row r="146" spans="2:13" ht="16.5" customHeight="1">
      <c r="B146" s="340" t="s">
        <v>63</v>
      </c>
      <c r="C146" s="522">
        <f>+D132</f>
        <v>3835.4634540420698</v>
      </c>
      <c r="D146" s="523"/>
      <c r="E146" s="180"/>
      <c r="F146" s="182" t="s">
        <v>64</v>
      </c>
      <c r="G146" s="183">
        <f>+F132</f>
        <v>426.21586194649876</v>
      </c>
      <c r="I146" s="535" t="s">
        <v>100</v>
      </c>
      <c r="J146" s="536"/>
      <c r="K146" s="373">
        <f>+$K$132+$L$132</f>
        <v>2295.9568324134552</v>
      </c>
    </row>
    <row r="147" spans="2:13" ht="16.5" customHeight="1" thickBot="1">
      <c r="B147" s="341" t="s">
        <v>27</v>
      </c>
      <c r="C147" s="529">
        <f>E132</f>
        <v>690.38342172757257</v>
      </c>
      <c r="D147" s="530"/>
      <c r="E147" s="180"/>
      <c r="F147" s="184" t="s">
        <v>27</v>
      </c>
      <c r="G147" s="185">
        <f>+G146*$E$75</f>
        <v>76.718855150369777</v>
      </c>
      <c r="I147" s="537" t="s">
        <v>27</v>
      </c>
      <c r="J147" s="538"/>
      <c r="K147" s="374">
        <f>+K146*$E$75</f>
        <v>413.27222983442192</v>
      </c>
    </row>
    <row r="148" spans="2:13" ht="19.5" customHeight="1" thickBot="1">
      <c r="B148" s="342" t="s">
        <v>57</v>
      </c>
      <c r="C148" s="524">
        <f>ROUND(C146,2)+ROUND(C147,2)</f>
        <v>4525.84</v>
      </c>
      <c r="D148" s="525"/>
      <c r="E148" s="180"/>
      <c r="F148" s="189" t="s">
        <v>57</v>
      </c>
      <c r="G148" s="188">
        <f>ROUND(G146,2)+ROUND(G147,2)</f>
        <v>502.94000000000005</v>
      </c>
      <c r="I148" s="519" t="s">
        <v>57</v>
      </c>
      <c r="J148" s="520"/>
      <c r="K148" s="376">
        <f>ROUND(K146,2)+ROUND(K147,2)</f>
        <v>2709.23</v>
      </c>
    </row>
    <row r="153" spans="2:13" ht="15" customHeight="1">
      <c r="E153" s="437"/>
    </row>
    <row r="157" spans="2:13" ht="15" customHeight="1">
      <c r="L157" s="438" t="s">
        <v>132</v>
      </c>
      <c r="M157" s="439">
        <f>+G134</f>
        <v>51800</v>
      </c>
    </row>
    <row r="158" spans="2:13" ht="15" customHeight="1">
      <c r="L158" s="440" t="s">
        <v>133</v>
      </c>
      <c r="M158" s="440">
        <v>3.738</v>
      </c>
    </row>
    <row r="159" spans="2:13" ht="15" customHeight="1">
      <c r="L159" s="438" t="s">
        <v>135</v>
      </c>
      <c r="M159" s="441">
        <f>+M157/M158</f>
        <v>13857.677902621723</v>
      </c>
    </row>
    <row r="169" spans="7:7" ht="15" customHeight="1">
      <c r="G169" t="s">
        <v>134</v>
      </c>
    </row>
  </sheetData>
  <mergeCells count="26">
    <mergeCell ref="I148:J148"/>
    <mergeCell ref="B138:C138"/>
    <mergeCell ref="B139:C139"/>
    <mergeCell ref="F10:I10"/>
    <mergeCell ref="C146:D146"/>
    <mergeCell ref="C148:D148"/>
    <mergeCell ref="B145:D145"/>
    <mergeCell ref="C147:D147"/>
    <mergeCell ref="F145:G145"/>
    <mergeCell ref="I145:J145"/>
    <mergeCell ref="I146:J146"/>
    <mergeCell ref="I147:J147"/>
    <mergeCell ref="A2:H2"/>
    <mergeCell ref="H136:I136"/>
    <mergeCell ref="C5:E5"/>
    <mergeCell ref="C7:E7"/>
    <mergeCell ref="I144:J144"/>
    <mergeCell ref="B136:C136"/>
    <mergeCell ref="B137:C137"/>
    <mergeCell ref="B140:C140"/>
    <mergeCell ref="B144:D144"/>
    <mergeCell ref="H137:I137"/>
    <mergeCell ref="H138:I138"/>
    <mergeCell ref="H139:I139"/>
    <mergeCell ref="H140:I140"/>
    <mergeCell ref="F144:G144"/>
  </mergeCells>
  <conditionalFormatting sqref="C76:G132 G133:G134 J134:K134 D137:D140 C146:D148 G146:G148">
    <cfRule type="expression" dxfId="10" priority="19">
      <formula>AND($J$14=1)</formula>
    </cfRule>
  </conditionalFormatting>
  <conditionalFormatting sqref="J137:J140">
    <cfRule type="expression" dxfId="9" priority="10">
      <formula>AND($J$14=1)</formula>
    </cfRule>
  </conditionalFormatting>
  <conditionalFormatting sqref="J76:N132">
    <cfRule type="expression" dxfId="8" priority="12">
      <formula>AND($J$14=1)</formula>
    </cfRule>
  </conditionalFormatting>
  <conditionalFormatting sqref="K16:K72 M16:M72">
    <cfRule type="expression" dxfId="7" priority="20">
      <formula>AND($J$14=1)</formula>
    </cfRule>
  </conditionalFormatting>
  <conditionalFormatting sqref="K146:K148">
    <cfRule type="expression" dxfId="6" priority="17">
      <formula>AND($J$14=1)</formula>
    </cfRule>
  </conditionalFormatting>
  <conditionalFormatting sqref="O16:O22">
    <cfRule type="expression" dxfId="5" priority="4">
      <formula>AND($J$14=1)</formula>
    </cfRule>
  </conditionalFormatting>
  <conditionalFormatting sqref="O72">
    <cfRule type="expression" dxfId="4" priority="6">
      <formula>AND($J$14=1)</formula>
    </cfRule>
  </conditionalFormatting>
  <conditionalFormatting sqref="O76:O82">
    <cfRule type="expression" dxfId="3" priority="3">
      <formula>AND($J$14=1)</formula>
    </cfRule>
  </conditionalFormatting>
  <conditionalFormatting sqref="O132">
    <cfRule type="expression" dxfId="2" priority="5">
      <formula>AND($J$14=1)</formula>
    </cfRule>
  </conditionalFormatting>
  <conditionalFormatting sqref="R76:R82">
    <cfRule type="expression" dxfId="1" priority="2">
      <formula>AND($J$14=1)</formula>
    </cfRule>
  </conditionalFormatting>
  <conditionalFormatting sqref="T76:X82">
    <cfRule type="expression" dxfId="0" priority="1">
      <formula>AND($J$14=1)</formula>
    </cfRule>
  </conditionalFormatting>
  <dataValidations disablePrompts="1" count="1">
    <dataValidation type="list" allowBlank="1" showErrorMessage="1" sqref="I16:I71">
      <formula1>$J$9:$J$10</formula1>
    </dataValidation>
  </dataValidations>
  <pageMargins left="0.31496062992125984" right="0.15748031496062992" top="0.23622047244094491" bottom="0.27559055118110237" header="0" footer="0"/>
  <pageSetup paperSize="9" scale="43" orientation="landscape" r:id="rId1"/>
  <ignoredErrors>
    <ignoredError sqref="F132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7"/>
  <sheetViews>
    <sheetView zoomScale="150" zoomScaleNormal="150" workbookViewId="0">
      <selection activeCell="C10" sqref="C10"/>
    </sheetView>
  </sheetViews>
  <sheetFormatPr defaultColWidth="10.6640625" defaultRowHeight="14.4"/>
  <cols>
    <col min="1" max="1" width="9" style="414" customWidth="1"/>
    <col min="2" max="2" width="10.6640625" style="414"/>
    <col min="3" max="3" width="14.6640625" style="414" bestFit="1" customWidth="1"/>
    <col min="4" max="4" width="8.6640625" style="414" customWidth="1"/>
    <col min="5" max="8" width="10.6640625" style="414"/>
    <col min="9" max="9" width="11.6640625" style="414" customWidth="1"/>
    <col min="10" max="16384" width="10.6640625" style="414"/>
  </cols>
  <sheetData>
    <row r="3" spans="1:10">
      <c r="A3" s="414" t="s">
        <v>103</v>
      </c>
      <c r="B3" s="414" t="str">
        <f>NSG!I16</f>
        <v>PEN</v>
      </c>
    </row>
    <row r="4" spans="1:10" s="416" customFormat="1" ht="57.6">
      <c r="A4" s="415" t="s">
        <v>104</v>
      </c>
      <c r="B4" s="415" t="s">
        <v>105</v>
      </c>
      <c r="C4" s="415" t="s">
        <v>106</v>
      </c>
      <c r="D4" s="415" t="s">
        <v>107</v>
      </c>
      <c r="E4" s="415" t="s">
        <v>98</v>
      </c>
      <c r="F4" s="415" t="s">
        <v>50</v>
      </c>
      <c r="G4" s="415" t="s">
        <v>27</v>
      </c>
      <c r="H4" s="415" t="s">
        <v>108</v>
      </c>
      <c r="I4" s="415" t="s">
        <v>109</v>
      </c>
      <c r="J4" s="415" t="s">
        <v>110</v>
      </c>
    </row>
    <row r="5" spans="1:10" s="416" customFormat="1">
      <c r="A5" s="417"/>
      <c r="B5" s="418">
        <f>NSG!E16</f>
        <v>45748</v>
      </c>
      <c r="C5" s="417"/>
      <c r="D5" s="417"/>
      <c r="E5" s="417"/>
      <c r="F5" s="417"/>
      <c r="G5" s="417"/>
      <c r="H5" s="417"/>
      <c r="I5" s="417"/>
      <c r="J5" s="417"/>
    </row>
    <row r="6" spans="1:10">
      <c r="A6" s="419"/>
      <c r="B6" s="418"/>
      <c r="C6" s="420">
        <f>NSG!C132</f>
        <v>56828.7815928665</v>
      </c>
      <c r="D6" s="419">
        <f>B6-B5</f>
        <v>-45748</v>
      </c>
      <c r="E6" s="420">
        <f>(((1+(0.0175/30))^D6)-1)*C6</f>
        <v>-56828.781592719191</v>
      </c>
      <c r="F6" s="420">
        <f>(((1+(0.03/30))^D6)-1)*C6</f>
        <v>-56828.7815928665</v>
      </c>
      <c r="G6" s="420">
        <f>(E6+F6)*0.18</f>
        <v>-20458.361373405423</v>
      </c>
      <c r="H6" s="420">
        <f>C6+E6+F6+G6</f>
        <v>-77287.142966124607</v>
      </c>
      <c r="I6" s="420">
        <v>0</v>
      </c>
      <c r="J6" s="420">
        <f t="shared" ref="J6:J7" si="0">H6-I6</f>
        <v>-77287.142966124607</v>
      </c>
    </row>
    <row r="7" spans="1:10">
      <c r="B7" s="418"/>
      <c r="C7" s="420">
        <v>0</v>
      </c>
      <c r="D7" s="414">
        <f t="shared" ref="D7" si="1">B7-B6</f>
        <v>0</v>
      </c>
      <c r="E7" s="420">
        <f>(((1+(0.018/30))^D7)-1)*C7</f>
        <v>0</v>
      </c>
      <c r="F7" s="420">
        <f>(((1+(0.03/30))^D7)-1)*C7</f>
        <v>0</v>
      </c>
      <c r="G7" s="420">
        <f>(E7+F7)*0.18</f>
        <v>0</v>
      </c>
      <c r="H7" s="420">
        <f>C7+E7+F7+G7</f>
        <v>0</v>
      </c>
      <c r="I7" s="420"/>
      <c r="J7" s="420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zoomScale="145" zoomScaleNormal="145" workbookViewId="0">
      <selection activeCell="D17" sqref="D17"/>
    </sheetView>
  </sheetViews>
  <sheetFormatPr defaultColWidth="11.44140625" defaultRowHeight="13.2"/>
  <cols>
    <col min="1" max="1" width="21.109375" style="423" customWidth="1"/>
    <col min="2" max="2" width="14" style="430" customWidth="1"/>
    <col min="3" max="3" width="11.44140625" style="430" customWidth="1"/>
    <col min="4" max="4" width="11.44140625" style="423" customWidth="1"/>
    <col min="5" max="16384" width="11.44140625" style="424"/>
  </cols>
  <sheetData>
    <row r="2" spans="1:4">
      <c r="A2" s="421" t="s">
        <v>111</v>
      </c>
      <c r="B2" s="422" t="s">
        <v>124</v>
      </c>
    </row>
    <row r="3" spans="1:4">
      <c r="A3" s="421" t="s">
        <v>112</v>
      </c>
      <c r="B3" s="432" t="s">
        <v>125</v>
      </c>
      <c r="C3" s="432" t="str">
        <f>_xlfn.CONCAT(IF(NSG!F9&lt;10,0,""),NSG!F9,B3,"/23")</f>
        <v>63SMI/23</v>
      </c>
    </row>
    <row r="4" spans="1:4">
      <c r="A4" s="422" t="s">
        <v>3</v>
      </c>
      <c r="B4" s="425">
        <f>NSG!C6</f>
        <v>20511763089</v>
      </c>
    </row>
    <row r="5" spans="1:4">
      <c r="A5" s="421" t="s">
        <v>113</v>
      </c>
      <c r="B5" s="425" t="s">
        <v>126</v>
      </c>
    </row>
    <row r="6" spans="1:4">
      <c r="A6" s="422" t="s">
        <v>79</v>
      </c>
      <c r="B6" s="429">
        <f>NSG!F10</f>
        <v>45650</v>
      </c>
    </row>
    <row r="7" spans="1:4">
      <c r="A7" s="422" t="s">
        <v>114</v>
      </c>
      <c r="B7" s="429">
        <f>MAX(NSG!E16:E71)</f>
        <v>45748</v>
      </c>
    </row>
    <row r="8" spans="1:4" s="427" customFormat="1" ht="11.4">
      <c r="A8" s="426" t="s">
        <v>115</v>
      </c>
      <c r="B8" s="431" t="str">
        <f>TEXT(NSG!C132,"#,#.00")</f>
        <v>56,828.78</v>
      </c>
      <c r="C8" s="431" t="str">
        <f>_xlfn.CONCAT(IF(NSG!I16="USD",IF(NSG!J14=1,"USD","PEN"),"PEN")," ",B8)</f>
        <v>PEN 56,828.78</v>
      </c>
    </row>
    <row r="9" spans="1:4" s="427" customFormat="1" ht="15">
      <c r="A9" s="435" t="s">
        <v>121</v>
      </c>
      <c r="B9" s="433" t="s">
        <v>130</v>
      </c>
      <c r="C9" s="434" t="str">
        <f>LEFT(C8,3)</f>
        <v>PEN</v>
      </c>
      <c r="D9" s="436" t="str">
        <f>_xlfn.CONCAT(B9,IF(C9="PEN"," SOLES",IF(C9="USD"," DOLARES DE ESTADOS UNIDOS DE AMERICA"," EUROS")))</f>
        <v>CINCUENTA Y CINCO MIL NOVECIENTOS OCHENTA Y NUEVE CON 95/100 SOLES</v>
      </c>
    </row>
    <row r="10" spans="1:4">
      <c r="A10" s="422" t="s">
        <v>116</v>
      </c>
      <c r="B10" s="422" t="str">
        <f>CLIENTE!G157</f>
        <v>Roberto Pablo Rocano</v>
      </c>
    </row>
    <row r="11" spans="1:4">
      <c r="A11" s="422" t="s">
        <v>117</v>
      </c>
      <c r="B11" s="422" t="str">
        <f>CLIENTE!C149</f>
        <v>DNI 40485976</v>
      </c>
      <c r="C11" s="423" t="str">
        <f>_xlfn.CONCAT(MID(B11,1,FIND(" ",B11,1)-1)," : ")</f>
        <v xml:space="preserve">DNI : </v>
      </c>
      <c r="D11" s="422" t="str">
        <f>MID(B11,FIND(" ",B11)+1,LEN(B11)-FIND(" ",B11))</f>
        <v>40485976</v>
      </c>
    </row>
    <row r="12" spans="1:4">
      <c r="A12" s="421" t="s">
        <v>118</v>
      </c>
      <c r="B12" s="422" t="s">
        <v>129</v>
      </c>
    </row>
    <row r="13" spans="1:4">
      <c r="A13" s="421" t="s">
        <v>119</v>
      </c>
      <c r="B13" s="422" t="s">
        <v>120</v>
      </c>
    </row>
  </sheetData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view="pageBreakPreview" zoomScale="140" zoomScaleNormal="110" zoomScaleSheetLayoutView="140" workbookViewId="0">
      <selection activeCell="L12" sqref="L12"/>
    </sheetView>
  </sheetViews>
  <sheetFormatPr defaultColWidth="11.44140625" defaultRowHeight="13.2"/>
  <cols>
    <col min="1" max="9" width="11.44140625" style="428"/>
    <col min="10" max="10" width="14" style="428" customWidth="1"/>
    <col min="11" max="16384" width="11.44140625" style="428"/>
  </cols>
  <sheetData/>
  <pageMargins left="0.70866141732283472" right="0.70866141732283472" top="0.74803149606299213" bottom="0.74803149606299213" header="0.31496062992125984" footer="0.31496062992125984"/>
  <pageSetup paperSize="7" orientation="landscape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showGridLines="0" view="pageBreakPreview" zoomScaleNormal="100" zoomScaleSheetLayoutView="100" workbookViewId="0">
      <selection activeCell="F11" sqref="F11"/>
    </sheetView>
  </sheetViews>
  <sheetFormatPr defaultColWidth="10.88671875" defaultRowHeight="14.4"/>
  <cols>
    <col min="1" max="1" width="14.33203125" style="473" customWidth="1"/>
    <col min="2" max="2" width="13.6640625" style="475" customWidth="1"/>
    <col min="3" max="3" width="12.6640625" style="475" customWidth="1"/>
    <col min="4" max="4" width="8.44140625" style="476" customWidth="1"/>
    <col min="5" max="5" width="15.6640625" style="483" customWidth="1"/>
    <col min="6" max="6" width="15.44140625" style="483" bestFit="1" customWidth="1"/>
    <col min="7" max="7" width="15" style="483" customWidth="1"/>
    <col min="8" max="8" width="14" style="483" customWidth="1"/>
    <col min="9" max="9" width="12.6640625" style="483" customWidth="1"/>
    <col min="10" max="10" width="18.109375" style="483" customWidth="1"/>
    <col min="11" max="12" width="10.88671875" style="464"/>
    <col min="13" max="13" width="37.44140625" style="464" customWidth="1"/>
    <col min="14" max="16384" width="10.88671875" style="464"/>
  </cols>
  <sheetData>
    <row r="1" spans="1:10" ht="23.4">
      <c r="A1" s="539" t="s">
        <v>138</v>
      </c>
      <c r="B1" s="539"/>
      <c r="C1" s="539"/>
      <c r="D1" s="539"/>
      <c r="E1" s="539"/>
      <c r="F1" s="539"/>
      <c r="G1" s="539"/>
      <c r="H1" s="539"/>
      <c r="I1" s="539"/>
      <c r="J1" s="539"/>
    </row>
    <row r="2" spans="1:10" ht="15.75" customHeight="1">
      <c r="A2" s="463"/>
      <c r="B2" s="463"/>
      <c r="C2" s="463"/>
      <c r="D2" s="463"/>
      <c r="E2" s="463"/>
      <c r="F2" s="463"/>
      <c r="G2" s="463"/>
      <c r="H2" s="463"/>
      <c r="I2" s="463"/>
      <c r="J2" s="463"/>
    </row>
    <row r="3" spans="1:10" ht="14.25" customHeight="1">
      <c r="A3" s="463"/>
      <c r="B3" s="463"/>
      <c r="C3" s="463"/>
      <c r="D3" s="463"/>
      <c r="E3" s="463"/>
      <c r="F3" s="463"/>
      <c r="G3" s="463"/>
      <c r="H3" s="463"/>
      <c r="I3" s="463"/>
      <c r="J3" s="463"/>
    </row>
    <row r="4" spans="1:10">
      <c r="A4" s="465" t="s">
        <v>139</v>
      </c>
      <c r="B4" s="464" t="str">
        <f>[1]NSG!C5</f>
        <v>SERVICIOS MOBILES INTERNACIONALES</v>
      </c>
      <c r="C4" s="464"/>
      <c r="D4" s="464"/>
      <c r="E4" s="464"/>
      <c r="F4" s="464"/>
      <c r="G4" s="464"/>
      <c r="H4" s="464"/>
      <c r="I4" s="465" t="s">
        <v>140</v>
      </c>
      <c r="J4" s="466">
        <f>+[1]NSG!D75</f>
        <v>0.02</v>
      </c>
    </row>
    <row r="5" spans="1:10">
      <c r="A5" s="465" t="s">
        <v>141</v>
      </c>
      <c r="B5" s="464" t="str">
        <f>IF(B6="","",VLOOKUP(B6,[2]NSG!$B$16:$H$73,7,FALSE))</f>
        <v/>
      </c>
      <c r="C5" s="464"/>
      <c r="D5" s="464"/>
      <c r="E5" s="464"/>
      <c r="F5" s="464"/>
      <c r="G5" s="464"/>
      <c r="H5" s="464"/>
      <c r="I5" s="465" t="s">
        <v>142</v>
      </c>
      <c r="J5" s="466">
        <v>0.03</v>
      </c>
    </row>
    <row r="6" spans="1:10">
      <c r="A6" s="465" t="s">
        <v>143</v>
      </c>
      <c r="B6" s="467"/>
      <c r="C6" s="467"/>
      <c r="D6" s="464"/>
      <c r="E6" s="464"/>
      <c r="F6" s="464"/>
      <c r="G6" s="464"/>
      <c r="H6" s="464"/>
      <c r="I6" s="464"/>
      <c r="J6" s="464"/>
    </row>
    <row r="7" spans="1:10">
      <c r="A7" s="465" t="s">
        <v>144</v>
      </c>
      <c r="B7" s="464" t="s">
        <v>5</v>
      </c>
      <c r="C7" s="464"/>
      <c r="D7" s="464"/>
      <c r="E7" s="464"/>
      <c r="F7" s="464"/>
      <c r="G7" s="464"/>
      <c r="H7" s="464"/>
      <c r="I7" s="464"/>
      <c r="J7" s="464"/>
    </row>
    <row r="8" spans="1:10">
      <c r="A8" s="465"/>
      <c r="B8" s="464"/>
      <c r="C8" s="464"/>
      <c r="D8" s="464"/>
      <c r="E8" s="464"/>
      <c r="F8" s="464"/>
      <c r="G8" s="464"/>
      <c r="H8" s="464"/>
      <c r="I8" s="464"/>
      <c r="J8" s="464"/>
    </row>
    <row r="9" spans="1:10">
      <c r="A9" s="465"/>
      <c r="B9" s="468"/>
      <c r="C9" s="468"/>
      <c r="D9" s="469"/>
      <c r="E9" s="470"/>
      <c r="F9" s="470"/>
      <c r="G9" s="470"/>
      <c r="H9" s="470"/>
      <c r="I9" s="470"/>
      <c r="J9" s="470"/>
    </row>
    <row r="10" spans="1:10" s="473" customFormat="1" ht="34.5" customHeight="1">
      <c r="A10" s="471" t="s">
        <v>145</v>
      </c>
      <c r="B10" s="471" t="s">
        <v>114</v>
      </c>
      <c r="C10" s="471" t="s">
        <v>146</v>
      </c>
      <c r="D10" s="471" t="s">
        <v>147</v>
      </c>
      <c r="E10" s="471" t="s">
        <v>148</v>
      </c>
      <c r="F10" s="471" t="s">
        <v>98</v>
      </c>
      <c r="G10" s="471" t="s">
        <v>50</v>
      </c>
      <c r="H10" s="471" t="s">
        <v>27</v>
      </c>
      <c r="I10" s="472" t="s">
        <v>150</v>
      </c>
      <c r="J10" s="484" t="s">
        <v>149</v>
      </c>
    </row>
    <row r="11" spans="1:10" s="473" customFormat="1">
      <c r="A11" s="474">
        <f>+NSG!B76</f>
        <v>3707</v>
      </c>
      <c r="B11" s="475">
        <f>+NSG!E16</f>
        <v>45748</v>
      </c>
      <c r="C11" s="475">
        <f>+NSG!H76</f>
        <v>45772</v>
      </c>
      <c r="D11" s="476">
        <f>+NSG!I76</f>
        <v>24</v>
      </c>
      <c r="E11" s="477">
        <f>+NSG!J76</f>
        <v>17822.005369530911</v>
      </c>
      <c r="F11" s="477">
        <f>+NSG!K76</f>
        <v>287.34897733476816</v>
      </c>
      <c r="G11" s="477">
        <f>+NSG!L76</f>
        <v>432.68326422608413</v>
      </c>
      <c r="H11" s="477">
        <f>+NSG!M76</f>
        <v>129.6058034809534</v>
      </c>
      <c r="I11" s="478">
        <f>+NSG!O16</f>
        <v>17822.005369530911</v>
      </c>
      <c r="J11" s="470">
        <f>SUM(E11:H11)-I11</f>
        <v>849.63804504180735</v>
      </c>
    </row>
    <row r="12" spans="1:10" s="473" customFormat="1">
      <c r="A12" s="474">
        <f>+NSG!B77</f>
        <v>3708</v>
      </c>
      <c r="B12" s="475">
        <f>+NSG!E17</f>
        <v>45748</v>
      </c>
      <c r="C12" s="475">
        <f>+NSG!H77</f>
        <v>45772</v>
      </c>
      <c r="D12" s="476">
        <f>+NSG!I77</f>
        <v>24</v>
      </c>
      <c r="E12" s="477">
        <f>+NSG!J77</f>
        <v>7530.3143289603422</v>
      </c>
      <c r="F12" s="477">
        <f>+NSG!K77</f>
        <v>121.41327962651484</v>
      </c>
      <c r="G12" s="477">
        <f>+NSG!L77</f>
        <v>182.82123234422383</v>
      </c>
      <c r="H12" s="477">
        <f>+NSG!M77</f>
        <v>54.762212154732957</v>
      </c>
      <c r="I12" s="478">
        <f>+NSG!O17</f>
        <v>7530.3143289603422</v>
      </c>
      <c r="J12" s="470">
        <f t="shared" ref="J12:J17" si="0">SUM(E12:H12)-I12</f>
        <v>358.9967241254717</v>
      </c>
    </row>
    <row r="13" spans="1:10" s="473" customFormat="1">
      <c r="A13" s="474">
        <f>+NSG!B78</f>
        <v>3709</v>
      </c>
      <c r="B13" s="475">
        <f>+NSG!E18</f>
        <v>45748</v>
      </c>
      <c r="C13" s="475">
        <f>+NSG!H78</f>
        <v>45772</v>
      </c>
      <c r="D13" s="476">
        <f>+NSG!I78</f>
        <v>24</v>
      </c>
      <c r="E13" s="477">
        <f>+NSG!J78</f>
        <v>7530.3143289603422</v>
      </c>
      <c r="F13" s="477">
        <f>+NSG!K78</f>
        <v>121.41327962651484</v>
      </c>
      <c r="G13" s="477">
        <f>+NSG!L78</f>
        <v>182.82123234422383</v>
      </c>
      <c r="H13" s="477">
        <f>+NSG!M78</f>
        <v>54.762212154732957</v>
      </c>
      <c r="I13" s="478">
        <f>+NSG!O18</f>
        <v>7530.3143289603422</v>
      </c>
      <c r="J13" s="470">
        <f t="shared" si="0"/>
        <v>358.9967241254717</v>
      </c>
    </row>
    <row r="14" spans="1:10" s="473" customFormat="1">
      <c r="A14" s="474">
        <f>+NSG!B79</f>
        <v>3710</v>
      </c>
      <c r="B14" s="475">
        <f>+NSG!E19</f>
        <v>45748</v>
      </c>
      <c r="C14" s="475">
        <f>+NSG!H79</f>
        <v>45772</v>
      </c>
      <c r="D14" s="476">
        <f>+NSG!I79</f>
        <v>24</v>
      </c>
      <c r="E14" s="477">
        <f>+NSG!J79</f>
        <v>7530.3143289603422</v>
      </c>
      <c r="F14" s="477">
        <f>+NSG!K79</f>
        <v>121.41327962651484</v>
      </c>
      <c r="G14" s="477">
        <f>+NSG!L79</f>
        <v>182.82123234422383</v>
      </c>
      <c r="H14" s="477">
        <f>+NSG!M79</f>
        <v>54.762212154732957</v>
      </c>
      <c r="I14" s="478">
        <f>+NSG!O19</f>
        <v>7530.3143289603422</v>
      </c>
      <c r="J14" s="470">
        <f t="shared" si="0"/>
        <v>358.9967241254717</v>
      </c>
    </row>
    <row r="15" spans="1:10" s="473" customFormat="1">
      <c r="A15" s="474">
        <f>+NSG!B80</f>
        <v>3711</v>
      </c>
      <c r="B15" s="475">
        <f>+NSG!E20</f>
        <v>45748</v>
      </c>
      <c r="C15" s="475">
        <f>+NSG!H80</f>
        <v>45772</v>
      </c>
      <c r="D15" s="476">
        <f>+NSG!I80</f>
        <v>24</v>
      </c>
      <c r="E15" s="477">
        <f>+NSG!J80</f>
        <v>4363.8590424871036</v>
      </c>
      <c r="F15" s="477">
        <f>+NSG!K80</f>
        <v>70.359670928813927</v>
      </c>
      <c r="G15" s="477">
        <f>+NSG!L80</f>
        <v>105.94592112254156</v>
      </c>
      <c r="H15" s="477">
        <f>+NSG!M80</f>
        <v>31.735006569243986</v>
      </c>
      <c r="I15" s="478">
        <f>+NSG!O20</f>
        <v>4363.8590424871036</v>
      </c>
      <c r="J15" s="470">
        <f t="shared" si="0"/>
        <v>208.04059862059967</v>
      </c>
    </row>
    <row r="16" spans="1:10" s="473" customFormat="1">
      <c r="A16" s="474">
        <f>+NSG!B81</f>
        <v>3712</v>
      </c>
      <c r="B16" s="475">
        <f>+NSG!E21</f>
        <v>45748</v>
      </c>
      <c r="C16" s="475">
        <f>+NSG!H81</f>
        <v>45772</v>
      </c>
      <c r="D16" s="476">
        <f>+NSG!I81</f>
        <v>24</v>
      </c>
      <c r="E16" s="477">
        <f>+NSG!J81</f>
        <v>5222.5221507192364</v>
      </c>
      <c r="F16" s="477">
        <f>+NSG!K81</f>
        <v>84.204126752367017</v>
      </c>
      <c r="G16" s="477">
        <f>+NSG!L81</f>
        <v>126.79257383287982</v>
      </c>
      <c r="H16" s="477">
        <f>+NSG!M81</f>
        <v>37.979406105344431</v>
      </c>
      <c r="I16" s="478">
        <f>+NSG!O21</f>
        <v>5222.5221507192364</v>
      </c>
      <c r="J16" s="470">
        <f t="shared" si="0"/>
        <v>248.97610669059122</v>
      </c>
    </row>
    <row r="17" spans="1:10" s="473" customFormat="1">
      <c r="A17" s="474">
        <f>+NSG!B82</f>
        <v>3713</v>
      </c>
      <c r="B17" s="475">
        <f>+NSG!E22</f>
        <v>45748</v>
      </c>
      <c r="C17" s="475">
        <f>+NSG!H82</f>
        <v>45772</v>
      </c>
      <c r="D17" s="476">
        <f>+NSG!I82</f>
        <v>24</v>
      </c>
      <c r="E17" s="477">
        <f>+NSG!J82</f>
        <v>6829.4520432482313</v>
      </c>
      <c r="F17" s="477">
        <f>+NSG!K82</f>
        <v>110.1130888300184</v>
      </c>
      <c r="G17" s="477">
        <f>+NSG!L82</f>
        <v>165.80567347376589</v>
      </c>
      <c r="H17" s="477">
        <f>+NSG!M82</f>
        <v>49.665377214681179</v>
      </c>
      <c r="I17" s="478">
        <f>+NSG!O22</f>
        <v>6829.4520432482313</v>
      </c>
      <c r="J17" s="470">
        <f t="shared" si="0"/>
        <v>325.58413951846524</v>
      </c>
    </row>
    <row r="18" spans="1:10" s="473" customFormat="1">
      <c r="A18" s="474"/>
      <c r="B18" s="475"/>
    </row>
    <row r="19" spans="1:10" s="473" customFormat="1">
      <c r="A19" s="474"/>
      <c r="B19" s="475"/>
    </row>
    <row r="20" spans="1:10" s="473" customFormat="1">
      <c r="A20" s="474"/>
      <c r="B20" s="475"/>
    </row>
    <row r="21" spans="1:10" s="473" customFormat="1" ht="15" thickBot="1">
      <c r="A21" s="474"/>
      <c r="B21" s="475"/>
    </row>
    <row r="22" spans="1:10" s="473" customFormat="1" ht="15" thickBot="1">
      <c r="A22" s="474"/>
      <c r="I22" s="479" t="s">
        <v>47</v>
      </c>
      <c r="J22" s="480">
        <f>+SUM(J11:J19)</f>
        <v>2709.2290622478786</v>
      </c>
    </row>
    <row r="23" spans="1:10" s="473" customFormat="1">
      <c r="A23" s="474"/>
    </row>
    <row r="24" spans="1:10" s="473" customFormat="1">
      <c r="A24" s="474"/>
    </row>
    <row r="25" spans="1:10" s="473" customFormat="1">
      <c r="A25" s="474"/>
    </row>
    <row r="26" spans="1:10" s="473" customFormat="1">
      <c r="A26" s="474"/>
    </row>
    <row r="27" spans="1:10" s="473" customFormat="1"/>
    <row r="28" spans="1:10" s="473" customFormat="1"/>
    <row r="29" spans="1:10" s="473" customFormat="1"/>
    <row r="30" spans="1:10" s="473" customFormat="1"/>
    <row r="31" spans="1:10" s="473" customFormat="1"/>
    <row r="32" spans="1:10" s="473" customFormat="1"/>
    <row r="33" spans="1:10" s="473" customFormat="1"/>
    <row r="34" spans="1:10" s="473" customFormat="1"/>
    <row r="35" spans="1:10" s="473" customFormat="1"/>
    <row r="36" spans="1:10" s="473" customFormat="1"/>
    <row r="37" spans="1:10" s="473" customFormat="1"/>
    <row r="38" spans="1:10" s="473" customFormat="1"/>
    <row r="39" spans="1:10" s="473" customFormat="1">
      <c r="A39" s="474"/>
      <c r="J39" s="481"/>
    </row>
    <row r="40" spans="1:10" s="473" customFormat="1">
      <c r="J40" s="482"/>
    </row>
    <row r="41" spans="1:10" s="473" customFormat="1">
      <c r="J41" s="482"/>
    </row>
    <row r="42" spans="1:10" s="473" customFormat="1">
      <c r="A42" s="464"/>
      <c r="B42" s="464"/>
      <c r="C42" s="464"/>
      <c r="D42" s="464"/>
      <c r="E42" s="464"/>
      <c r="F42" s="464"/>
      <c r="J42" s="482"/>
    </row>
    <row r="43" spans="1:10" s="473" customFormat="1">
      <c r="A43" s="464"/>
      <c r="B43" s="464"/>
      <c r="C43" s="464"/>
      <c r="D43" s="464"/>
      <c r="E43" s="464"/>
      <c r="F43" s="464"/>
      <c r="G43" s="464"/>
      <c r="H43" s="464"/>
      <c r="I43" s="464"/>
      <c r="J43" s="482"/>
    </row>
    <row r="44" spans="1:10" s="473" customFormat="1">
      <c r="A44" s="464"/>
      <c r="B44" s="464"/>
      <c r="C44" s="464"/>
      <c r="D44" s="464"/>
      <c r="E44" s="464"/>
      <c r="F44" s="464"/>
      <c r="G44" s="464"/>
      <c r="H44" s="464"/>
      <c r="I44" s="464"/>
      <c r="J44" s="482"/>
    </row>
    <row r="45" spans="1:10" s="473" customFormat="1">
      <c r="A45" s="464"/>
      <c r="B45" s="464"/>
      <c r="C45" s="464"/>
      <c r="D45" s="464"/>
      <c r="E45" s="464"/>
      <c r="F45" s="464"/>
      <c r="G45" s="464"/>
      <c r="H45" s="464"/>
      <c r="I45" s="464"/>
      <c r="J45" s="482"/>
    </row>
    <row r="46" spans="1:10" s="473" customFormat="1">
      <c r="B46" s="475"/>
      <c r="C46" s="475"/>
      <c r="D46" s="476"/>
      <c r="E46" s="483"/>
      <c r="F46" s="483"/>
      <c r="G46" s="483"/>
      <c r="H46" s="483"/>
      <c r="I46" s="483"/>
      <c r="J46" s="482"/>
    </row>
    <row r="47" spans="1:10" s="473" customFormat="1">
      <c r="B47" s="475"/>
      <c r="C47" s="475"/>
      <c r="D47" s="476"/>
      <c r="E47" s="483"/>
      <c r="F47" s="483"/>
      <c r="G47" s="483"/>
      <c r="H47" s="483"/>
      <c r="I47" s="483"/>
      <c r="J47" s="482"/>
    </row>
    <row r="48" spans="1:10" s="473" customFormat="1">
      <c r="B48" s="475"/>
      <c r="C48" s="475"/>
      <c r="D48" s="476"/>
      <c r="E48" s="483"/>
      <c r="F48" s="483"/>
      <c r="G48" s="483"/>
      <c r="H48" s="483"/>
      <c r="I48" s="483"/>
      <c r="J48" s="482"/>
    </row>
    <row r="49" spans="2:10" s="473" customFormat="1">
      <c r="B49" s="475"/>
      <c r="C49" s="475"/>
      <c r="D49" s="476"/>
      <c r="E49" s="483"/>
      <c r="F49" s="483"/>
      <c r="G49" s="483"/>
      <c r="H49" s="483"/>
      <c r="I49" s="483"/>
      <c r="J49" s="482"/>
    </row>
    <row r="50" spans="2:10" s="473" customFormat="1">
      <c r="B50" s="475"/>
      <c r="C50" s="475"/>
      <c r="D50" s="476"/>
      <c r="E50" s="483"/>
      <c r="F50" s="483"/>
      <c r="G50" s="483"/>
      <c r="H50" s="483"/>
      <c r="I50" s="483"/>
      <c r="J50" s="482"/>
    </row>
    <row r="51" spans="2:10" s="473" customFormat="1">
      <c r="B51" s="475"/>
      <c r="C51" s="475"/>
      <c r="D51" s="476"/>
      <c r="E51" s="483"/>
      <c r="F51" s="483"/>
      <c r="G51" s="483"/>
      <c r="H51" s="483"/>
      <c r="I51" s="483"/>
    </row>
    <row r="52" spans="2:10" s="473" customFormat="1">
      <c r="B52" s="475"/>
      <c r="C52" s="475"/>
      <c r="D52" s="476"/>
      <c r="E52" s="483"/>
      <c r="F52" s="483"/>
      <c r="G52" s="483"/>
      <c r="H52" s="483"/>
      <c r="I52" s="483"/>
    </row>
    <row r="53" spans="2:10" s="473" customFormat="1">
      <c r="B53" s="475"/>
      <c r="C53" s="475"/>
      <c r="D53" s="476"/>
      <c r="E53" s="483"/>
      <c r="F53" s="483"/>
      <c r="G53" s="483"/>
      <c r="H53" s="483"/>
      <c r="I53" s="483"/>
    </row>
    <row r="54" spans="2:10" s="473" customFormat="1">
      <c r="B54" s="475"/>
      <c r="C54" s="475"/>
      <c r="D54" s="476"/>
      <c r="E54" s="483"/>
      <c r="F54" s="483"/>
      <c r="G54" s="483"/>
      <c r="H54" s="483"/>
      <c r="I54" s="483"/>
    </row>
    <row r="55" spans="2:10">
      <c r="J55" s="464"/>
    </row>
    <row r="56" spans="2:10">
      <c r="J56" s="464"/>
    </row>
    <row r="57" spans="2:10">
      <c r="J57" s="464"/>
    </row>
    <row r="58" spans="2:10">
      <c r="J58" s="464"/>
    </row>
  </sheetData>
  <mergeCells count="1">
    <mergeCell ref="A1:J1"/>
  </mergeCells>
  <pageMargins left="0.7" right="0.7" top="0.75" bottom="0.75" header="0.3" footer="0.3"/>
  <pageSetup scale="62" orientation="portrait" horizontalDpi="360" verticalDpi="360" r:id="rId1"/>
  <colBreaks count="1" manualBreakCount="1">
    <brk id="10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2"/>
  <sheetViews>
    <sheetView tabSelected="1" topLeftCell="A82" workbookViewId="0">
      <selection activeCell="C94" sqref="C94"/>
    </sheetView>
  </sheetViews>
  <sheetFormatPr defaultRowHeight="13.2"/>
  <cols>
    <col min="2" max="2" width="20.44140625" customWidth="1"/>
    <col min="3" max="3" width="21.5546875" customWidth="1"/>
    <col min="4" max="4" width="14.109375" customWidth="1"/>
    <col min="5" max="5" width="25" customWidth="1"/>
    <col min="6" max="6" width="11.21875" customWidth="1"/>
    <col min="7" max="7" width="15.6640625" customWidth="1"/>
    <col min="8" max="8" width="13.6640625" customWidth="1"/>
    <col min="9" max="9" width="15.6640625" customWidth="1"/>
    <col min="10" max="10" width="14.33203125" customWidth="1"/>
  </cols>
  <sheetData>
    <row r="2" spans="1:10">
      <c r="B2" s="437" t="s">
        <v>79</v>
      </c>
      <c r="C2" s="543">
        <f>NSG!F10</f>
        <v>45650</v>
      </c>
      <c r="E2" s="437" t="s">
        <v>164</v>
      </c>
      <c r="F2">
        <f>NSG!D76</f>
        <v>1202.835048660585</v>
      </c>
    </row>
    <row r="3" spans="1:10">
      <c r="B3" s="437" t="s">
        <v>155</v>
      </c>
      <c r="C3" s="550">
        <f>NSG!C75</f>
        <v>0.94822651631339161</v>
      </c>
      <c r="E3" s="437" t="s">
        <v>159</v>
      </c>
      <c r="F3">
        <f>NSG!E76</f>
        <v>216.5103087589053</v>
      </c>
    </row>
    <row r="4" spans="1:10">
      <c r="B4" s="437" t="s">
        <v>154</v>
      </c>
      <c r="C4">
        <f>NSG!M16</f>
        <v>18795.092800000002</v>
      </c>
      <c r="E4" s="437" t="s">
        <v>165</v>
      </c>
      <c r="F4">
        <f>NSG!F76</f>
        <v>133.66504027148184</v>
      </c>
    </row>
    <row r="5" spans="1:10">
      <c r="B5" s="437" t="s">
        <v>148</v>
      </c>
      <c r="C5">
        <f>C3*C4</f>
        <v>17822.005369530911</v>
      </c>
      <c r="E5" s="437" t="s">
        <v>166</v>
      </c>
      <c r="F5" s="487">
        <f>Sheet1!F4*18%</f>
        <v>24.059707248866729</v>
      </c>
      <c r="G5" s="487"/>
      <c r="H5" s="487"/>
    </row>
    <row r="6" spans="1:10">
      <c r="B6" s="437" t="s">
        <v>156</v>
      </c>
      <c r="C6" s="544">
        <v>0.02</v>
      </c>
      <c r="E6" s="437" t="s">
        <v>167</v>
      </c>
      <c r="F6">
        <f>C5-SUM(F2:F5)</f>
        <v>16244.935264591071</v>
      </c>
    </row>
    <row r="7" spans="1:10" s="487" customFormat="1">
      <c r="B7" s="437" t="s">
        <v>162</v>
      </c>
      <c r="C7" s="544">
        <v>0.03</v>
      </c>
    </row>
    <row r="8" spans="1:10" s="487" customFormat="1">
      <c r="B8" s="437" t="s">
        <v>158</v>
      </c>
      <c r="C8" s="543">
        <f>NSG!E16</f>
        <v>45748</v>
      </c>
    </row>
    <row r="9" spans="1:10" s="487" customFormat="1">
      <c r="B9" s="437"/>
      <c r="C9" s="543"/>
    </row>
    <row r="10" spans="1:10" s="487" customFormat="1">
      <c r="B10" s="437"/>
      <c r="C10" s="544"/>
    </row>
    <row r="11" spans="1:10" s="546" customFormat="1" ht="47.4" customHeight="1">
      <c r="B11" s="547" t="s">
        <v>105</v>
      </c>
      <c r="C11" s="547" t="s">
        <v>157</v>
      </c>
      <c r="D11" s="547" t="s">
        <v>159</v>
      </c>
      <c r="E11" s="547" t="s">
        <v>160</v>
      </c>
      <c r="F11" s="547" t="s">
        <v>161</v>
      </c>
      <c r="G11" s="547" t="s">
        <v>163</v>
      </c>
      <c r="H11" s="547" t="s">
        <v>169</v>
      </c>
      <c r="I11" s="547" t="s">
        <v>170</v>
      </c>
      <c r="J11" s="547" t="s">
        <v>171</v>
      </c>
    </row>
    <row r="12" spans="1:10">
      <c r="A12">
        <v>1</v>
      </c>
      <c r="B12" s="543">
        <f>$C$2+1</f>
        <v>45651</v>
      </c>
      <c r="C12" s="545">
        <f>(POWER((1+$C$6/30),B12-$C$2)-1)*$C$5</f>
        <v>11.881336913019299</v>
      </c>
      <c r="D12" s="545">
        <f>C12*0.18</f>
        <v>2.1386406443434738</v>
      </c>
      <c r="E12" s="487">
        <f t="shared" ref="E12:E75" si="0">IF(B12&gt;$C$8,(POWER((1+$C$7/30),B12-$C$8)-1)*$C$5,0)</f>
        <v>0</v>
      </c>
      <c r="F12">
        <f>E12*18%</f>
        <v>0</v>
      </c>
    </row>
    <row r="13" spans="1:10">
      <c r="A13" s="487">
        <v>2</v>
      </c>
      <c r="B13" s="543">
        <f>B12+1</f>
        <v>45652</v>
      </c>
      <c r="C13" s="545">
        <f t="shared" ref="C13:C76" si="1">(POWER((1+$C$6/30),B13-$C$2)-1)*$C$5</f>
        <v>23.770594717312413</v>
      </c>
      <c r="D13" s="545">
        <f t="shared" ref="D13:D76" si="2">C13*0.18</f>
        <v>4.2787070491162345</v>
      </c>
      <c r="E13" s="487">
        <f t="shared" si="0"/>
        <v>0</v>
      </c>
      <c r="F13" s="487">
        <f t="shared" ref="F13:F76" si="3">E13*18%</f>
        <v>0</v>
      </c>
    </row>
    <row r="14" spans="1:10">
      <c r="A14" s="487">
        <v>3</v>
      </c>
      <c r="B14" s="543">
        <f t="shared" ref="B14:B77" si="4">B13+1</f>
        <v>45653</v>
      </c>
      <c r="C14" s="545">
        <f t="shared" si="1"/>
        <v>35.667778693477921</v>
      </c>
      <c r="D14" s="545">
        <f t="shared" si="2"/>
        <v>6.4202001648260252</v>
      </c>
      <c r="E14" s="487">
        <f t="shared" si="0"/>
        <v>0</v>
      </c>
      <c r="F14" s="487">
        <f t="shared" si="3"/>
        <v>0</v>
      </c>
    </row>
    <row r="15" spans="1:10">
      <c r="A15" s="487">
        <v>4</v>
      </c>
      <c r="B15" s="543">
        <f t="shared" si="4"/>
        <v>45654</v>
      </c>
      <c r="C15" s="545">
        <f t="shared" si="1"/>
        <v>47.572894125624508</v>
      </c>
      <c r="D15" s="545">
        <f t="shared" si="2"/>
        <v>8.5631209426124109</v>
      </c>
      <c r="E15" s="487">
        <f t="shared" si="0"/>
        <v>0</v>
      </c>
      <c r="F15" s="487">
        <f t="shared" si="3"/>
        <v>0</v>
      </c>
    </row>
    <row r="16" spans="1:10">
      <c r="A16" s="487">
        <v>5</v>
      </c>
      <c r="B16" s="543">
        <f t="shared" si="4"/>
        <v>45655</v>
      </c>
      <c r="C16" s="545">
        <f t="shared" si="1"/>
        <v>59.485946301394712</v>
      </c>
      <c r="D16" s="545">
        <f t="shared" si="2"/>
        <v>10.707470334251047</v>
      </c>
      <c r="E16" s="487">
        <f t="shared" si="0"/>
        <v>0</v>
      </c>
      <c r="F16" s="487">
        <f t="shared" si="3"/>
        <v>0</v>
      </c>
    </row>
    <row r="17" spans="1:6">
      <c r="A17" s="487">
        <v>6</v>
      </c>
      <c r="B17" s="543">
        <f t="shared" si="4"/>
        <v>45656</v>
      </c>
      <c r="C17" s="545">
        <f t="shared" si="1"/>
        <v>71.406940511945137</v>
      </c>
      <c r="D17" s="545">
        <f t="shared" si="2"/>
        <v>12.853249292150124</v>
      </c>
      <c r="E17" s="487">
        <f t="shared" si="0"/>
        <v>0</v>
      </c>
      <c r="F17" s="487">
        <f t="shared" si="3"/>
        <v>0</v>
      </c>
    </row>
    <row r="18" spans="1:6">
      <c r="A18" s="487">
        <v>7</v>
      </c>
      <c r="B18" s="543">
        <f t="shared" si="4"/>
        <v>45657</v>
      </c>
      <c r="C18" s="545">
        <f t="shared" si="1"/>
        <v>83.335882051974139</v>
      </c>
      <c r="D18" s="545">
        <f t="shared" si="2"/>
        <v>15.000458769355344</v>
      </c>
      <c r="E18" s="487">
        <f t="shared" si="0"/>
        <v>0</v>
      </c>
      <c r="F18" s="487">
        <f t="shared" si="3"/>
        <v>0</v>
      </c>
    </row>
    <row r="19" spans="1:6">
      <c r="A19" s="487">
        <v>8</v>
      </c>
      <c r="B19" s="543">
        <f t="shared" si="4"/>
        <v>45658</v>
      </c>
      <c r="C19" s="545">
        <f t="shared" si="1"/>
        <v>95.272776219694151</v>
      </c>
      <c r="D19" s="545">
        <f t="shared" si="2"/>
        <v>17.149099719544946</v>
      </c>
      <c r="E19" s="487">
        <f t="shared" si="0"/>
        <v>0</v>
      </c>
      <c r="F19" s="487">
        <f t="shared" si="3"/>
        <v>0</v>
      </c>
    </row>
    <row r="20" spans="1:6">
      <c r="A20" s="487">
        <v>9</v>
      </c>
      <c r="B20" s="543">
        <f t="shared" si="4"/>
        <v>45659</v>
      </c>
      <c r="C20" s="545">
        <f t="shared" si="1"/>
        <v>107.21762831685939</v>
      </c>
      <c r="D20" s="545">
        <f t="shared" si="2"/>
        <v>19.299173097034689</v>
      </c>
      <c r="E20" s="487">
        <f t="shared" si="0"/>
        <v>0</v>
      </c>
      <c r="F20" s="487">
        <f t="shared" si="3"/>
        <v>0</v>
      </c>
    </row>
    <row r="21" spans="1:6">
      <c r="A21" s="487">
        <v>10</v>
      </c>
      <c r="B21" s="543">
        <f t="shared" si="4"/>
        <v>45660</v>
      </c>
      <c r="C21" s="545">
        <f t="shared" si="1"/>
        <v>119.17044364875392</v>
      </c>
      <c r="D21" s="545">
        <f t="shared" si="2"/>
        <v>21.450679856775704</v>
      </c>
      <c r="E21" s="487">
        <f t="shared" si="0"/>
        <v>0</v>
      </c>
      <c r="F21" s="487">
        <f t="shared" si="3"/>
        <v>0</v>
      </c>
    </row>
    <row r="22" spans="1:6">
      <c r="A22" s="487">
        <v>11</v>
      </c>
      <c r="B22" s="543">
        <f t="shared" si="4"/>
        <v>45661</v>
      </c>
      <c r="C22" s="545">
        <f t="shared" si="1"/>
        <v>131.13122752420756</v>
      </c>
      <c r="D22" s="545">
        <f t="shared" si="2"/>
        <v>23.603620954357361</v>
      </c>
      <c r="E22" s="487">
        <f t="shared" si="0"/>
        <v>0</v>
      </c>
      <c r="F22" s="487">
        <f t="shared" si="3"/>
        <v>0</v>
      </c>
    </row>
    <row r="23" spans="1:6">
      <c r="A23" s="487">
        <v>12</v>
      </c>
      <c r="B23" s="543">
        <f t="shared" si="4"/>
        <v>45662</v>
      </c>
      <c r="C23" s="545">
        <f t="shared" si="1"/>
        <v>143.09998525557609</v>
      </c>
      <c r="D23" s="545">
        <f t="shared" si="2"/>
        <v>25.757997346003695</v>
      </c>
      <c r="E23" s="487">
        <f t="shared" si="0"/>
        <v>0</v>
      </c>
      <c r="F23" s="487">
        <f t="shared" si="3"/>
        <v>0</v>
      </c>
    </row>
    <row r="24" spans="1:6">
      <c r="A24" s="487">
        <v>13</v>
      </c>
      <c r="B24" s="543">
        <f t="shared" si="4"/>
        <v>45663</v>
      </c>
      <c r="C24" s="545">
        <f t="shared" si="1"/>
        <v>155.07672215876491</v>
      </c>
      <c r="D24" s="545">
        <f t="shared" si="2"/>
        <v>27.913809988577682</v>
      </c>
      <c r="E24" s="487">
        <f t="shared" si="0"/>
        <v>0</v>
      </c>
      <c r="F24" s="487">
        <f t="shared" si="3"/>
        <v>0</v>
      </c>
    </row>
    <row r="25" spans="1:6">
      <c r="A25" s="487">
        <v>14</v>
      </c>
      <c r="B25" s="543">
        <f t="shared" si="4"/>
        <v>45664</v>
      </c>
      <c r="C25" s="545">
        <f t="shared" si="1"/>
        <v>167.06144355322124</v>
      </c>
      <c r="D25" s="545">
        <f t="shared" si="2"/>
        <v>30.071059839579821</v>
      </c>
      <c r="E25" s="487">
        <f t="shared" si="0"/>
        <v>0</v>
      </c>
      <c r="F25" s="487">
        <f t="shared" si="3"/>
        <v>0</v>
      </c>
    </row>
    <row r="26" spans="1:6">
      <c r="A26" s="487">
        <v>15</v>
      </c>
      <c r="B26" s="543">
        <f t="shared" si="4"/>
        <v>45665</v>
      </c>
      <c r="C26" s="545">
        <f t="shared" si="1"/>
        <v>179.05415476194588</v>
      </c>
      <c r="D26" s="545">
        <f t="shared" si="2"/>
        <v>32.229747857150258</v>
      </c>
      <c r="E26" s="487">
        <f t="shared" si="0"/>
        <v>0</v>
      </c>
      <c r="F26" s="487">
        <f t="shared" si="3"/>
        <v>0</v>
      </c>
    </row>
    <row r="27" spans="1:6">
      <c r="A27" s="487">
        <v>16</v>
      </c>
      <c r="B27" s="543">
        <f t="shared" si="4"/>
        <v>45666</v>
      </c>
      <c r="C27" s="545">
        <f t="shared" si="1"/>
        <v>191.05486111146959</v>
      </c>
      <c r="D27" s="545">
        <f t="shared" si="2"/>
        <v>34.389875000064528</v>
      </c>
      <c r="E27" s="487">
        <f t="shared" si="0"/>
        <v>0</v>
      </c>
      <c r="F27" s="487">
        <f t="shared" si="3"/>
        <v>0</v>
      </c>
    </row>
    <row r="28" spans="1:6">
      <c r="A28" s="487">
        <v>17</v>
      </c>
      <c r="B28" s="543">
        <f t="shared" si="4"/>
        <v>45667</v>
      </c>
      <c r="C28" s="545">
        <f t="shared" si="1"/>
        <v>203.06356793189653</v>
      </c>
      <c r="D28" s="545">
        <f t="shared" si="2"/>
        <v>36.551442227741376</v>
      </c>
      <c r="E28" s="487">
        <f t="shared" si="0"/>
        <v>0</v>
      </c>
      <c r="F28" s="487">
        <f t="shared" si="3"/>
        <v>0</v>
      </c>
    </row>
    <row r="29" spans="1:6">
      <c r="A29" s="487">
        <v>18</v>
      </c>
      <c r="B29" s="543">
        <f t="shared" si="4"/>
        <v>45668</v>
      </c>
      <c r="C29" s="545">
        <f t="shared" si="1"/>
        <v>215.08028055686862</v>
      </c>
      <c r="D29" s="545">
        <f t="shared" si="2"/>
        <v>38.714450500236346</v>
      </c>
      <c r="E29" s="487">
        <f t="shared" si="0"/>
        <v>0</v>
      </c>
      <c r="F29" s="487">
        <f t="shared" si="3"/>
        <v>0</v>
      </c>
    </row>
    <row r="30" spans="1:6">
      <c r="A30" s="487">
        <v>19</v>
      </c>
      <c r="B30" s="543">
        <f t="shared" si="4"/>
        <v>45669</v>
      </c>
      <c r="C30" s="545">
        <f t="shared" si="1"/>
        <v>227.10500432359336</v>
      </c>
      <c r="D30" s="545">
        <f t="shared" si="2"/>
        <v>40.878900778246802</v>
      </c>
      <c r="E30" s="487">
        <f t="shared" si="0"/>
        <v>0</v>
      </c>
      <c r="F30" s="487">
        <f t="shared" si="3"/>
        <v>0</v>
      </c>
    </row>
    <row r="31" spans="1:6">
      <c r="A31" s="487">
        <v>20</v>
      </c>
      <c r="B31" s="543">
        <f t="shared" si="4"/>
        <v>45670</v>
      </c>
      <c r="C31" s="545">
        <f t="shared" si="1"/>
        <v>239.1377445728279</v>
      </c>
      <c r="D31" s="545">
        <f t="shared" si="2"/>
        <v>43.04479402310902</v>
      </c>
      <c r="E31" s="487">
        <f t="shared" si="0"/>
        <v>0</v>
      </c>
      <c r="F31" s="487">
        <f t="shared" si="3"/>
        <v>0</v>
      </c>
    </row>
    <row r="32" spans="1:6">
      <c r="A32" s="487">
        <v>21</v>
      </c>
      <c r="B32" s="543">
        <f t="shared" si="4"/>
        <v>45671</v>
      </c>
      <c r="C32" s="545">
        <f t="shared" si="1"/>
        <v>251.17850664889488</v>
      </c>
      <c r="D32" s="545">
        <f t="shared" si="2"/>
        <v>45.212131196801074</v>
      </c>
      <c r="E32" s="487">
        <f t="shared" si="0"/>
        <v>0</v>
      </c>
      <c r="F32" s="487">
        <f t="shared" si="3"/>
        <v>0</v>
      </c>
    </row>
    <row r="33" spans="1:6">
      <c r="A33" s="487">
        <v>22</v>
      </c>
      <c r="B33" s="543">
        <f t="shared" si="4"/>
        <v>45672</v>
      </c>
      <c r="C33" s="545">
        <f t="shared" si="1"/>
        <v>263.22729589967855</v>
      </c>
      <c r="D33" s="545">
        <f t="shared" si="2"/>
        <v>47.38091326194214</v>
      </c>
      <c r="E33" s="487">
        <f t="shared" si="0"/>
        <v>0</v>
      </c>
      <c r="F33" s="487">
        <f t="shared" si="3"/>
        <v>0</v>
      </c>
    </row>
    <row r="34" spans="1:6">
      <c r="A34" s="487">
        <v>23</v>
      </c>
      <c r="B34" s="543">
        <f t="shared" si="4"/>
        <v>45673</v>
      </c>
      <c r="C34" s="545">
        <f t="shared" si="1"/>
        <v>275.28411767663255</v>
      </c>
      <c r="D34" s="545">
        <f t="shared" si="2"/>
        <v>49.551141181793859</v>
      </c>
      <c r="E34" s="487">
        <f t="shared" si="0"/>
        <v>0</v>
      </c>
      <c r="F34" s="487">
        <f t="shared" si="3"/>
        <v>0</v>
      </c>
    </row>
    <row r="35" spans="1:6">
      <c r="A35" s="487">
        <v>24</v>
      </c>
      <c r="B35" s="543">
        <f t="shared" si="4"/>
        <v>45674</v>
      </c>
      <c r="C35" s="545">
        <f t="shared" si="1"/>
        <v>287.34897733476816</v>
      </c>
      <c r="D35" s="545">
        <f t="shared" si="2"/>
        <v>51.72281592025827</v>
      </c>
      <c r="E35" s="487">
        <f t="shared" si="0"/>
        <v>0</v>
      </c>
      <c r="F35" s="487">
        <f t="shared" si="3"/>
        <v>0</v>
      </c>
    </row>
    <row r="36" spans="1:6">
      <c r="A36" s="487">
        <v>25</v>
      </c>
      <c r="B36" s="543">
        <f t="shared" si="4"/>
        <v>45675</v>
      </c>
      <c r="C36" s="545">
        <f t="shared" si="1"/>
        <v>299.42188023267801</v>
      </c>
      <c r="D36" s="545">
        <f t="shared" si="2"/>
        <v>53.895938441882038</v>
      </c>
      <c r="E36" s="487">
        <f t="shared" si="0"/>
        <v>0</v>
      </c>
      <c r="F36" s="487">
        <f t="shared" si="3"/>
        <v>0</v>
      </c>
    </row>
    <row r="37" spans="1:6">
      <c r="A37" s="487">
        <v>26</v>
      </c>
      <c r="B37" s="543">
        <f t="shared" si="4"/>
        <v>45676</v>
      </c>
      <c r="C37" s="545">
        <f t="shared" si="1"/>
        <v>311.50283173251626</v>
      </c>
      <c r="D37" s="545">
        <f t="shared" si="2"/>
        <v>56.070509711852921</v>
      </c>
      <c r="E37" s="487">
        <f t="shared" si="0"/>
        <v>0</v>
      </c>
      <c r="F37" s="487">
        <f t="shared" si="3"/>
        <v>0</v>
      </c>
    </row>
    <row r="38" spans="1:6">
      <c r="A38" s="487">
        <v>27</v>
      </c>
      <c r="B38" s="543">
        <f t="shared" si="4"/>
        <v>45677</v>
      </c>
      <c r="C38" s="545">
        <f t="shared" si="1"/>
        <v>323.5918372000263</v>
      </c>
      <c r="D38" s="545">
        <f t="shared" si="2"/>
        <v>58.246530696004733</v>
      </c>
      <c r="E38" s="487">
        <f t="shared" si="0"/>
        <v>0</v>
      </c>
      <c r="F38" s="487">
        <f t="shared" si="3"/>
        <v>0</v>
      </c>
    </row>
    <row r="39" spans="1:6">
      <c r="A39" s="487">
        <v>28</v>
      </c>
      <c r="B39" s="543">
        <f t="shared" si="4"/>
        <v>45678</v>
      </c>
      <c r="C39" s="545">
        <f t="shared" si="1"/>
        <v>335.68890200450915</v>
      </c>
      <c r="D39" s="545">
        <f t="shared" si="2"/>
        <v>60.424002360811642</v>
      </c>
      <c r="E39" s="487">
        <f t="shared" si="0"/>
        <v>0</v>
      </c>
      <c r="F39" s="487">
        <f t="shared" si="3"/>
        <v>0</v>
      </c>
    </row>
    <row r="40" spans="1:6">
      <c r="A40" s="487">
        <v>29</v>
      </c>
      <c r="B40" s="543">
        <f t="shared" si="4"/>
        <v>45679</v>
      </c>
      <c r="C40" s="545">
        <f t="shared" si="1"/>
        <v>347.79403151886697</v>
      </c>
      <c r="D40" s="545">
        <f t="shared" si="2"/>
        <v>62.602925673396051</v>
      </c>
      <c r="E40" s="487">
        <f t="shared" si="0"/>
        <v>0</v>
      </c>
      <c r="F40" s="487">
        <f t="shared" si="3"/>
        <v>0</v>
      </c>
    </row>
    <row r="41" spans="1:6">
      <c r="A41" s="487">
        <v>30</v>
      </c>
      <c r="B41" s="543">
        <f t="shared" si="4"/>
        <v>45680</v>
      </c>
      <c r="C41" s="545">
        <f t="shared" si="1"/>
        <v>359.90723111956351</v>
      </c>
      <c r="D41" s="545">
        <f t="shared" si="2"/>
        <v>64.78330160152143</v>
      </c>
      <c r="E41" s="487">
        <f t="shared" si="0"/>
        <v>0</v>
      </c>
      <c r="F41" s="487">
        <f t="shared" si="3"/>
        <v>0</v>
      </c>
    </row>
    <row r="42" spans="1:6">
      <c r="A42" s="487">
        <v>31</v>
      </c>
      <c r="B42" s="543">
        <f t="shared" si="4"/>
        <v>45681</v>
      </c>
      <c r="C42" s="545">
        <f t="shared" si="1"/>
        <v>372.02850618666344</v>
      </c>
      <c r="D42" s="545">
        <f t="shared" si="2"/>
        <v>66.965131113599412</v>
      </c>
      <c r="E42" s="487">
        <f t="shared" si="0"/>
        <v>0</v>
      </c>
      <c r="F42" s="487">
        <f t="shared" si="3"/>
        <v>0</v>
      </c>
    </row>
    <row r="43" spans="1:6">
      <c r="A43" s="487">
        <v>32</v>
      </c>
      <c r="B43" s="543">
        <f t="shared" si="4"/>
        <v>45682</v>
      </c>
      <c r="C43" s="545">
        <f t="shared" si="1"/>
        <v>384.15786210380509</v>
      </c>
      <c r="D43" s="545">
        <f t="shared" si="2"/>
        <v>69.148415178684914</v>
      </c>
      <c r="E43" s="487">
        <f t="shared" si="0"/>
        <v>0</v>
      </c>
      <c r="F43" s="487">
        <f t="shared" si="3"/>
        <v>0</v>
      </c>
    </row>
    <row r="44" spans="1:6">
      <c r="A44" s="487">
        <v>33</v>
      </c>
      <c r="B44" s="543">
        <f t="shared" si="4"/>
        <v>45683</v>
      </c>
      <c r="C44" s="545">
        <f t="shared" si="1"/>
        <v>396.29530425822782</v>
      </c>
      <c r="D44" s="545">
        <f t="shared" si="2"/>
        <v>71.333154766481002</v>
      </c>
      <c r="E44" s="487">
        <f t="shared" si="0"/>
        <v>0</v>
      </c>
      <c r="F44" s="487">
        <f t="shared" si="3"/>
        <v>0</v>
      </c>
    </row>
    <row r="45" spans="1:6">
      <c r="A45" s="487">
        <v>34</v>
      </c>
      <c r="B45" s="543">
        <f t="shared" si="4"/>
        <v>45684</v>
      </c>
      <c r="C45" s="545">
        <f t="shared" si="1"/>
        <v>408.4408380407483</v>
      </c>
      <c r="D45" s="545">
        <f t="shared" si="2"/>
        <v>73.519350847334692</v>
      </c>
      <c r="E45" s="487">
        <f t="shared" si="0"/>
        <v>0</v>
      </c>
      <c r="F45" s="487">
        <f t="shared" si="3"/>
        <v>0</v>
      </c>
    </row>
    <row r="46" spans="1:6">
      <c r="A46" s="487">
        <v>35</v>
      </c>
      <c r="B46" s="543">
        <f t="shared" si="4"/>
        <v>45685</v>
      </c>
      <c r="C46" s="545">
        <f t="shared" si="1"/>
        <v>420.59446884579643</v>
      </c>
      <c r="D46" s="545">
        <f t="shared" si="2"/>
        <v>75.707004392243348</v>
      </c>
      <c r="E46" s="487">
        <f t="shared" si="0"/>
        <v>0</v>
      </c>
      <c r="F46" s="487">
        <f t="shared" si="3"/>
        <v>0</v>
      </c>
    </row>
    <row r="47" spans="1:6">
      <c r="A47" s="487">
        <v>36</v>
      </c>
      <c r="B47" s="543">
        <f t="shared" si="4"/>
        <v>45686</v>
      </c>
      <c r="C47" s="545">
        <f t="shared" si="1"/>
        <v>432.75620207137916</v>
      </c>
      <c r="D47" s="545">
        <f t="shared" si="2"/>
        <v>77.89611637284824</v>
      </c>
      <c r="E47" s="487">
        <f t="shared" si="0"/>
        <v>0</v>
      </c>
      <c r="F47" s="487">
        <f t="shared" si="3"/>
        <v>0</v>
      </c>
    </row>
    <row r="48" spans="1:6">
      <c r="A48" s="487">
        <v>37</v>
      </c>
      <c r="B48" s="543">
        <f t="shared" si="4"/>
        <v>45687</v>
      </c>
      <c r="C48" s="545">
        <f t="shared" si="1"/>
        <v>444.92604311911276</v>
      </c>
      <c r="D48" s="545">
        <f t="shared" si="2"/>
        <v>80.086687761440288</v>
      </c>
      <c r="E48" s="487">
        <f t="shared" si="0"/>
        <v>0</v>
      </c>
      <c r="F48" s="487">
        <f t="shared" si="3"/>
        <v>0</v>
      </c>
    </row>
    <row r="49" spans="1:6">
      <c r="A49" s="487">
        <v>38</v>
      </c>
      <c r="B49" s="543">
        <f t="shared" si="4"/>
        <v>45688</v>
      </c>
      <c r="C49" s="545">
        <f t="shared" si="1"/>
        <v>457.10399739421047</v>
      </c>
      <c r="D49" s="545">
        <f t="shared" si="2"/>
        <v>82.278719530957886</v>
      </c>
      <c r="E49" s="487">
        <f t="shared" si="0"/>
        <v>0</v>
      </c>
      <c r="F49" s="487">
        <f t="shared" si="3"/>
        <v>0</v>
      </c>
    </row>
    <row r="50" spans="1:6">
      <c r="A50" s="487">
        <v>39</v>
      </c>
      <c r="B50" s="543">
        <f t="shared" si="4"/>
        <v>45689</v>
      </c>
      <c r="C50" s="545">
        <f t="shared" si="1"/>
        <v>469.29007030549081</v>
      </c>
      <c r="D50" s="545">
        <f t="shared" si="2"/>
        <v>84.47221265498834</v>
      </c>
      <c r="E50" s="487">
        <f t="shared" si="0"/>
        <v>0</v>
      </c>
      <c r="F50" s="487">
        <f t="shared" si="3"/>
        <v>0</v>
      </c>
    </row>
    <row r="51" spans="1:6">
      <c r="A51" s="487">
        <v>40</v>
      </c>
      <c r="B51" s="543">
        <f t="shared" si="4"/>
        <v>45690</v>
      </c>
      <c r="C51" s="545">
        <f t="shared" si="1"/>
        <v>481.48426726538116</v>
      </c>
      <c r="D51" s="545">
        <f t="shared" si="2"/>
        <v>86.667168107768603</v>
      </c>
      <c r="E51" s="487">
        <f t="shared" si="0"/>
        <v>0</v>
      </c>
      <c r="F51" s="487">
        <f t="shared" si="3"/>
        <v>0</v>
      </c>
    </row>
    <row r="52" spans="1:6">
      <c r="A52" s="487">
        <v>41</v>
      </c>
      <c r="B52" s="543">
        <f t="shared" si="4"/>
        <v>45691</v>
      </c>
      <c r="C52" s="545">
        <f t="shared" si="1"/>
        <v>493.68659368991013</v>
      </c>
      <c r="D52" s="545">
        <f t="shared" si="2"/>
        <v>88.863586864183816</v>
      </c>
      <c r="E52" s="487">
        <f t="shared" si="0"/>
        <v>0</v>
      </c>
      <c r="F52" s="487">
        <f t="shared" si="3"/>
        <v>0</v>
      </c>
    </row>
    <row r="53" spans="1:6">
      <c r="A53" s="487">
        <v>42</v>
      </c>
      <c r="B53" s="543">
        <f t="shared" si="4"/>
        <v>45692</v>
      </c>
      <c r="C53" s="545">
        <f t="shared" si="1"/>
        <v>505.89705499871923</v>
      </c>
      <c r="D53" s="545">
        <f t="shared" si="2"/>
        <v>91.061469899769463</v>
      </c>
      <c r="E53" s="487">
        <f t="shared" si="0"/>
        <v>0</v>
      </c>
      <c r="F53" s="487">
        <f t="shared" si="3"/>
        <v>0</v>
      </c>
    </row>
    <row r="54" spans="1:6">
      <c r="A54" s="487">
        <v>43</v>
      </c>
      <c r="B54" s="543">
        <f t="shared" si="4"/>
        <v>45693</v>
      </c>
      <c r="C54" s="545">
        <f t="shared" si="1"/>
        <v>518.11565661507495</v>
      </c>
      <c r="D54" s="545">
        <f t="shared" si="2"/>
        <v>93.260818190713493</v>
      </c>
      <c r="E54" s="487">
        <f t="shared" si="0"/>
        <v>0</v>
      </c>
      <c r="F54" s="487">
        <f t="shared" si="3"/>
        <v>0</v>
      </c>
    </row>
    <row r="55" spans="1:6">
      <c r="A55" s="487">
        <v>44</v>
      </c>
      <c r="B55" s="543">
        <f t="shared" si="4"/>
        <v>45694</v>
      </c>
      <c r="C55" s="545">
        <f t="shared" si="1"/>
        <v>530.34240396583698</v>
      </c>
      <c r="D55" s="545">
        <f t="shared" si="2"/>
        <v>95.461632713850648</v>
      </c>
      <c r="E55" s="487">
        <f t="shared" si="0"/>
        <v>0</v>
      </c>
      <c r="F55" s="487">
        <f t="shared" si="3"/>
        <v>0</v>
      </c>
    </row>
    <row r="56" spans="1:6">
      <c r="A56" s="487">
        <v>45</v>
      </c>
      <c r="B56" s="543">
        <f t="shared" si="4"/>
        <v>45695</v>
      </c>
      <c r="C56" s="545">
        <f t="shared" si="1"/>
        <v>542.57730248149767</v>
      </c>
      <c r="D56" s="545">
        <f t="shared" si="2"/>
        <v>97.66391444666958</v>
      </c>
      <c r="E56" s="487">
        <f t="shared" si="0"/>
        <v>0</v>
      </c>
      <c r="F56" s="487">
        <f t="shared" si="3"/>
        <v>0</v>
      </c>
    </row>
    <row r="57" spans="1:6">
      <c r="A57" s="487">
        <v>46</v>
      </c>
      <c r="B57" s="543">
        <f t="shared" si="4"/>
        <v>45696</v>
      </c>
      <c r="C57" s="545">
        <f t="shared" si="1"/>
        <v>554.82035759617042</v>
      </c>
      <c r="D57" s="545">
        <f t="shared" si="2"/>
        <v>99.867664367310667</v>
      </c>
      <c r="E57" s="487">
        <f t="shared" si="0"/>
        <v>0</v>
      </c>
      <c r="F57" s="487">
        <f t="shared" si="3"/>
        <v>0</v>
      </c>
    </row>
    <row r="58" spans="1:6">
      <c r="A58" s="487">
        <v>47</v>
      </c>
      <c r="B58" s="543">
        <f t="shared" si="4"/>
        <v>45697</v>
      </c>
      <c r="C58" s="545">
        <f t="shared" si="1"/>
        <v>567.07157474758958</v>
      </c>
      <c r="D58" s="545">
        <f t="shared" si="2"/>
        <v>102.07288345456612</v>
      </c>
      <c r="E58" s="487">
        <f t="shared" si="0"/>
        <v>0</v>
      </c>
      <c r="F58" s="487">
        <f t="shared" si="3"/>
        <v>0</v>
      </c>
    </row>
    <row r="59" spans="1:6">
      <c r="A59" s="487">
        <v>48</v>
      </c>
      <c r="B59" s="543">
        <f t="shared" si="4"/>
        <v>45698</v>
      </c>
      <c r="C59" s="545">
        <f t="shared" si="1"/>
        <v>579.33095937710618</v>
      </c>
      <c r="D59" s="545">
        <f t="shared" si="2"/>
        <v>104.27957268787911</v>
      </c>
      <c r="E59" s="487">
        <f t="shared" si="0"/>
        <v>0</v>
      </c>
      <c r="F59" s="487">
        <f t="shared" si="3"/>
        <v>0</v>
      </c>
    </row>
    <row r="60" spans="1:6">
      <c r="A60" s="487">
        <v>49</v>
      </c>
      <c r="B60" s="543">
        <f t="shared" si="4"/>
        <v>45699</v>
      </c>
      <c r="C60" s="545">
        <f t="shared" si="1"/>
        <v>591.59851692970824</v>
      </c>
      <c r="D60" s="545">
        <f t="shared" si="2"/>
        <v>106.48773304734748</v>
      </c>
      <c r="E60" s="487">
        <f t="shared" si="0"/>
        <v>0</v>
      </c>
      <c r="F60" s="487">
        <f t="shared" si="3"/>
        <v>0</v>
      </c>
    </row>
    <row r="61" spans="1:6">
      <c r="A61" s="487">
        <v>50</v>
      </c>
      <c r="B61" s="543">
        <f t="shared" si="4"/>
        <v>45700</v>
      </c>
      <c r="C61" s="545">
        <f t="shared" si="1"/>
        <v>603.87425285401252</v>
      </c>
      <c r="D61" s="545">
        <f t="shared" si="2"/>
        <v>108.69736551372225</v>
      </c>
      <c r="E61" s="487">
        <f t="shared" si="0"/>
        <v>0</v>
      </c>
      <c r="F61" s="487">
        <f t="shared" si="3"/>
        <v>0</v>
      </c>
    </row>
    <row r="62" spans="1:6">
      <c r="A62" s="487">
        <v>51</v>
      </c>
      <c r="B62" s="543">
        <f t="shared" si="4"/>
        <v>45701</v>
      </c>
      <c r="C62" s="545">
        <f t="shared" si="1"/>
        <v>616.15817260226868</v>
      </c>
      <c r="D62" s="545">
        <f t="shared" si="2"/>
        <v>110.90847106840836</v>
      </c>
      <c r="E62" s="487">
        <f t="shared" si="0"/>
        <v>0</v>
      </c>
      <c r="F62" s="487">
        <f t="shared" si="3"/>
        <v>0</v>
      </c>
    </row>
    <row r="63" spans="1:6">
      <c r="A63" s="487">
        <v>52</v>
      </c>
      <c r="B63" s="543">
        <f t="shared" si="4"/>
        <v>45702</v>
      </c>
      <c r="C63" s="545">
        <f t="shared" si="1"/>
        <v>628.45028163035499</v>
      </c>
      <c r="D63" s="545">
        <f t="shared" si="2"/>
        <v>113.1210506934639</v>
      </c>
      <c r="E63" s="487">
        <f t="shared" si="0"/>
        <v>0</v>
      </c>
      <c r="F63" s="487">
        <f t="shared" si="3"/>
        <v>0</v>
      </c>
    </row>
    <row r="64" spans="1:6">
      <c r="A64" s="487">
        <v>53</v>
      </c>
      <c r="B64" s="543">
        <f t="shared" si="4"/>
        <v>45703</v>
      </c>
      <c r="C64" s="545">
        <f t="shared" si="1"/>
        <v>640.75058539779445</v>
      </c>
      <c r="D64" s="545">
        <f t="shared" si="2"/>
        <v>115.33510537160299</v>
      </c>
      <c r="E64" s="487">
        <f t="shared" si="0"/>
        <v>0</v>
      </c>
      <c r="F64" s="487">
        <f t="shared" si="3"/>
        <v>0</v>
      </c>
    </row>
    <row r="65" spans="1:8">
      <c r="A65" s="487">
        <v>54</v>
      </c>
      <c r="B65" s="543">
        <f t="shared" si="4"/>
        <v>45704</v>
      </c>
      <c r="C65" s="545">
        <f t="shared" si="1"/>
        <v>653.05908936774313</v>
      </c>
      <c r="D65" s="545">
        <f t="shared" si="2"/>
        <v>117.55063608619376</v>
      </c>
      <c r="E65" s="487">
        <f t="shared" si="0"/>
        <v>0</v>
      </c>
      <c r="F65" s="487">
        <f t="shared" si="3"/>
        <v>0</v>
      </c>
    </row>
    <row r="66" spans="1:8">
      <c r="A66" s="487">
        <v>55</v>
      </c>
      <c r="B66" s="543">
        <f t="shared" si="4"/>
        <v>45705</v>
      </c>
      <c r="C66" s="545">
        <f t="shared" si="1"/>
        <v>665.37579900700916</v>
      </c>
      <c r="D66" s="545">
        <f t="shared" si="2"/>
        <v>119.76764382126164</v>
      </c>
      <c r="E66" s="487">
        <f t="shared" si="0"/>
        <v>0</v>
      </c>
      <c r="F66" s="487">
        <f t="shared" si="3"/>
        <v>0</v>
      </c>
    </row>
    <row r="67" spans="1:8">
      <c r="A67" s="487">
        <v>56</v>
      </c>
      <c r="B67" s="543">
        <f t="shared" si="4"/>
        <v>45706</v>
      </c>
      <c r="C67" s="545">
        <f t="shared" si="1"/>
        <v>677.70071978602994</v>
      </c>
      <c r="D67" s="545">
        <f t="shared" si="2"/>
        <v>121.98612956148538</v>
      </c>
      <c r="E67" s="487">
        <f t="shared" si="0"/>
        <v>0</v>
      </c>
      <c r="F67" s="487">
        <f t="shared" si="3"/>
        <v>0</v>
      </c>
    </row>
    <row r="68" spans="1:8">
      <c r="A68" s="487">
        <v>57</v>
      </c>
      <c r="B68" s="543">
        <f t="shared" si="4"/>
        <v>45707</v>
      </c>
      <c r="C68" s="545">
        <f t="shared" si="1"/>
        <v>690.03385717891103</v>
      </c>
      <c r="D68" s="545">
        <f t="shared" si="2"/>
        <v>124.20609429220399</v>
      </c>
      <c r="E68" s="487">
        <f t="shared" si="0"/>
        <v>0</v>
      </c>
      <c r="F68" s="487">
        <f t="shared" si="3"/>
        <v>0</v>
      </c>
    </row>
    <row r="69" spans="1:8">
      <c r="A69" s="487">
        <v>58</v>
      </c>
      <c r="B69" s="543">
        <f t="shared" si="4"/>
        <v>45708</v>
      </c>
      <c r="C69" s="545">
        <f t="shared" si="1"/>
        <v>702.37521666337898</v>
      </c>
      <c r="D69" s="545">
        <f t="shared" si="2"/>
        <v>126.42753899940821</v>
      </c>
      <c r="E69" s="487">
        <f t="shared" si="0"/>
        <v>0</v>
      </c>
      <c r="F69" s="487">
        <f t="shared" si="3"/>
        <v>0</v>
      </c>
    </row>
    <row r="70" spans="1:8">
      <c r="A70" s="487">
        <v>59</v>
      </c>
      <c r="B70" s="543">
        <f t="shared" si="4"/>
        <v>45709</v>
      </c>
      <c r="C70" s="545">
        <f t="shared" si="1"/>
        <v>714.72480372084044</v>
      </c>
      <c r="D70" s="545">
        <f t="shared" si="2"/>
        <v>128.65046466975127</v>
      </c>
      <c r="E70" s="487">
        <f t="shared" si="0"/>
        <v>0</v>
      </c>
      <c r="F70" s="487">
        <f t="shared" si="3"/>
        <v>0</v>
      </c>
    </row>
    <row r="71" spans="1:8">
      <c r="A71" s="487">
        <v>60</v>
      </c>
      <c r="B71" s="543">
        <f t="shared" si="4"/>
        <v>45710</v>
      </c>
      <c r="C71" s="545">
        <f t="shared" si="1"/>
        <v>727.08262383633917</v>
      </c>
      <c r="D71" s="545">
        <f t="shared" si="2"/>
        <v>130.87487229054105</v>
      </c>
      <c r="E71" s="487">
        <f t="shared" si="0"/>
        <v>0</v>
      </c>
      <c r="F71" s="487">
        <f t="shared" si="3"/>
        <v>0</v>
      </c>
    </row>
    <row r="72" spans="1:8">
      <c r="A72" s="487">
        <v>61</v>
      </c>
      <c r="B72" s="543">
        <f t="shared" si="4"/>
        <v>45711</v>
      </c>
      <c r="C72" s="545">
        <f t="shared" si="1"/>
        <v>739.44868249858303</v>
      </c>
      <c r="D72" s="545">
        <f t="shared" si="2"/>
        <v>133.10076284974494</v>
      </c>
      <c r="E72" s="487">
        <f t="shared" si="0"/>
        <v>0</v>
      </c>
      <c r="F72" s="487">
        <f t="shared" si="3"/>
        <v>0</v>
      </c>
    </row>
    <row r="73" spans="1:8">
      <c r="A73" s="487">
        <v>62</v>
      </c>
      <c r="B73" s="543">
        <f t="shared" si="4"/>
        <v>45712</v>
      </c>
      <c r="C73" s="548">
        <f t="shared" si="1"/>
        <v>751.82298519993253</v>
      </c>
      <c r="D73" s="548">
        <f t="shared" si="2"/>
        <v>135.32813733598786</v>
      </c>
      <c r="E73" s="487">
        <f t="shared" si="0"/>
        <v>0</v>
      </c>
      <c r="F73" s="487">
        <f t="shared" si="3"/>
        <v>0</v>
      </c>
      <c r="G73">
        <v>17000</v>
      </c>
      <c r="H73" s="549">
        <f>16244.94-532.2</f>
        <v>15712.74</v>
      </c>
    </row>
    <row r="74" spans="1:8">
      <c r="A74" s="487">
        <v>63</v>
      </c>
      <c r="B74" s="543">
        <f t="shared" si="4"/>
        <v>45713</v>
      </c>
      <c r="C74" s="545">
        <f t="shared" si="1"/>
        <v>764.20553743642074</v>
      </c>
      <c r="D74" s="545">
        <f t="shared" si="2"/>
        <v>137.55699673855574</v>
      </c>
      <c r="E74" s="487">
        <f t="shared" si="0"/>
        <v>0</v>
      </c>
      <c r="F74" s="487">
        <f t="shared" si="3"/>
        <v>0</v>
      </c>
    </row>
    <row r="75" spans="1:8">
      <c r="A75" s="487">
        <v>64</v>
      </c>
      <c r="B75" s="543">
        <f t="shared" si="4"/>
        <v>45714</v>
      </c>
      <c r="C75" s="545">
        <f t="shared" si="1"/>
        <v>776.59634470772903</v>
      </c>
      <c r="D75" s="545">
        <f t="shared" si="2"/>
        <v>139.78734204739121</v>
      </c>
      <c r="E75" s="487">
        <f t="shared" si="0"/>
        <v>0</v>
      </c>
      <c r="F75" s="487">
        <f t="shared" si="3"/>
        <v>0</v>
      </c>
    </row>
    <row r="76" spans="1:8">
      <c r="A76" s="487">
        <v>65</v>
      </c>
      <c r="B76" s="543">
        <f t="shared" si="4"/>
        <v>45715</v>
      </c>
      <c r="C76" s="545">
        <f t="shared" si="1"/>
        <v>788.99541251721928</v>
      </c>
      <c r="D76" s="545">
        <f t="shared" si="2"/>
        <v>142.01917425309946</v>
      </c>
      <c r="E76" s="487">
        <f t="shared" ref="E76:E95" si="5">IF(B76&gt;$C$8,(POWER((1+$C$7/30),B76-$C$8)-1)*$C$5,0)</f>
        <v>0</v>
      </c>
      <c r="F76" s="487">
        <f t="shared" si="3"/>
        <v>0</v>
      </c>
    </row>
    <row r="77" spans="1:8">
      <c r="A77" s="487">
        <v>66</v>
      </c>
      <c r="B77" s="543">
        <f t="shared" si="4"/>
        <v>45716</v>
      </c>
      <c r="C77" s="545">
        <f t="shared" ref="C77:C114" si="6">(POWER((1+$C$6/30),B77-$C$2)-1)*$C$5</f>
        <v>801.40274637191771</v>
      </c>
      <c r="D77" s="545">
        <f t="shared" ref="D77:D114" si="7">C77*0.18</f>
        <v>144.25249434694518</v>
      </c>
      <c r="E77" s="487">
        <f t="shared" si="5"/>
        <v>0</v>
      </c>
      <c r="F77" s="487">
        <f t="shared" ref="F77:F114" si="8">E77*18%</f>
        <v>0</v>
      </c>
    </row>
    <row r="78" spans="1:8">
      <c r="A78" s="487">
        <v>67</v>
      </c>
      <c r="B78" s="543">
        <f t="shared" ref="B78:B94" si="9">B77+1</f>
        <v>45717</v>
      </c>
      <c r="C78" s="545">
        <f t="shared" si="6"/>
        <v>813.8183517825189</v>
      </c>
      <c r="D78" s="545">
        <f t="shared" si="7"/>
        <v>146.48730332085339</v>
      </c>
      <c r="E78" s="487">
        <f t="shared" si="5"/>
        <v>0</v>
      </c>
      <c r="F78" s="487">
        <f t="shared" si="8"/>
        <v>0</v>
      </c>
    </row>
    <row r="79" spans="1:8">
      <c r="A79" s="487">
        <v>68</v>
      </c>
      <c r="B79" s="543">
        <f t="shared" si="9"/>
        <v>45718</v>
      </c>
      <c r="C79" s="545">
        <f t="shared" si="6"/>
        <v>826.24223426338995</v>
      </c>
      <c r="D79" s="545">
        <f t="shared" si="7"/>
        <v>148.72360216741018</v>
      </c>
      <c r="E79" s="487">
        <f t="shared" si="5"/>
        <v>0</v>
      </c>
      <c r="F79" s="487">
        <f t="shared" si="8"/>
        <v>0</v>
      </c>
    </row>
    <row r="80" spans="1:8">
      <c r="A80" s="487">
        <v>69</v>
      </c>
      <c r="B80" s="543">
        <f t="shared" si="9"/>
        <v>45719</v>
      </c>
      <c r="C80" s="545">
        <f t="shared" si="6"/>
        <v>838.67439933258584</v>
      </c>
      <c r="D80" s="545">
        <f t="shared" si="7"/>
        <v>150.96139187986543</v>
      </c>
      <c r="E80" s="487">
        <f t="shared" si="5"/>
        <v>0</v>
      </c>
      <c r="F80" s="487">
        <f t="shared" si="8"/>
        <v>0</v>
      </c>
    </row>
    <row r="81" spans="1:6">
      <c r="A81" s="487">
        <v>70</v>
      </c>
      <c r="B81" s="543">
        <f t="shared" si="9"/>
        <v>45720</v>
      </c>
      <c r="C81" s="545">
        <f t="shared" si="6"/>
        <v>851.11485251182239</v>
      </c>
      <c r="D81" s="545">
        <f t="shared" si="7"/>
        <v>153.20067345212803</v>
      </c>
      <c r="E81" s="487">
        <f t="shared" si="5"/>
        <v>0</v>
      </c>
      <c r="F81" s="487">
        <f t="shared" si="8"/>
        <v>0</v>
      </c>
    </row>
    <row r="82" spans="1:6">
      <c r="A82" s="487">
        <v>71</v>
      </c>
      <c r="B82" s="543">
        <f t="shared" si="9"/>
        <v>45721</v>
      </c>
      <c r="C82" s="545">
        <f t="shared" si="6"/>
        <v>863.56359932651924</v>
      </c>
      <c r="D82" s="545">
        <f t="shared" si="7"/>
        <v>155.44144787877346</v>
      </c>
      <c r="E82" s="487">
        <f t="shared" si="5"/>
        <v>0</v>
      </c>
      <c r="F82" s="487">
        <f t="shared" si="8"/>
        <v>0</v>
      </c>
    </row>
    <row r="83" spans="1:6">
      <c r="A83" s="487">
        <v>72</v>
      </c>
      <c r="B83" s="543">
        <f t="shared" si="9"/>
        <v>45722</v>
      </c>
      <c r="C83" s="545">
        <f t="shared" si="6"/>
        <v>876.0206453057566</v>
      </c>
      <c r="D83" s="545">
        <f t="shared" si="7"/>
        <v>157.68371615503619</v>
      </c>
      <c r="E83" s="487">
        <f t="shared" si="5"/>
        <v>0</v>
      </c>
      <c r="F83" s="487">
        <f t="shared" si="8"/>
        <v>0</v>
      </c>
    </row>
    <row r="84" spans="1:6">
      <c r="A84" s="487">
        <v>73</v>
      </c>
      <c r="B84" s="543">
        <f t="shared" si="9"/>
        <v>45723</v>
      </c>
      <c r="C84" s="545">
        <f t="shared" si="6"/>
        <v>888.48599598231056</v>
      </c>
      <c r="D84" s="545">
        <f t="shared" si="7"/>
        <v>159.92747927681589</v>
      </c>
      <c r="E84" s="487">
        <f t="shared" si="5"/>
        <v>0</v>
      </c>
      <c r="F84" s="487">
        <f t="shared" si="8"/>
        <v>0</v>
      </c>
    </row>
    <row r="85" spans="1:6">
      <c r="A85" s="487">
        <v>74</v>
      </c>
      <c r="B85" s="543">
        <f t="shared" si="9"/>
        <v>45724</v>
      </c>
      <c r="C85" s="545">
        <f t="shared" si="6"/>
        <v>900.9596568926496</v>
      </c>
      <c r="D85" s="545">
        <f t="shared" si="7"/>
        <v>162.17273824067692</v>
      </c>
      <c r="E85" s="487">
        <f t="shared" si="5"/>
        <v>0</v>
      </c>
      <c r="F85" s="487">
        <f t="shared" si="8"/>
        <v>0</v>
      </c>
    </row>
    <row r="86" spans="1:6">
      <c r="A86" s="487">
        <v>75</v>
      </c>
      <c r="B86" s="543">
        <f t="shared" si="9"/>
        <v>45725</v>
      </c>
      <c r="C86" s="545">
        <f t="shared" si="6"/>
        <v>913.44163357693026</v>
      </c>
      <c r="D86" s="545">
        <f t="shared" si="7"/>
        <v>164.41949404384744</v>
      </c>
      <c r="E86" s="487">
        <f t="shared" si="5"/>
        <v>0</v>
      </c>
      <c r="F86" s="487">
        <f t="shared" si="8"/>
        <v>0</v>
      </c>
    </row>
    <row r="87" spans="1:6">
      <c r="A87" s="487">
        <v>76</v>
      </c>
      <c r="B87" s="543">
        <f t="shared" si="9"/>
        <v>45726</v>
      </c>
      <c r="C87" s="545">
        <f t="shared" si="6"/>
        <v>925.93193157900146</v>
      </c>
      <c r="D87" s="545">
        <f t="shared" si="7"/>
        <v>166.66774768422025</v>
      </c>
      <c r="E87" s="487">
        <f t="shared" si="5"/>
        <v>0</v>
      </c>
      <c r="F87" s="487">
        <f t="shared" si="8"/>
        <v>0</v>
      </c>
    </row>
    <row r="88" spans="1:6">
      <c r="A88" s="487">
        <v>77</v>
      </c>
      <c r="B88" s="543">
        <f t="shared" si="9"/>
        <v>45727</v>
      </c>
      <c r="C88" s="545">
        <f t="shared" si="6"/>
        <v>938.43055644640776</v>
      </c>
      <c r="D88" s="545">
        <f t="shared" si="7"/>
        <v>168.9175001603534</v>
      </c>
      <c r="E88" s="487">
        <f t="shared" si="5"/>
        <v>0</v>
      </c>
      <c r="F88" s="487">
        <f t="shared" si="8"/>
        <v>0</v>
      </c>
    </row>
    <row r="89" spans="1:6">
      <c r="A89" s="487">
        <v>78</v>
      </c>
      <c r="B89" s="543">
        <f t="shared" si="9"/>
        <v>45728</v>
      </c>
      <c r="C89" s="545">
        <f t="shared" si="6"/>
        <v>950.93751373038629</v>
      </c>
      <c r="D89" s="545">
        <f t="shared" si="7"/>
        <v>171.16875247146953</v>
      </c>
      <c r="E89" s="487">
        <f t="shared" si="5"/>
        <v>0</v>
      </c>
      <c r="F89" s="487">
        <f t="shared" si="8"/>
        <v>0</v>
      </c>
    </row>
    <row r="90" spans="1:6">
      <c r="A90" s="487">
        <v>79</v>
      </c>
      <c r="B90" s="543">
        <f t="shared" si="9"/>
        <v>45729</v>
      </c>
      <c r="C90" s="545">
        <f t="shared" si="6"/>
        <v>963.45280898589783</v>
      </c>
      <c r="D90" s="545">
        <f t="shared" si="7"/>
        <v>173.42150561746161</v>
      </c>
      <c r="E90" s="487">
        <f t="shared" si="5"/>
        <v>0</v>
      </c>
      <c r="F90" s="487">
        <f t="shared" si="8"/>
        <v>0</v>
      </c>
    </row>
    <row r="91" spans="1:6">
      <c r="A91" s="487">
        <v>80</v>
      </c>
      <c r="B91" s="543">
        <f t="shared" si="9"/>
        <v>45730</v>
      </c>
      <c r="C91" s="545">
        <f t="shared" si="6"/>
        <v>975.97644777157143</v>
      </c>
      <c r="D91" s="545">
        <f t="shared" si="7"/>
        <v>175.67576059888285</v>
      </c>
      <c r="E91" s="487">
        <f t="shared" si="5"/>
        <v>0</v>
      </c>
      <c r="F91" s="487">
        <f t="shared" si="8"/>
        <v>0</v>
      </c>
    </row>
    <row r="92" spans="1:6">
      <c r="A92" s="487">
        <v>81</v>
      </c>
      <c r="B92" s="543">
        <f t="shared" si="9"/>
        <v>45731</v>
      </c>
      <c r="C92" s="545">
        <f t="shared" si="6"/>
        <v>988.50843564977197</v>
      </c>
      <c r="D92" s="545">
        <f t="shared" si="7"/>
        <v>177.93151841695894</v>
      </c>
      <c r="E92" s="487">
        <f t="shared" si="5"/>
        <v>0</v>
      </c>
      <c r="F92" s="487">
        <f t="shared" si="8"/>
        <v>0</v>
      </c>
    </row>
    <row r="93" spans="1:6">
      <c r="A93" s="487">
        <v>82</v>
      </c>
      <c r="B93" s="543">
        <f t="shared" si="9"/>
        <v>45732</v>
      </c>
      <c r="C93" s="545">
        <f t="shared" si="6"/>
        <v>1001.0487781865526</v>
      </c>
      <c r="D93" s="545">
        <f t="shared" si="7"/>
        <v>180.18878007357947</v>
      </c>
      <c r="E93" s="487">
        <f t="shared" si="5"/>
        <v>0</v>
      </c>
      <c r="F93" s="487">
        <f t="shared" si="8"/>
        <v>0</v>
      </c>
    </row>
    <row r="94" spans="1:6">
      <c r="A94" s="487">
        <v>83</v>
      </c>
      <c r="B94" s="543">
        <f t="shared" si="9"/>
        <v>45733</v>
      </c>
      <c r="C94" s="545">
        <f t="shared" si="6"/>
        <v>1013.5974809516978</v>
      </c>
      <c r="D94" s="545">
        <f t="shared" si="7"/>
        <v>182.44754657130559</v>
      </c>
      <c r="E94" s="487">
        <f t="shared" si="5"/>
        <v>0</v>
      </c>
      <c r="F94" s="487">
        <f t="shared" si="8"/>
        <v>0</v>
      </c>
    </row>
    <row r="95" spans="1:6">
      <c r="A95" s="487">
        <v>84</v>
      </c>
      <c r="B95" s="543">
        <f t="shared" ref="B95:B109" si="10">B94+1</f>
        <v>45734</v>
      </c>
      <c r="C95" s="545">
        <f t="shared" si="6"/>
        <v>1026.1545495186847</v>
      </c>
      <c r="D95" s="545">
        <f t="shared" si="7"/>
        <v>184.70781891336324</v>
      </c>
      <c r="E95" s="487">
        <f t="shared" si="5"/>
        <v>0</v>
      </c>
      <c r="F95" s="487">
        <f t="shared" si="8"/>
        <v>0</v>
      </c>
    </row>
    <row r="96" spans="1:6">
      <c r="A96" s="487">
        <v>85</v>
      </c>
      <c r="B96" s="543">
        <f t="shared" si="10"/>
        <v>45735</v>
      </c>
      <c r="C96" s="545">
        <f t="shared" si="6"/>
        <v>1038.7199894647179</v>
      </c>
      <c r="D96" s="545">
        <f t="shared" si="7"/>
        <v>186.96959810364922</v>
      </c>
      <c r="E96" s="487">
        <f t="shared" ref="E96:E102" si="11">IF(B96&gt;$C$8,(POWER((1+$C$7/30),B96-$C$8)-1)*$C$5,0)</f>
        <v>0</v>
      </c>
      <c r="F96" s="487">
        <f t="shared" si="8"/>
        <v>0</v>
      </c>
    </row>
    <row r="97" spans="1:10">
      <c r="A97" s="487">
        <v>86</v>
      </c>
      <c r="B97" s="543">
        <f t="shared" si="10"/>
        <v>45736</v>
      </c>
      <c r="C97" s="545">
        <f t="shared" si="6"/>
        <v>1051.2938063707097</v>
      </c>
      <c r="D97" s="545">
        <f t="shared" si="7"/>
        <v>189.23288514672774</v>
      </c>
      <c r="E97" s="487">
        <f t="shared" si="11"/>
        <v>0</v>
      </c>
      <c r="F97" s="487">
        <f t="shared" si="8"/>
        <v>0</v>
      </c>
    </row>
    <row r="98" spans="1:10">
      <c r="A98" s="487">
        <v>87</v>
      </c>
      <c r="B98" s="543">
        <f t="shared" si="10"/>
        <v>45737</v>
      </c>
      <c r="C98" s="545">
        <f t="shared" si="6"/>
        <v>1063.8760058213129</v>
      </c>
      <c r="D98" s="545">
        <f t="shared" si="7"/>
        <v>191.49768104783632</v>
      </c>
      <c r="E98" s="487">
        <f t="shared" si="11"/>
        <v>0</v>
      </c>
      <c r="F98" s="487">
        <f t="shared" si="8"/>
        <v>0</v>
      </c>
    </row>
    <row r="99" spans="1:10">
      <c r="A99" s="487">
        <v>88</v>
      </c>
      <c r="B99" s="543">
        <f t="shared" si="10"/>
        <v>45738</v>
      </c>
      <c r="C99" s="545">
        <f t="shared" si="6"/>
        <v>1076.4665934048753</v>
      </c>
      <c r="D99" s="545">
        <f t="shared" si="7"/>
        <v>193.76398681287756</v>
      </c>
      <c r="E99" s="487">
        <f t="shared" si="11"/>
        <v>0</v>
      </c>
      <c r="F99" s="487">
        <f t="shared" si="8"/>
        <v>0</v>
      </c>
    </row>
    <row r="100" spans="1:10">
      <c r="A100" s="487">
        <v>89</v>
      </c>
      <c r="B100" s="543">
        <f t="shared" si="10"/>
        <v>45739</v>
      </c>
      <c r="C100" s="545">
        <f t="shared" si="6"/>
        <v>1089.0655747135011</v>
      </c>
      <c r="D100" s="545">
        <f t="shared" si="7"/>
        <v>196.0318034484302</v>
      </c>
      <c r="E100" s="487">
        <f t="shared" si="11"/>
        <v>0</v>
      </c>
      <c r="F100" s="487">
        <f t="shared" si="8"/>
        <v>0</v>
      </c>
    </row>
    <row r="101" spans="1:10">
      <c r="A101" s="487">
        <v>90</v>
      </c>
      <c r="B101" s="543">
        <f t="shared" si="10"/>
        <v>45740</v>
      </c>
      <c r="C101" s="545">
        <f t="shared" si="6"/>
        <v>1101.6729553429939</v>
      </c>
      <c r="D101" s="545">
        <f t="shared" si="7"/>
        <v>198.30113196173889</v>
      </c>
      <c r="E101" s="487">
        <f t="shared" si="11"/>
        <v>0</v>
      </c>
      <c r="F101" s="487">
        <f t="shared" si="8"/>
        <v>0</v>
      </c>
    </row>
    <row r="102" spans="1:10">
      <c r="A102" s="487">
        <v>91</v>
      </c>
      <c r="B102" s="543">
        <f t="shared" si="10"/>
        <v>45741</v>
      </c>
      <c r="C102" s="545">
        <f t="shared" si="6"/>
        <v>1114.2887408929091</v>
      </c>
      <c r="D102" s="545">
        <f t="shared" si="7"/>
        <v>200.57197336072363</v>
      </c>
      <c r="E102" s="487">
        <f>IF(B102&gt;$C$8,(POWER((1+$C$7/30),B102-$C$8)-1)*$C$5,0)</f>
        <v>0</v>
      </c>
      <c r="F102" s="487">
        <f t="shared" si="8"/>
        <v>0</v>
      </c>
    </row>
    <row r="103" spans="1:10">
      <c r="A103" s="487">
        <v>92</v>
      </c>
      <c r="B103" s="543">
        <f t="shared" si="10"/>
        <v>45742</v>
      </c>
      <c r="C103" s="545">
        <f t="shared" si="6"/>
        <v>1126.912936966522</v>
      </c>
      <c r="D103" s="545">
        <f t="shared" si="7"/>
        <v>202.84432865397395</v>
      </c>
      <c r="E103" s="487">
        <f t="shared" ref="E103:E109" si="12">IF(B103&gt;$C$8,(POWER((1+$C$7/30),B103-$C$8)-1)*$C$5,0)</f>
        <v>0</v>
      </c>
      <c r="F103" s="487">
        <f t="shared" si="8"/>
        <v>0</v>
      </c>
    </row>
    <row r="104" spans="1:10">
      <c r="A104" s="487">
        <v>93</v>
      </c>
      <c r="B104" s="543">
        <f t="shared" si="10"/>
        <v>45743</v>
      </c>
      <c r="C104" s="545">
        <f t="shared" si="6"/>
        <v>1139.5455491708512</v>
      </c>
      <c r="D104" s="545">
        <f t="shared" si="7"/>
        <v>205.1181988507532</v>
      </c>
      <c r="E104" s="487">
        <f t="shared" si="12"/>
        <v>0</v>
      </c>
      <c r="F104" s="487">
        <f t="shared" si="8"/>
        <v>0</v>
      </c>
    </row>
    <row r="105" spans="1:10">
      <c r="A105" s="487">
        <v>94</v>
      </c>
      <c r="B105" s="543">
        <f t="shared" si="10"/>
        <v>45744</v>
      </c>
      <c r="C105" s="545">
        <f t="shared" si="6"/>
        <v>1152.1865831166515</v>
      </c>
      <c r="D105" s="545">
        <f t="shared" si="7"/>
        <v>207.39358496099726</v>
      </c>
      <c r="E105" s="487">
        <f t="shared" si="12"/>
        <v>0</v>
      </c>
      <c r="F105" s="487">
        <f t="shared" si="8"/>
        <v>0</v>
      </c>
    </row>
    <row r="106" spans="1:10">
      <c r="A106" s="487">
        <v>95</v>
      </c>
      <c r="B106" s="543">
        <f t="shared" si="10"/>
        <v>45745</v>
      </c>
      <c r="C106" s="545">
        <f t="shared" si="6"/>
        <v>1164.8360444184166</v>
      </c>
      <c r="D106" s="545">
        <f t="shared" si="7"/>
        <v>209.67048799531497</v>
      </c>
      <c r="E106" s="487">
        <f t="shared" si="12"/>
        <v>0</v>
      </c>
      <c r="F106" s="487">
        <f t="shared" si="8"/>
        <v>0</v>
      </c>
    </row>
    <row r="107" spans="1:10">
      <c r="A107" s="487">
        <v>96</v>
      </c>
      <c r="B107" s="543">
        <f t="shared" si="10"/>
        <v>45746</v>
      </c>
      <c r="C107" s="545">
        <f t="shared" si="6"/>
        <v>1177.4939386943765</v>
      </c>
      <c r="D107" s="545">
        <f t="shared" si="7"/>
        <v>211.94890896498777</v>
      </c>
      <c r="E107" s="487">
        <f t="shared" si="12"/>
        <v>0</v>
      </c>
      <c r="F107" s="487">
        <f t="shared" si="8"/>
        <v>0</v>
      </c>
    </row>
    <row r="108" spans="1:10">
      <c r="A108" s="487">
        <v>97</v>
      </c>
      <c r="B108" s="543">
        <f t="shared" si="10"/>
        <v>45747</v>
      </c>
      <c r="C108" s="545">
        <f t="shared" si="6"/>
        <v>1190.1602715665283</v>
      </c>
      <c r="D108" s="545">
        <f t="shared" si="7"/>
        <v>214.2288488819751</v>
      </c>
      <c r="E108" s="487">
        <f t="shared" si="12"/>
        <v>0</v>
      </c>
      <c r="F108" s="487">
        <f t="shared" si="8"/>
        <v>0</v>
      </c>
    </row>
    <row r="109" spans="1:10">
      <c r="A109" s="487">
        <v>98</v>
      </c>
      <c r="B109" s="543">
        <f t="shared" si="10"/>
        <v>45748</v>
      </c>
      <c r="C109" s="548">
        <f t="shared" si="6"/>
        <v>1202.835048660585</v>
      </c>
      <c r="D109" s="548">
        <f t="shared" si="7"/>
        <v>216.5103087589053</v>
      </c>
      <c r="E109" s="487">
        <f t="shared" si="12"/>
        <v>0</v>
      </c>
      <c r="F109" s="487">
        <f t="shared" si="8"/>
        <v>0</v>
      </c>
      <c r="I109">
        <f>16244.9353</f>
        <v>16244.935299999999</v>
      </c>
    </row>
    <row r="110" spans="1:10">
      <c r="A110" s="487">
        <v>99</v>
      </c>
      <c r="B110" s="543">
        <f t="shared" ref="B110:B114" si="13">B109+1</f>
        <v>45749</v>
      </c>
      <c r="C110" s="545">
        <f t="shared" si="6"/>
        <v>1215.5182756060465</v>
      </c>
      <c r="D110" s="545">
        <f t="shared" si="7"/>
        <v>218.79328960908836</v>
      </c>
      <c r="E110">
        <f>IF(B110&gt;$C$8,(POWER((1+$C$7/30),B110-$C$8)-1)*$C$5,0)</f>
        <v>17.822005369528949</v>
      </c>
      <c r="F110" s="487">
        <f t="shared" si="8"/>
        <v>3.2079609665152105</v>
      </c>
    </row>
    <row r="111" spans="1:10">
      <c r="A111" s="487">
        <v>100</v>
      </c>
      <c r="B111" s="543">
        <f t="shared" si="13"/>
        <v>45750</v>
      </c>
      <c r="C111" s="545">
        <f t="shared" si="6"/>
        <v>1228.2099580361366</v>
      </c>
      <c r="D111" s="545">
        <f t="shared" si="7"/>
        <v>221.07779244650459</v>
      </c>
      <c r="E111" s="487">
        <f t="shared" ref="E111:E114" si="14">IF(B111&gt;$C$8,(POWER((1+$C$7/30),B111-$C$8)-1)*$C$5,0)</f>
        <v>35.661832744425958</v>
      </c>
      <c r="F111" s="487">
        <f t="shared" si="8"/>
        <v>6.4191298939966721</v>
      </c>
    </row>
    <row r="112" spans="1:10">
      <c r="A112" s="487">
        <v>101</v>
      </c>
      <c r="B112" s="543">
        <f t="shared" si="13"/>
        <v>45751</v>
      </c>
      <c r="C112" s="545">
        <f t="shared" si="6"/>
        <v>1240.9101015878471</v>
      </c>
      <c r="D112" s="545">
        <f t="shared" si="7"/>
        <v>223.36381828581247</v>
      </c>
      <c r="E112" s="487">
        <f t="shared" si="14"/>
        <v>53.519499946697884</v>
      </c>
      <c r="F112" s="487">
        <f t="shared" si="8"/>
        <v>9.633509990405619</v>
      </c>
      <c r="J112" s="487">
        <v>15000</v>
      </c>
    </row>
    <row r="113" spans="1:8">
      <c r="A113" s="487">
        <v>102</v>
      </c>
      <c r="B113" s="543">
        <f t="shared" si="13"/>
        <v>45752</v>
      </c>
      <c r="C113" s="545">
        <f t="shared" si="6"/>
        <v>1253.6187119019241</v>
      </c>
      <c r="D113" s="545">
        <f t="shared" si="7"/>
        <v>225.65136814234634</v>
      </c>
      <c r="E113" s="487">
        <f t="shared" si="14"/>
        <v>71.395024816175152</v>
      </c>
      <c r="F113" s="487">
        <f t="shared" si="8"/>
        <v>12.851104466911528</v>
      </c>
    </row>
    <row r="114" spans="1:8">
      <c r="A114" s="487">
        <v>103</v>
      </c>
      <c r="B114" s="543">
        <f t="shared" si="13"/>
        <v>45753</v>
      </c>
      <c r="C114" s="545">
        <f t="shared" si="6"/>
        <v>1266.335794622878</v>
      </c>
      <c r="D114" s="545">
        <f t="shared" si="7"/>
        <v>227.94044303211803</v>
      </c>
      <c r="E114" s="487">
        <f t="shared" si="14"/>
        <v>89.288425210519691</v>
      </c>
      <c r="F114" s="487">
        <f t="shared" si="8"/>
        <v>16.071916537893543</v>
      </c>
    </row>
    <row r="118" spans="1:8">
      <c r="B118" s="437" t="s">
        <v>168</v>
      </c>
      <c r="H118" s="437" t="s">
        <v>47</v>
      </c>
    </row>
    <row r="119" spans="1:8">
      <c r="B119" s="437" t="s">
        <v>163</v>
      </c>
      <c r="C119" s="545">
        <f>F2-C73</f>
        <v>451.01206346065248</v>
      </c>
      <c r="D119" s="545">
        <f>F3-D73</f>
        <v>81.182171422917435</v>
      </c>
      <c r="E119" s="545"/>
      <c r="F119" s="545"/>
      <c r="G119" s="545">
        <f>G73-F6</f>
        <v>755.06473540892875</v>
      </c>
      <c r="H119" s="545">
        <f>SUM(C119:G119)</f>
        <v>1287.2589702924988</v>
      </c>
    </row>
    <row r="120" spans="1:8">
      <c r="B120" s="437" t="s">
        <v>169</v>
      </c>
      <c r="C120" s="545">
        <f>C109-C73</f>
        <v>451.01206346065248</v>
      </c>
      <c r="D120" s="545">
        <f>D109-D73</f>
        <v>81.182171422917435</v>
      </c>
      <c r="G120" s="545">
        <f>H73-F6</f>
        <v>-532.19526459107146</v>
      </c>
      <c r="H120" s="545">
        <f>SUM(C120:G120)</f>
        <v>-1.0297075015159862E-3</v>
      </c>
    </row>
    <row r="121" spans="1:8">
      <c r="B121" s="437" t="s">
        <v>170</v>
      </c>
      <c r="C121" s="545">
        <f>C109-F2</f>
        <v>0</v>
      </c>
      <c r="D121" s="545">
        <f>D109-F3</f>
        <v>0</v>
      </c>
      <c r="G121" s="545">
        <f>I109-F6</f>
        <v>3.5408927942626178E-5</v>
      </c>
      <c r="H121" s="545">
        <f>SUM(C121:G121)</f>
        <v>3.5408927942626178E-5</v>
      </c>
    </row>
    <row r="122" spans="1:8">
      <c r="B122" s="437" t="s">
        <v>171</v>
      </c>
      <c r="C122" s="545">
        <f>F2-C112</f>
        <v>-38.07505292726205</v>
      </c>
      <c r="D122" s="545">
        <f>F3-D112</f>
        <v>-6.8535095269071746</v>
      </c>
      <c r="E122">
        <f>0-E112</f>
        <v>-53.519499946697884</v>
      </c>
      <c r="F122">
        <f>0-F112</f>
        <v>-9.633509990405619</v>
      </c>
      <c r="G122" s="545">
        <f>J112-F6</f>
        <v>-1244.9352645910712</v>
      </c>
      <c r="H122" s="545">
        <f>SUM(C122:G122)</f>
        <v>-1353.0168369823439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2:Z17"/>
  <sheetViews>
    <sheetView showGridLines="0" zoomScaleNormal="100" workbookViewId="0">
      <selection activeCell="W19" sqref="W19"/>
    </sheetView>
  </sheetViews>
  <sheetFormatPr defaultColWidth="14.44140625" defaultRowHeight="15" customHeight="1" outlineLevelRow="1" outlineLevelCol="1"/>
  <cols>
    <col min="1" max="1" width="5.109375" customWidth="1"/>
    <col min="2" max="2" width="15.44140625" bestFit="1" customWidth="1"/>
    <col min="3" max="3" width="8.44140625" customWidth="1"/>
    <col min="4" max="4" width="7.33203125" customWidth="1"/>
    <col min="5" max="5" width="7.6640625" hidden="1" customWidth="1" outlineLevel="1"/>
    <col min="6" max="6" width="11.44140625" hidden="1" customWidth="1" outlineLevel="1"/>
    <col min="7" max="7" width="9" hidden="1" customWidth="1" outlineLevel="1"/>
    <col min="8" max="8" width="11.44140625" hidden="1" customWidth="1" outlineLevel="1"/>
    <col min="9" max="9" width="12.6640625" customWidth="1" collapsed="1"/>
    <col min="10" max="10" width="11.44140625" customWidth="1"/>
    <col min="11" max="11" width="12" customWidth="1"/>
    <col min="12" max="12" width="12.33203125" customWidth="1"/>
    <col min="13" max="13" width="11.44140625" customWidth="1"/>
    <col min="14" max="14" width="11.6640625" customWidth="1"/>
    <col min="15" max="15" width="10" customWidth="1"/>
    <col min="16" max="16" width="13.44140625" customWidth="1"/>
    <col min="17" max="17" width="11.44140625" customWidth="1"/>
    <col min="18" max="18" width="9.33203125" customWidth="1"/>
    <col min="19" max="19" width="10.44140625" customWidth="1"/>
    <col min="20" max="20" width="10" customWidth="1"/>
    <col min="21" max="21" width="11.44140625" customWidth="1"/>
    <col min="22" max="22" width="13.109375" customWidth="1"/>
    <col min="23" max="23" width="11.6640625" customWidth="1" outlineLevel="1"/>
    <col min="24" max="24" width="14.6640625" customWidth="1" outlineLevel="1"/>
    <col min="25" max="25" width="18" customWidth="1"/>
    <col min="26" max="26" width="12" customWidth="1"/>
    <col min="27" max="28" width="11.44140625" customWidth="1"/>
  </cols>
  <sheetData>
    <row r="2" spans="2:26" ht="11.25" customHeight="1">
      <c r="B2" s="2"/>
      <c r="C2" s="4" t="s">
        <v>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2"/>
      <c r="Q2" s="3"/>
      <c r="R2" s="2"/>
      <c r="S2" s="2"/>
      <c r="T2" s="2"/>
      <c r="U2" s="2"/>
      <c r="V2" s="2"/>
      <c r="W2" s="2"/>
      <c r="X2" s="2"/>
      <c r="Y2" s="2"/>
      <c r="Z2" s="2"/>
    </row>
    <row r="3" spans="2:26" ht="11.25" customHeight="1">
      <c r="B3" s="6"/>
      <c r="C3" s="4" t="s">
        <v>1</v>
      </c>
      <c r="D3" s="7"/>
      <c r="E3" s="6"/>
      <c r="F3" s="8"/>
      <c r="G3" s="8"/>
      <c r="H3" s="8"/>
      <c r="I3" s="8"/>
      <c r="J3" s="9"/>
      <c r="K3" s="6"/>
      <c r="L3" s="6"/>
      <c r="M3" s="6"/>
      <c r="N3" s="6"/>
      <c r="O3" s="6"/>
      <c r="P3" s="6"/>
      <c r="Q3" s="10"/>
      <c r="R3" s="6"/>
      <c r="S3" s="6"/>
      <c r="T3" s="6"/>
      <c r="U3" s="6"/>
      <c r="V3" s="6"/>
      <c r="W3" s="6"/>
      <c r="X3" s="6"/>
      <c r="Y3" s="6"/>
      <c r="Z3" s="6"/>
    </row>
    <row r="4" spans="2:26" ht="11.25" customHeight="1">
      <c r="B4" s="6"/>
      <c r="C4" s="4" t="s">
        <v>2</v>
      </c>
      <c r="D4" s="6"/>
      <c r="E4" s="6"/>
      <c r="F4" s="6"/>
      <c r="G4" s="6"/>
      <c r="H4" s="6"/>
      <c r="I4" s="12" t="str">
        <f>+NSG!C5</f>
        <v>SERVICIOS MOBILES INTERNACIONALES</v>
      </c>
      <c r="J4" s="6"/>
      <c r="K4" s="6"/>
      <c r="L4" s="6"/>
      <c r="M4" s="6"/>
      <c r="N4" s="6"/>
      <c r="O4" s="6"/>
      <c r="P4" s="6"/>
      <c r="Q4" s="10"/>
      <c r="R4" s="6"/>
      <c r="S4" s="6"/>
      <c r="T4" s="6"/>
      <c r="U4" s="6"/>
      <c r="V4" s="6"/>
      <c r="W4" s="6"/>
      <c r="X4" s="6"/>
      <c r="Y4" s="6"/>
      <c r="Z4" s="6"/>
    </row>
    <row r="5" spans="2:26" ht="11.25" customHeight="1">
      <c r="B5" s="6"/>
      <c r="C5" s="4" t="s">
        <v>3</v>
      </c>
      <c r="D5" s="6"/>
      <c r="E5" s="6"/>
      <c r="F5" s="6"/>
      <c r="G5" s="6"/>
      <c r="H5" s="6"/>
      <c r="I5" s="13">
        <f>+NSG!C6</f>
        <v>20511763089</v>
      </c>
      <c r="J5" s="6"/>
      <c r="K5" s="6"/>
      <c r="L5" s="6"/>
      <c r="M5" s="6"/>
      <c r="N5" s="6"/>
      <c r="O5" s="6"/>
      <c r="P5" s="6"/>
      <c r="Q5" s="10"/>
      <c r="R5" s="6"/>
      <c r="S5" s="6"/>
      <c r="T5" s="6"/>
      <c r="U5" s="6"/>
      <c r="V5" s="6"/>
      <c r="W5" s="6"/>
      <c r="X5" s="6"/>
      <c r="Y5" s="6"/>
      <c r="Z5" s="6"/>
    </row>
    <row r="6" spans="2:26" ht="11.25" customHeight="1">
      <c r="B6" s="6"/>
      <c r="C6" s="4" t="s">
        <v>4</v>
      </c>
      <c r="D6" s="6"/>
      <c r="E6" s="6"/>
      <c r="F6" s="6"/>
      <c r="G6" s="6"/>
      <c r="H6" s="6"/>
      <c r="I6" s="13" t="str">
        <f>+NSG!C7</f>
        <v>FACTURAS</v>
      </c>
      <c r="J6" s="6"/>
      <c r="K6" s="15"/>
      <c r="L6" s="4"/>
      <c r="M6" s="6"/>
      <c r="N6" s="6"/>
      <c r="O6" s="6"/>
      <c r="P6" s="6"/>
      <c r="Q6" s="10"/>
      <c r="R6" s="6"/>
      <c r="S6" s="6"/>
      <c r="T6" s="6"/>
      <c r="U6" s="6"/>
      <c r="V6" s="6"/>
      <c r="W6" s="6"/>
      <c r="X6" s="6"/>
      <c r="Y6" s="6"/>
      <c r="Z6" s="6"/>
    </row>
    <row r="7" spans="2:26" ht="11.25" customHeight="1">
      <c r="B7" s="6"/>
      <c r="C7" s="16"/>
      <c r="D7" s="17"/>
      <c r="E7" s="18"/>
      <c r="F7" s="16"/>
      <c r="G7" s="16"/>
      <c r="H7" s="16"/>
      <c r="I7" s="16"/>
      <c r="J7" s="16"/>
      <c r="K7" s="17" t="str">
        <f>+NSG!E9</f>
        <v>ANEXO</v>
      </c>
      <c r="L7" s="304">
        <f>+NSG!G10</f>
        <v>0</v>
      </c>
      <c r="M7" s="21"/>
      <c r="N7" s="21"/>
      <c r="O7" s="21"/>
      <c r="P7" s="22" t="s">
        <v>5</v>
      </c>
      <c r="Q7" s="23"/>
      <c r="R7" s="23"/>
      <c r="S7" s="23"/>
      <c r="T7" s="23"/>
      <c r="U7" s="23"/>
      <c r="V7" s="23"/>
      <c r="W7" s="25"/>
      <c r="X7" s="27"/>
      <c r="Y7" s="25"/>
      <c r="Z7" s="25"/>
    </row>
    <row r="8" spans="2:26" ht="11.25" customHeight="1">
      <c r="B8" s="6"/>
      <c r="C8" s="6"/>
      <c r="D8" s="5"/>
      <c r="E8" s="29"/>
      <c r="F8" s="6"/>
      <c r="G8" s="6"/>
      <c r="H8" s="6"/>
      <c r="I8" s="6"/>
      <c r="J8" s="6"/>
      <c r="K8" s="5"/>
      <c r="L8" s="5"/>
      <c r="M8" s="4"/>
      <c r="N8" s="4"/>
      <c r="O8" s="4"/>
      <c r="P8" s="31"/>
      <c r="Q8" s="33"/>
      <c r="R8" s="33"/>
      <c r="S8" s="33"/>
      <c r="T8" s="33"/>
      <c r="U8" s="33"/>
      <c r="V8" s="33"/>
      <c r="W8" s="6"/>
      <c r="X8" s="35"/>
      <c r="Y8" s="6"/>
      <c r="Z8" s="6"/>
    </row>
    <row r="9" spans="2:26" ht="11.25" customHeight="1" outlineLevel="1">
      <c r="B9" s="37"/>
      <c r="C9" s="39"/>
      <c r="D9" s="37"/>
      <c r="E9" s="41"/>
      <c r="F9" s="41"/>
      <c r="G9" s="41"/>
      <c r="H9" s="41"/>
      <c r="I9" s="43">
        <v>3.3119999999999998</v>
      </c>
      <c r="J9" s="45"/>
      <c r="K9" s="316"/>
      <c r="L9" s="317"/>
      <c r="M9" s="316"/>
      <c r="N9" s="317"/>
      <c r="O9" s="318"/>
      <c r="P9" s="58"/>
      <c r="Q9" s="60"/>
      <c r="R9" s="37"/>
      <c r="S9" s="317">
        <v>0.02</v>
      </c>
      <c r="T9" s="317">
        <v>0.03</v>
      </c>
      <c r="U9" s="323">
        <v>0.18</v>
      </c>
      <c r="V9" s="37"/>
      <c r="W9" s="66" t="s">
        <v>9</v>
      </c>
      <c r="X9" s="37"/>
      <c r="Y9" s="37"/>
      <c r="Z9" s="37"/>
    </row>
    <row r="10" spans="2:26" ht="11.25" customHeight="1" outlineLevel="1">
      <c r="B10" s="37"/>
      <c r="C10" s="39"/>
      <c r="D10" s="37"/>
      <c r="E10" s="41"/>
      <c r="F10" s="41"/>
      <c r="G10" s="41"/>
      <c r="H10" s="41"/>
      <c r="I10" s="68"/>
      <c r="J10" s="45"/>
      <c r="K10" s="316"/>
      <c r="L10" s="316"/>
      <c r="M10" s="318"/>
      <c r="N10" s="319"/>
      <c r="O10" s="318"/>
      <c r="P10" s="58"/>
      <c r="Q10" s="60"/>
      <c r="R10" s="37"/>
      <c r="S10" s="48"/>
      <c r="T10" s="48"/>
      <c r="U10" s="64"/>
      <c r="V10" s="37"/>
      <c r="W10" s="79" t="s">
        <v>12</v>
      </c>
      <c r="X10" s="37"/>
      <c r="Y10" s="37"/>
      <c r="Z10" s="37"/>
    </row>
    <row r="11" spans="2:26" ht="11.25" customHeight="1" outlineLevel="1">
      <c r="B11" s="37"/>
      <c r="C11" s="39"/>
      <c r="D11" s="37"/>
      <c r="E11" s="41"/>
      <c r="F11" s="41"/>
      <c r="G11" s="41"/>
      <c r="H11" s="41"/>
      <c r="I11" s="68"/>
      <c r="J11" s="45"/>
      <c r="Q11" s="60"/>
      <c r="R11" s="37"/>
      <c r="S11" s="48"/>
      <c r="T11" s="48"/>
      <c r="U11" s="64"/>
      <c r="V11" s="37"/>
      <c r="W11" s="37"/>
      <c r="X11" s="37"/>
      <c r="Y11" s="37"/>
      <c r="Z11" s="37"/>
    </row>
    <row r="12" spans="2:26" ht="35.25" customHeight="1">
      <c r="B12" s="314" t="s">
        <v>18</v>
      </c>
      <c r="C12" s="312" t="s">
        <v>19</v>
      </c>
      <c r="D12" s="94" t="s">
        <v>13</v>
      </c>
      <c r="E12" s="94" t="s">
        <v>21</v>
      </c>
      <c r="F12" s="94" t="s">
        <v>22</v>
      </c>
      <c r="G12" s="94" t="s">
        <v>23</v>
      </c>
      <c r="H12" s="94" t="s">
        <v>24</v>
      </c>
      <c r="I12" s="95" t="s">
        <v>24</v>
      </c>
      <c r="J12" s="307" t="s">
        <v>14</v>
      </c>
      <c r="K12" s="94" t="s">
        <v>25</v>
      </c>
      <c r="L12" s="94" t="s">
        <v>26</v>
      </c>
      <c r="M12" s="94" t="s">
        <v>27</v>
      </c>
      <c r="N12" s="94" t="s">
        <v>28</v>
      </c>
      <c r="O12" s="94" t="s">
        <v>27</v>
      </c>
      <c r="P12" s="320" t="s">
        <v>29</v>
      </c>
      <c r="Q12" s="97" t="s">
        <v>30</v>
      </c>
      <c r="R12" s="98" t="s">
        <v>31</v>
      </c>
      <c r="S12" s="98" t="s">
        <v>32</v>
      </c>
      <c r="T12" s="98" t="s">
        <v>33</v>
      </c>
      <c r="U12" s="100" t="s">
        <v>27</v>
      </c>
      <c r="V12" s="102" t="s">
        <v>34</v>
      </c>
      <c r="W12" s="94" t="s">
        <v>35</v>
      </c>
      <c r="X12" s="103" t="s">
        <v>82</v>
      </c>
      <c r="Y12" s="94" t="s">
        <v>36</v>
      </c>
      <c r="Z12" s="102" t="s">
        <v>37</v>
      </c>
    </row>
    <row r="13" spans="2:26" ht="28.5" customHeight="1">
      <c r="B13" s="315" t="s">
        <v>45</v>
      </c>
      <c r="C13" s="313">
        <v>115</v>
      </c>
      <c r="D13" s="106">
        <v>493</v>
      </c>
      <c r="E13" s="108" t="s">
        <v>6</v>
      </c>
      <c r="F13" s="110">
        <v>216176</v>
      </c>
      <c r="G13" s="112">
        <v>0.04</v>
      </c>
      <c r="H13" s="114">
        <f>+F13-(F13*G13)</f>
        <v>207528.95999999999</v>
      </c>
      <c r="I13" s="305">
        <f>+H13*I9</f>
        <v>687335.91551999992</v>
      </c>
      <c r="J13" s="308">
        <v>43706</v>
      </c>
      <c r="K13" s="306">
        <v>652969.11974399991</v>
      </c>
      <c r="L13" s="118">
        <v>52011.956888685098</v>
      </c>
      <c r="M13" s="118">
        <v>9362.1522399633177</v>
      </c>
      <c r="N13" s="118">
        <v>4897.2683980799993</v>
      </c>
      <c r="O13" s="118">
        <v>881.50831165439979</v>
      </c>
      <c r="P13" s="321">
        <f>+K13-SUM(L13:O13)</f>
        <v>585816.23390561715</v>
      </c>
      <c r="Q13" s="120">
        <v>43700</v>
      </c>
      <c r="R13" s="121">
        <f>+Q13-J13</f>
        <v>-6</v>
      </c>
      <c r="S13" s="310">
        <f>IF($R13&lt;0,IFERROR(+((1+$S$9/30)^($C13+$R13)-1)*(K13),0)-$L13,IFERROR(+((1+$S$9/30)^($R13)-1)*($K13),0))</f>
        <v>-2813.3561630893382</v>
      </c>
      <c r="T13" s="310">
        <f>IF($R13&gt;0,IFERROR(+((1+$T$9/30)^R13-1)*(L13+S13),0),0)</f>
        <v>0</v>
      </c>
      <c r="U13" s="311">
        <f>SUM(S13:T13)*$U$9</f>
        <v>-506.40410935608088</v>
      </c>
      <c r="V13" s="123">
        <f>SUM(L13:P13)+SUM(S13:U13)</f>
        <v>649649.35947155452</v>
      </c>
      <c r="W13" s="125">
        <v>207528.95999999999</v>
      </c>
      <c r="X13" s="309">
        <v>3.375</v>
      </c>
      <c r="Y13" s="126">
        <f>+W13*X13</f>
        <v>700410.24</v>
      </c>
      <c r="Z13" s="128">
        <f>+Y13-V13</f>
        <v>50760.880528445472</v>
      </c>
    </row>
    <row r="14" spans="2:26" ht="13.2">
      <c r="B14" s="129"/>
      <c r="C14" s="129"/>
      <c r="D14" s="129"/>
      <c r="E14" s="129"/>
      <c r="F14" s="129"/>
      <c r="G14" s="129"/>
      <c r="H14" s="129"/>
      <c r="I14" s="129"/>
      <c r="J14" s="129"/>
      <c r="K14" s="89">
        <f>SUM(K13)</f>
        <v>652969.11974399991</v>
      </c>
      <c r="L14" s="92">
        <f>SUM(L13)</f>
        <v>52011.956888685098</v>
      </c>
      <c r="M14" s="92">
        <f>SUM(M13)</f>
        <v>9362.1522399633177</v>
      </c>
      <c r="N14" s="89">
        <f>SUM(N13)</f>
        <v>4897.2683980799993</v>
      </c>
      <c r="O14" s="92">
        <f>SUM(O13)</f>
        <v>881.50831165439979</v>
      </c>
      <c r="P14" s="92">
        <f>+K14-SUM(L14:O14)</f>
        <v>585816.23390561715</v>
      </c>
      <c r="Q14" s="130"/>
      <c r="R14" s="129"/>
      <c r="S14" s="129"/>
      <c r="T14" s="129"/>
      <c r="U14" s="129"/>
      <c r="V14" s="129"/>
      <c r="W14" s="129"/>
      <c r="X14" s="129"/>
      <c r="Y14" s="129"/>
      <c r="Z14" s="129"/>
    </row>
    <row r="15" spans="2:26" ht="13.2">
      <c r="B15" s="129"/>
      <c r="C15" s="129"/>
      <c r="D15" s="129"/>
      <c r="E15" s="129"/>
      <c r="F15" s="129"/>
      <c r="G15" s="129"/>
      <c r="H15" s="129"/>
      <c r="I15" s="129"/>
      <c r="J15" s="129"/>
      <c r="K15" s="130"/>
      <c r="L15" s="129"/>
      <c r="M15" s="130"/>
      <c r="N15" s="130"/>
      <c r="O15" s="130"/>
      <c r="P15" s="130"/>
      <c r="Q15" s="129"/>
      <c r="R15" s="129"/>
      <c r="S15" s="129"/>
      <c r="T15" s="129"/>
      <c r="U15" s="129"/>
      <c r="V15" s="129"/>
      <c r="W15" s="129"/>
      <c r="X15" s="131"/>
      <c r="Y15" s="132" t="s">
        <v>46</v>
      </c>
      <c r="Z15" s="133">
        <f>SUM(Z13)</f>
        <v>50760.880528445472</v>
      </c>
    </row>
    <row r="17" spans="24:24" ht="11.25" customHeight="1">
      <c r="X17" s="322" t="s">
        <v>83</v>
      </c>
    </row>
  </sheetData>
  <pageMargins left="0.23622047244094491" right="0.23622047244094491" top="0.74803149606299213" bottom="0.74803149606299213" header="0.31496062992125984" footer="0.31496062992125984"/>
  <pageSetup scale="53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FF0000"/>
    <pageSetUpPr fitToPage="1"/>
  </sheetPr>
  <dimension ref="A1:P111"/>
  <sheetViews>
    <sheetView showGridLines="0" workbookViewId="0"/>
  </sheetViews>
  <sheetFormatPr defaultColWidth="14.44140625" defaultRowHeight="15" customHeight="1" outlineLevelRow="1" outlineLevelCol="1"/>
  <cols>
    <col min="1" max="1" width="11.44140625" customWidth="1"/>
    <col min="2" max="2" width="19.6640625" customWidth="1"/>
    <col min="3" max="6" width="22.6640625" customWidth="1"/>
    <col min="7" max="8" width="30.6640625" customWidth="1"/>
    <col min="9" max="9" width="20.6640625" customWidth="1" outlineLevel="1"/>
    <col min="10" max="10" width="20.6640625" customWidth="1"/>
    <col min="11" max="11" width="25.6640625" customWidth="1"/>
    <col min="12" max="12" width="18.6640625" customWidth="1"/>
    <col min="13" max="16" width="11.44140625" customWidth="1"/>
    <col min="17" max="26" width="10.6640625" customWidth="1"/>
  </cols>
  <sheetData>
    <row r="1" spans="1:16" ht="12.7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200"/>
      <c r="L1" s="11"/>
      <c r="M1" s="11"/>
      <c r="N1" s="11"/>
      <c r="O1" s="11"/>
      <c r="P1" s="11" t="s">
        <v>5</v>
      </c>
    </row>
    <row r="2" spans="1:16" ht="30" customHeight="1">
      <c r="A2" s="540" t="s">
        <v>0</v>
      </c>
      <c r="B2" s="495"/>
      <c r="C2" s="495"/>
      <c r="D2" s="495"/>
      <c r="E2" s="495"/>
      <c r="F2" s="495"/>
      <c r="G2" s="495"/>
      <c r="H2" s="495"/>
      <c r="I2" s="201"/>
      <c r="J2" s="202"/>
      <c r="K2" s="203"/>
      <c r="L2" s="202"/>
      <c r="M2" s="204"/>
      <c r="N2" s="204"/>
      <c r="O2" s="202"/>
      <c r="P2" s="202" t="s">
        <v>6</v>
      </c>
    </row>
    <row r="3" spans="1:16" ht="12.75" customHeight="1">
      <c r="A3" s="198"/>
      <c r="B3" s="198"/>
      <c r="C3" s="198"/>
      <c r="D3" s="198"/>
      <c r="E3" s="198"/>
      <c r="F3" s="198"/>
      <c r="G3" s="198"/>
      <c r="H3" s="198"/>
      <c r="I3" s="198"/>
      <c r="J3" s="11"/>
      <c r="K3" s="200"/>
      <c r="L3" s="11"/>
      <c r="M3" s="11"/>
      <c r="N3" s="11"/>
      <c r="O3" s="11"/>
      <c r="P3" s="11"/>
    </row>
    <row r="4" spans="1:16" ht="12.75" customHeight="1">
      <c r="A4" s="46" t="s">
        <v>7</v>
      </c>
      <c r="B4" s="205"/>
      <c r="C4" s="206"/>
      <c r="D4" s="207"/>
      <c r="E4" s="205"/>
      <c r="F4" s="208"/>
      <c r="G4" s="205"/>
      <c r="H4" s="205"/>
      <c r="I4" s="205"/>
      <c r="J4" s="205"/>
      <c r="K4" s="209"/>
      <c r="L4" s="205"/>
      <c r="M4" s="205"/>
      <c r="N4" s="205"/>
      <c r="O4" s="205"/>
      <c r="P4" s="205"/>
    </row>
    <row r="5" spans="1:16" ht="12.75" customHeight="1">
      <c r="A5" s="210" t="s">
        <v>2</v>
      </c>
      <c r="B5" s="205"/>
      <c r="C5" s="211" t="s">
        <v>73</v>
      </c>
      <c r="D5" s="207"/>
      <c r="E5" s="205"/>
      <c r="F5" s="205"/>
      <c r="G5" s="205"/>
      <c r="H5" s="205"/>
      <c r="I5" s="205"/>
      <c r="J5" s="205"/>
      <c r="K5" s="209"/>
      <c r="L5" s="205"/>
      <c r="M5" s="205"/>
      <c r="N5" s="205"/>
      <c r="O5" s="205"/>
      <c r="P5" s="205"/>
    </row>
    <row r="6" spans="1:16" ht="12.75" customHeight="1">
      <c r="A6" s="210" t="s">
        <v>3</v>
      </c>
      <c r="B6" s="205"/>
      <c r="C6" s="212">
        <v>20545491568</v>
      </c>
      <c r="D6" s="207"/>
      <c r="E6" s="205"/>
      <c r="F6" s="205"/>
      <c r="G6" s="205"/>
      <c r="H6" s="205"/>
      <c r="I6" s="205"/>
      <c r="J6" s="205"/>
      <c r="K6" s="209"/>
      <c r="L6" s="205"/>
      <c r="M6" s="205"/>
      <c r="N6" s="205"/>
      <c r="O6" s="205"/>
      <c r="P6" s="205"/>
    </row>
    <row r="7" spans="1:16" ht="12.75" customHeight="1">
      <c r="A7" s="213" t="s">
        <v>4</v>
      </c>
      <c r="B7" s="205"/>
      <c r="C7" s="212" t="s">
        <v>74</v>
      </c>
      <c r="D7" s="205"/>
      <c r="E7" s="205"/>
      <c r="F7" s="205"/>
      <c r="G7" s="213"/>
      <c r="H7" s="205"/>
      <c r="I7" s="205"/>
      <c r="J7" s="205"/>
      <c r="K7" s="209"/>
      <c r="L7" s="205"/>
      <c r="M7" s="205"/>
      <c r="N7" s="205"/>
      <c r="O7" s="205"/>
      <c r="P7" s="205"/>
    </row>
    <row r="8" spans="1:16" ht="12.75" customHeight="1">
      <c r="A8" s="214"/>
      <c r="B8" s="215"/>
      <c r="C8" s="214"/>
      <c r="D8" s="214"/>
      <c r="E8" s="73" t="s">
        <v>75</v>
      </c>
      <c r="F8" s="73"/>
      <c r="G8" s="73"/>
      <c r="H8" s="216"/>
      <c r="I8" s="216"/>
      <c r="J8" s="217" t="s">
        <v>5</v>
      </c>
      <c r="K8" s="218"/>
      <c r="L8" s="218"/>
      <c r="M8" s="205"/>
      <c r="N8" s="205"/>
      <c r="O8" s="205"/>
      <c r="P8" s="205"/>
    </row>
    <row r="9" spans="1:16" ht="12.75" customHeight="1">
      <c r="A9" s="214"/>
      <c r="B9" s="215"/>
      <c r="C9" s="214"/>
      <c r="D9" s="214"/>
      <c r="E9" s="73" t="s">
        <v>10</v>
      </c>
      <c r="F9" s="73"/>
      <c r="G9" s="219">
        <v>42845</v>
      </c>
      <c r="H9" s="216"/>
      <c r="I9" s="216"/>
      <c r="J9" s="217" t="s">
        <v>6</v>
      </c>
      <c r="K9" s="218"/>
      <c r="L9" s="218"/>
      <c r="M9" s="205"/>
      <c r="N9" s="205"/>
      <c r="O9" s="205"/>
      <c r="P9" s="205"/>
    </row>
    <row r="10" spans="1:16" ht="12.75" customHeight="1">
      <c r="A10" s="220"/>
      <c r="B10" s="221"/>
      <c r="C10" s="220"/>
      <c r="D10" s="220"/>
      <c r="E10" s="220"/>
      <c r="F10" s="220"/>
      <c r="G10" s="222"/>
      <c r="H10" s="223"/>
      <c r="I10" s="223"/>
      <c r="J10" s="222"/>
      <c r="K10" s="200"/>
      <c r="L10" s="11"/>
      <c r="M10" s="11"/>
      <c r="N10" s="11"/>
      <c r="O10" s="11"/>
      <c r="P10" s="11"/>
    </row>
    <row r="11" spans="1:16" ht="12.75" customHeight="1">
      <c r="A11" s="220"/>
      <c r="B11" s="221"/>
      <c r="C11" s="224" t="s">
        <v>11</v>
      </c>
      <c r="D11" s="225"/>
      <c r="E11" s="226"/>
      <c r="F11" s="226"/>
      <c r="G11" s="227">
        <f>MAX(H11*C95,H12)</f>
        <v>1088.6835879579439</v>
      </c>
      <c r="H11" s="228">
        <v>0.01</v>
      </c>
      <c r="I11" s="229"/>
      <c r="J11" s="220"/>
      <c r="K11" s="200"/>
      <c r="L11" s="11"/>
      <c r="M11" s="11"/>
      <c r="N11" s="11"/>
      <c r="O11" s="11"/>
      <c r="P11" s="11"/>
    </row>
    <row r="12" spans="1:16" ht="12.75" customHeight="1">
      <c r="A12" s="220"/>
      <c r="B12" s="220"/>
      <c r="C12" s="220"/>
      <c r="D12" s="220"/>
      <c r="E12" s="223"/>
      <c r="F12" s="223"/>
      <c r="G12" s="220" t="s">
        <v>20</v>
      </c>
      <c r="H12" s="230">
        <f>75*$J$13</f>
        <v>232.5</v>
      </c>
      <c r="I12" s="231"/>
      <c r="J12" s="232"/>
      <c r="K12" s="200"/>
      <c r="L12" s="11"/>
      <c r="M12" s="11"/>
      <c r="N12" s="11"/>
      <c r="O12" s="11"/>
      <c r="P12" s="11"/>
    </row>
    <row r="13" spans="1:16" ht="12.75" customHeight="1">
      <c r="A13" s="220"/>
      <c r="B13" s="220"/>
      <c r="C13" s="220"/>
      <c r="D13" s="220"/>
      <c r="E13" s="223"/>
      <c r="F13" s="223"/>
      <c r="G13" s="220"/>
      <c r="H13" s="233"/>
      <c r="I13" s="233"/>
      <c r="J13" s="234">
        <v>3.1</v>
      </c>
      <c r="K13" s="200"/>
      <c r="L13" s="11"/>
      <c r="M13" s="11"/>
      <c r="N13" s="11"/>
      <c r="O13" s="11"/>
      <c r="P13" s="11"/>
    </row>
    <row r="14" spans="1:16" ht="40.5" customHeight="1">
      <c r="A14" s="223"/>
      <c r="B14" s="235" t="s">
        <v>13</v>
      </c>
      <c r="C14" s="235" t="s">
        <v>38</v>
      </c>
      <c r="D14" s="235" t="s">
        <v>39</v>
      </c>
      <c r="E14" s="235" t="s">
        <v>14</v>
      </c>
      <c r="F14" s="235" t="s">
        <v>40</v>
      </c>
      <c r="G14" s="235" t="s">
        <v>17</v>
      </c>
      <c r="H14" s="236" t="s">
        <v>18</v>
      </c>
      <c r="I14" s="237" t="s">
        <v>41</v>
      </c>
      <c r="J14" s="236" t="s">
        <v>42</v>
      </c>
      <c r="K14" s="238" t="s">
        <v>43</v>
      </c>
      <c r="L14" s="91" t="s">
        <v>44</v>
      </c>
      <c r="M14" s="223"/>
      <c r="N14" s="223"/>
      <c r="O14" s="223"/>
      <c r="P14" s="223"/>
    </row>
    <row r="15" spans="1:16" ht="34.5" customHeight="1">
      <c r="A15" s="220">
        <v>1</v>
      </c>
      <c r="B15" s="239">
        <v>1603</v>
      </c>
      <c r="C15" s="240">
        <v>42832</v>
      </c>
      <c r="D15" s="241">
        <v>73</v>
      </c>
      <c r="E15" s="242">
        <f t="shared" ref="E15:E52" si="0">IF($B15="","",+C15+D15)</f>
        <v>42905</v>
      </c>
      <c r="F15" s="243">
        <f t="shared" ref="F15:F52" si="1">IFERROR(+E15-$G$9,"")</f>
        <v>60</v>
      </c>
      <c r="G15" s="244" t="str">
        <f t="shared" ref="G15:G52" si="2">IF($B15="","",+$C$5)</f>
        <v>AUTO BODY PAINT S.A.C.</v>
      </c>
      <c r="H15" s="245" t="s">
        <v>76</v>
      </c>
      <c r="I15" s="246" t="s">
        <v>5</v>
      </c>
      <c r="J15" s="247">
        <v>153777.66</v>
      </c>
      <c r="K15" s="248">
        <f t="shared" ref="K15:K52" si="3">IF(I15="pen",+J15,+J15*$J$13)</f>
        <v>153777.66</v>
      </c>
      <c r="L15" s="249">
        <v>0.1</v>
      </c>
      <c r="M15" s="220"/>
      <c r="N15" s="250"/>
      <c r="O15" s="11"/>
      <c r="P15" s="11"/>
    </row>
    <row r="16" spans="1:16" ht="34.5" hidden="1" customHeight="1" outlineLevel="1">
      <c r="A16" s="220">
        <v>2</v>
      </c>
      <c r="B16" s="239"/>
      <c r="C16" s="240"/>
      <c r="D16" s="241"/>
      <c r="E16" s="242" t="str">
        <f t="shared" si="0"/>
        <v/>
      </c>
      <c r="F16" s="243" t="str">
        <f t="shared" si="1"/>
        <v/>
      </c>
      <c r="G16" s="244" t="str">
        <f t="shared" si="2"/>
        <v/>
      </c>
      <c r="H16" s="245"/>
      <c r="I16" s="246"/>
      <c r="J16" s="247"/>
      <c r="K16" s="248">
        <f t="shared" si="3"/>
        <v>0</v>
      </c>
      <c r="L16" s="249">
        <v>0.03</v>
      </c>
      <c r="M16" s="220"/>
      <c r="N16" s="250"/>
      <c r="O16" s="11"/>
      <c r="P16" s="11"/>
    </row>
    <row r="17" spans="1:12" ht="34.5" hidden="1" customHeight="1" outlineLevel="1">
      <c r="A17" s="220">
        <v>3</v>
      </c>
      <c r="B17" s="239"/>
      <c r="C17" s="240"/>
      <c r="D17" s="241"/>
      <c r="E17" s="242" t="str">
        <f t="shared" si="0"/>
        <v/>
      </c>
      <c r="F17" s="243" t="str">
        <f t="shared" si="1"/>
        <v/>
      </c>
      <c r="G17" s="244" t="str">
        <f t="shared" si="2"/>
        <v/>
      </c>
      <c r="H17" s="245"/>
      <c r="I17" s="246"/>
      <c r="J17" s="247"/>
      <c r="K17" s="248">
        <f t="shared" si="3"/>
        <v>0</v>
      </c>
      <c r="L17" s="249">
        <v>0.03</v>
      </c>
    </row>
    <row r="18" spans="1:12" ht="34.5" hidden="1" customHeight="1" outlineLevel="1">
      <c r="A18" s="220">
        <v>4</v>
      </c>
      <c r="B18" s="239"/>
      <c r="C18" s="240"/>
      <c r="D18" s="241"/>
      <c r="E18" s="242" t="str">
        <f t="shared" si="0"/>
        <v/>
      </c>
      <c r="F18" s="243" t="str">
        <f t="shared" si="1"/>
        <v/>
      </c>
      <c r="G18" s="244" t="str">
        <f t="shared" si="2"/>
        <v/>
      </c>
      <c r="H18" s="245"/>
      <c r="I18" s="246"/>
      <c r="J18" s="247"/>
      <c r="K18" s="248">
        <f t="shared" si="3"/>
        <v>0</v>
      </c>
      <c r="L18" s="249">
        <v>0.03</v>
      </c>
    </row>
    <row r="19" spans="1:12" ht="34.5" hidden="1" customHeight="1" outlineLevel="1">
      <c r="A19" s="220">
        <v>5</v>
      </c>
      <c r="B19" s="239"/>
      <c r="C19" s="240"/>
      <c r="D19" s="241"/>
      <c r="E19" s="242" t="str">
        <f t="shared" si="0"/>
        <v/>
      </c>
      <c r="F19" s="243" t="str">
        <f t="shared" si="1"/>
        <v/>
      </c>
      <c r="G19" s="244" t="str">
        <f t="shared" si="2"/>
        <v/>
      </c>
      <c r="H19" s="245"/>
      <c r="I19" s="246"/>
      <c r="J19" s="247"/>
      <c r="K19" s="248">
        <f t="shared" si="3"/>
        <v>0</v>
      </c>
      <c r="L19" s="249">
        <v>0.03</v>
      </c>
    </row>
    <row r="20" spans="1:12" ht="34.5" hidden="1" customHeight="1" outlineLevel="1">
      <c r="A20" s="220">
        <v>6</v>
      </c>
      <c r="B20" s="239"/>
      <c r="C20" s="240"/>
      <c r="D20" s="241"/>
      <c r="E20" s="242" t="str">
        <f t="shared" si="0"/>
        <v/>
      </c>
      <c r="F20" s="243" t="str">
        <f t="shared" si="1"/>
        <v/>
      </c>
      <c r="G20" s="244" t="str">
        <f t="shared" si="2"/>
        <v/>
      </c>
      <c r="H20" s="245"/>
      <c r="I20" s="246"/>
      <c r="J20" s="247"/>
      <c r="K20" s="248">
        <f t="shared" si="3"/>
        <v>0</v>
      </c>
      <c r="L20" s="249">
        <v>0.1</v>
      </c>
    </row>
    <row r="21" spans="1:12" ht="34.5" hidden="1" customHeight="1" outlineLevel="1">
      <c r="A21" s="220">
        <v>7</v>
      </c>
      <c r="B21" s="239"/>
      <c r="C21" s="240"/>
      <c r="D21" s="241"/>
      <c r="E21" s="242" t="str">
        <f t="shared" si="0"/>
        <v/>
      </c>
      <c r="F21" s="243" t="str">
        <f t="shared" si="1"/>
        <v/>
      </c>
      <c r="G21" s="244" t="str">
        <f t="shared" si="2"/>
        <v/>
      </c>
      <c r="H21" s="245"/>
      <c r="I21" s="246"/>
      <c r="J21" s="247"/>
      <c r="K21" s="248">
        <f t="shared" si="3"/>
        <v>0</v>
      </c>
      <c r="L21" s="249">
        <v>0.1</v>
      </c>
    </row>
    <row r="22" spans="1:12" ht="34.5" hidden="1" customHeight="1" outlineLevel="1">
      <c r="A22" s="220">
        <v>8</v>
      </c>
      <c r="B22" s="239"/>
      <c r="C22" s="240"/>
      <c r="D22" s="241"/>
      <c r="E22" s="242" t="str">
        <f t="shared" si="0"/>
        <v/>
      </c>
      <c r="F22" s="243" t="str">
        <f t="shared" si="1"/>
        <v/>
      </c>
      <c r="G22" s="244" t="str">
        <f t="shared" si="2"/>
        <v/>
      </c>
      <c r="H22" s="245"/>
      <c r="I22" s="246"/>
      <c r="J22" s="247"/>
      <c r="K22" s="248">
        <f t="shared" si="3"/>
        <v>0</v>
      </c>
      <c r="L22" s="249">
        <v>0.03</v>
      </c>
    </row>
    <row r="23" spans="1:12" ht="34.5" hidden="1" customHeight="1" outlineLevel="1">
      <c r="A23" s="220">
        <v>9</v>
      </c>
      <c r="B23" s="239"/>
      <c r="C23" s="240"/>
      <c r="D23" s="241"/>
      <c r="E23" s="242" t="str">
        <f t="shared" si="0"/>
        <v/>
      </c>
      <c r="F23" s="243" t="str">
        <f t="shared" si="1"/>
        <v/>
      </c>
      <c r="G23" s="244" t="str">
        <f t="shared" si="2"/>
        <v/>
      </c>
      <c r="H23" s="245"/>
      <c r="I23" s="246"/>
      <c r="J23" s="247"/>
      <c r="K23" s="248">
        <f t="shared" si="3"/>
        <v>0</v>
      </c>
      <c r="L23" s="249">
        <v>0.03</v>
      </c>
    </row>
    <row r="24" spans="1:12" ht="34.5" hidden="1" customHeight="1" outlineLevel="1">
      <c r="A24" s="220">
        <v>10</v>
      </c>
      <c r="B24" s="239"/>
      <c r="C24" s="240"/>
      <c r="D24" s="241"/>
      <c r="E24" s="242" t="str">
        <f t="shared" si="0"/>
        <v/>
      </c>
      <c r="F24" s="243" t="str">
        <f t="shared" si="1"/>
        <v/>
      </c>
      <c r="G24" s="244" t="str">
        <f t="shared" si="2"/>
        <v/>
      </c>
      <c r="H24" s="245"/>
      <c r="I24" s="246"/>
      <c r="J24" s="247"/>
      <c r="K24" s="248">
        <f t="shared" si="3"/>
        <v>0</v>
      </c>
      <c r="L24" s="249">
        <v>0.03</v>
      </c>
    </row>
    <row r="25" spans="1:12" ht="34.5" hidden="1" customHeight="1" outlineLevel="1">
      <c r="A25" s="220">
        <v>11</v>
      </c>
      <c r="B25" s="239"/>
      <c r="C25" s="240"/>
      <c r="D25" s="241"/>
      <c r="E25" s="242" t="str">
        <f t="shared" si="0"/>
        <v/>
      </c>
      <c r="F25" s="243" t="str">
        <f t="shared" si="1"/>
        <v/>
      </c>
      <c r="G25" s="244" t="str">
        <f t="shared" si="2"/>
        <v/>
      </c>
      <c r="H25" s="245"/>
      <c r="I25" s="246"/>
      <c r="J25" s="247"/>
      <c r="K25" s="248">
        <f t="shared" si="3"/>
        <v>0</v>
      </c>
      <c r="L25" s="249">
        <v>0.03</v>
      </c>
    </row>
    <row r="26" spans="1:12" ht="34.5" hidden="1" customHeight="1" outlineLevel="1">
      <c r="A26" s="220">
        <v>12</v>
      </c>
      <c r="B26" s="239"/>
      <c r="C26" s="240"/>
      <c r="D26" s="241"/>
      <c r="E26" s="242" t="str">
        <f t="shared" si="0"/>
        <v/>
      </c>
      <c r="F26" s="243" t="str">
        <f t="shared" si="1"/>
        <v/>
      </c>
      <c r="G26" s="244" t="str">
        <f t="shared" si="2"/>
        <v/>
      </c>
      <c r="H26" s="245"/>
      <c r="I26" s="246"/>
      <c r="J26" s="247"/>
      <c r="K26" s="248">
        <f t="shared" si="3"/>
        <v>0</v>
      </c>
      <c r="L26" s="249">
        <v>0.03</v>
      </c>
    </row>
    <row r="27" spans="1:12" ht="34.5" hidden="1" customHeight="1" outlineLevel="1">
      <c r="A27" s="220">
        <v>13</v>
      </c>
      <c r="B27" s="239"/>
      <c r="C27" s="240"/>
      <c r="D27" s="241"/>
      <c r="E27" s="242" t="str">
        <f t="shared" si="0"/>
        <v/>
      </c>
      <c r="F27" s="243" t="str">
        <f t="shared" si="1"/>
        <v/>
      </c>
      <c r="G27" s="244" t="str">
        <f t="shared" si="2"/>
        <v/>
      </c>
      <c r="H27" s="245"/>
      <c r="I27" s="246"/>
      <c r="J27" s="247"/>
      <c r="K27" s="248">
        <f t="shared" si="3"/>
        <v>0</v>
      </c>
      <c r="L27" s="249">
        <v>0.1</v>
      </c>
    </row>
    <row r="28" spans="1:12" ht="34.5" hidden="1" customHeight="1" outlineLevel="1">
      <c r="A28" s="220">
        <v>14</v>
      </c>
      <c r="B28" s="239"/>
      <c r="C28" s="240"/>
      <c r="D28" s="241"/>
      <c r="E28" s="242" t="str">
        <f t="shared" si="0"/>
        <v/>
      </c>
      <c r="F28" s="243" t="str">
        <f t="shared" si="1"/>
        <v/>
      </c>
      <c r="G28" s="244" t="str">
        <f t="shared" si="2"/>
        <v/>
      </c>
      <c r="H28" s="245"/>
      <c r="I28" s="246"/>
      <c r="J28" s="247"/>
      <c r="K28" s="248">
        <f t="shared" si="3"/>
        <v>0</v>
      </c>
      <c r="L28" s="249">
        <v>0.03</v>
      </c>
    </row>
    <row r="29" spans="1:12" ht="34.5" hidden="1" customHeight="1" outlineLevel="1">
      <c r="A29" s="220">
        <v>15</v>
      </c>
      <c r="B29" s="239"/>
      <c r="C29" s="240"/>
      <c r="D29" s="241"/>
      <c r="E29" s="242" t="str">
        <f t="shared" si="0"/>
        <v/>
      </c>
      <c r="F29" s="243" t="str">
        <f t="shared" si="1"/>
        <v/>
      </c>
      <c r="G29" s="244" t="str">
        <f t="shared" si="2"/>
        <v/>
      </c>
      <c r="H29" s="245"/>
      <c r="I29" s="246"/>
      <c r="J29" s="247"/>
      <c r="K29" s="248">
        <f t="shared" si="3"/>
        <v>0</v>
      </c>
      <c r="L29" s="249">
        <v>0.03</v>
      </c>
    </row>
    <row r="30" spans="1:12" ht="34.5" hidden="1" customHeight="1" outlineLevel="1">
      <c r="A30" s="220">
        <v>16</v>
      </c>
      <c r="B30" s="239"/>
      <c r="C30" s="240"/>
      <c r="D30" s="241"/>
      <c r="E30" s="242" t="str">
        <f t="shared" si="0"/>
        <v/>
      </c>
      <c r="F30" s="243" t="str">
        <f t="shared" si="1"/>
        <v/>
      </c>
      <c r="G30" s="244" t="str">
        <f t="shared" si="2"/>
        <v/>
      </c>
      <c r="H30" s="245"/>
      <c r="I30" s="246"/>
      <c r="J30" s="247"/>
      <c r="K30" s="248">
        <f t="shared" si="3"/>
        <v>0</v>
      </c>
      <c r="L30" s="249">
        <v>0.03</v>
      </c>
    </row>
    <row r="31" spans="1:12" ht="34.5" hidden="1" customHeight="1" outlineLevel="1">
      <c r="A31" s="220">
        <v>17</v>
      </c>
      <c r="B31" s="239"/>
      <c r="C31" s="240"/>
      <c r="D31" s="241"/>
      <c r="E31" s="242" t="str">
        <f t="shared" si="0"/>
        <v/>
      </c>
      <c r="F31" s="243" t="str">
        <f t="shared" si="1"/>
        <v/>
      </c>
      <c r="G31" s="244" t="str">
        <f t="shared" si="2"/>
        <v/>
      </c>
      <c r="H31" s="245"/>
      <c r="I31" s="246"/>
      <c r="J31" s="247"/>
      <c r="K31" s="248">
        <f t="shared" si="3"/>
        <v>0</v>
      </c>
      <c r="L31" s="249">
        <v>0.03</v>
      </c>
    </row>
    <row r="32" spans="1:12" ht="34.5" hidden="1" customHeight="1" outlineLevel="1">
      <c r="A32" s="220">
        <v>18</v>
      </c>
      <c r="B32" s="239"/>
      <c r="C32" s="240"/>
      <c r="D32" s="241"/>
      <c r="E32" s="242" t="str">
        <f t="shared" si="0"/>
        <v/>
      </c>
      <c r="F32" s="243" t="str">
        <f t="shared" si="1"/>
        <v/>
      </c>
      <c r="G32" s="244" t="str">
        <f t="shared" si="2"/>
        <v/>
      </c>
      <c r="H32" s="245"/>
      <c r="I32" s="246"/>
      <c r="J32" s="247"/>
      <c r="K32" s="248">
        <f t="shared" si="3"/>
        <v>0</v>
      </c>
      <c r="L32" s="249">
        <v>0.1</v>
      </c>
    </row>
    <row r="33" spans="1:12" ht="34.5" hidden="1" customHeight="1" outlineLevel="1">
      <c r="A33" s="220">
        <v>19</v>
      </c>
      <c r="B33" s="239"/>
      <c r="C33" s="240"/>
      <c r="D33" s="241"/>
      <c r="E33" s="242" t="str">
        <f t="shared" si="0"/>
        <v/>
      </c>
      <c r="F33" s="243" t="str">
        <f t="shared" si="1"/>
        <v/>
      </c>
      <c r="G33" s="244" t="str">
        <f t="shared" si="2"/>
        <v/>
      </c>
      <c r="H33" s="245"/>
      <c r="I33" s="246"/>
      <c r="J33" s="247"/>
      <c r="K33" s="248">
        <f t="shared" si="3"/>
        <v>0</v>
      </c>
      <c r="L33" s="249">
        <v>0.03</v>
      </c>
    </row>
    <row r="34" spans="1:12" ht="34.5" hidden="1" customHeight="1" outlineLevel="1">
      <c r="A34" s="220">
        <v>20</v>
      </c>
      <c r="B34" s="239"/>
      <c r="C34" s="240"/>
      <c r="D34" s="241"/>
      <c r="E34" s="242" t="str">
        <f t="shared" si="0"/>
        <v/>
      </c>
      <c r="F34" s="243" t="str">
        <f t="shared" si="1"/>
        <v/>
      </c>
      <c r="G34" s="244" t="str">
        <f t="shared" si="2"/>
        <v/>
      </c>
      <c r="H34" s="245"/>
      <c r="I34" s="246"/>
      <c r="J34" s="247"/>
      <c r="K34" s="248">
        <f t="shared" si="3"/>
        <v>0</v>
      </c>
      <c r="L34" s="249">
        <v>0.03</v>
      </c>
    </row>
    <row r="35" spans="1:12" ht="34.5" hidden="1" customHeight="1" outlineLevel="1">
      <c r="A35" s="220">
        <v>21</v>
      </c>
      <c r="B35" s="239"/>
      <c r="C35" s="240"/>
      <c r="D35" s="241"/>
      <c r="E35" s="242" t="str">
        <f t="shared" si="0"/>
        <v/>
      </c>
      <c r="F35" s="243" t="str">
        <f t="shared" si="1"/>
        <v/>
      </c>
      <c r="G35" s="244" t="str">
        <f t="shared" si="2"/>
        <v/>
      </c>
      <c r="H35" s="245"/>
      <c r="I35" s="246"/>
      <c r="J35" s="247"/>
      <c r="K35" s="248">
        <f t="shared" si="3"/>
        <v>0</v>
      </c>
      <c r="L35" s="249">
        <v>0.1</v>
      </c>
    </row>
    <row r="36" spans="1:12" ht="34.5" hidden="1" customHeight="1" outlineLevel="1">
      <c r="A36" s="220">
        <v>22</v>
      </c>
      <c r="B36" s="239"/>
      <c r="C36" s="240"/>
      <c r="D36" s="241"/>
      <c r="E36" s="242" t="str">
        <f t="shared" si="0"/>
        <v/>
      </c>
      <c r="F36" s="243" t="str">
        <f t="shared" si="1"/>
        <v/>
      </c>
      <c r="G36" s="244" t="str">
        <f t="shared" si="2"/>
        <v/>
      </c>
      <c r="H36" s="245"/>
      <c r="I36" s="246"/>
      <c r="J36" s="247"/>
      <c r="K36" s="248">
        <f t="shared" si="3"/>
        <v>0</v>
      </c>
      <c r="L36" s="249">
        <v>0.1</v>
      </c>
    </row>
    <row r="37" spans="1:12" ht="34.5" hidden="1" customHeight="1" outlineLevel="1">
      <c r="A37" s="220">
        <v>23</v>
      </c>
      <c r="B37" s="239"/>
      <c r="C37" s="240"/>
      <c r="D37" s="241"/>
      <c r="E37" s="242" t="str">
        <f t="shared" si="0"/>
        <v/>
      </c>
      <c r="F37" s="243" t="str">
        <f t="shared" si="1"/>
        <v/>
      </c>
      <c r="G37" s="244" t="str">
        <f t="shared" si="2"/>
        <v/>
      </c>
      <c r="H37" s="245"/>
      <c r="I37" s="246"/>
      <c r="J37" s="247"/>
      <c r="K37" s="248">
        <f t="shared" si="3"/>
        <v>0</v>
      </c>
      <c r="L37" s="249">
        <v>0.1</v>
      </c>
    </row>
    <row r="38" spans="1:12" ht="34.5" hidden="1" customHeight="1" outlineLevel="1">
      <c r="A38" s="220">
        <v>24</v>
      </c>
      <c r="B38" s="239"/>
      <c r="C38" s="240"/>
      <c r="D38" s="241"/>
      <c r="E38" s="242" t="str">
        <f t="shared" si="0"/>
        <v/>
      </c>
      <c r="F38" s="243" t="str">
        <f t="shared" si="1"/>
        <v/>
      </c>
      <c r="G38" s="244" t="str">
        <f t="shared" si="2"/>
        <v/>
      </c>
      <c r="H38" s="245"/>
      <c r="I38" s="246"/>
      <c r="J38" s="247"/>
      <c r="K38" s="248">
        <f t="shared" si="3"/>
        <v>0</v>
      </c>
      <c r="L38" s="249">
        <v>0.03</v>
      </c>
    </row>
    <row r="39" spans="1:12" ht="34.5" hidden="1" customHeight="1" outlineLevel="1">
      <c r="A39" s="220">
        <v>25</v>
      </c>
      <c r="B39" s="239"/>
      <c r="C39" s="240"/>
      <c r="D39" s="241"/>
      <c r="E39" s="242" t="str">
        <f t="shared" si="0"/>
        <v/>
      </c>
      <c r="F39" s="243" t="str">
        <f t="shared" si="1"/>
        <v/>
      </c>
      <c r="G39" s="244" t="str">
        <f t="shared" si="2"/>
        <v/>
      </c>
      <c r="H39" s="245"/>
      <c r="I39" s="246"/>
      <c r="J39" s="247"/>
      <c r="K39" s="248">
        <f t="shared" si="3"/>
        <v>0</v>
      </c>
      <c r="L39" s="249">
        <v>0.1</v>
      </c>
    </row>
    <row r="40" spans="1:12" ht="34.5" hidden="1" customHeight="1" outlineLevel="1">
      <c r="A40" s="220">
        <v>26</v>
      </c>
      <c r="B40" s="239"/>
      <c r="C40" s="240"/>
      <c r="D40" s="241"/>
      <c r="E40" s="242" t="str">
        <f t="shared" si="0"/>
        <v/>
      </c>
      <c r="F40" s="243" t="str">
        <f t="shared" si="1"/>
        <v/>
      </c>
      <c r="G40" s="244" t="str">
        <f t="shared" si="2"/>
        <v/>
      </c>
      <c r="H40" s="245"/>
      <c r="I40" s="246"/>
      <c r="J40" s="247"/>
      <c r="K40" s="248">
        <f t="shared" si="3"/>
        <v>0</v>
      </c>
      <c r="L40" s="249">
        <v>0.03</v>
      </c>
    </row>
    <row r="41" spans="1:12" ht="34.5" hidden="1" customHeight="1" outlineLevel="1">
      <c r="A41" s="220">
        <v>27</v>
      </c>
      <c r="B41" s="239"/>
      <c r="C41" s="240"/>
      <c r="D41" s="241"/>
      <c r="E41" s="242" t="str">
        <f t="shared" si="0"/>
        <v/>
      </c>
      <c r="F41" s="243" t="str">
        <f t="shared" si="1"/>
        <v/>
      </c>
      <c r="G41" s="244" t="str">
        <f t="shared" si="2"/>
        <v/>
      </c>
      <c r="H41" s="245"/>
      <c r="I41" s="246"/>
      <c r="J41" s="247"/>
      <c r="K41" s="248">
        <f t="shared" si="3"/>
        <v>0</v>
      </c>
      <c r="L41" s="249">
        <v>0.1</v>
      </c>
    </row>
    <row r="42" spans="1:12" ht="34.5" hidden="1" customHeight="1" outlineLevel="1">
      <c r="A42" s="220">
        <v>28</v>
      </c>
      <c r="B42" s="239"/>
      <c r="C42" s="240"/>
      <c r="D42" s="241"/>
      <c r="E42" s="242" t="str">
        <f t="shared" si="0"/>
        <v/>
      </c>
      <c r="F42" s="243" t="str">
        <f t="shared" si="1"/>
        <v/>
      </c>
      <c r="G42" s="244" t="str">
        <f t="shared" si="2"/>
        <v/>
      </c>
      <c r="H42" s="245"/>
      <c r="I42" s="246"/>
      <c r="J42" s="247"/>
      <c r="K42" s="248">
        <f t="shared" si="3"/>
        <v>0</v>
      </c>
      <c r="L42" s="249">
        <v>0.1</v>
      </c>
    </row>
    <row r="43" spans="1:12" ht="34.5" hidden="1" customHeight="1" outlineLevel="1">
      <c r="A43" s="220">
        <v>29</v>
      </c>
      <c r="B43" s="239"/>
      <c r="C43" s="240"/>
      <c r="D43" s="241"/>
      <c r="E43" s="242" t="str">
        <f t="shared" si="0"/>
        <v/>
      </c>
      <c r="F43" s="243" t="str">
        <f t="shared" si="1"/>
        <v/>
      </c>
      <c r="G43" s="244" t="str">
        <f t="shared" si="2"/>
        <v/>
      </c>
      <c r="H43" s="245"/>
      <c r="I43" s="246"/>
      <c r="J43" s="247"/>
      <c r="K43" s="248">
        <f t="shared" si="3"/>
        <v>0</v>
      </c>
      <c r="L43" s="249">
        <v>0.1</v>
      </c>
    </row>
    <row r="44" spans="1:12" ht="34.5" hidden="1" customHeight="1" outlineLevel="1">
      <c r="A44" s="220">
        <v>30</v>
      </c>
      <c r="B44" s="239"/>
      <c r="C44" s="240"/>
      <c r="D44" s="241"/>
      <c r="E44" s="242" t="str">
        <f t="shared" si="0"/>
        <v/>
      </c>
      <c r="F44" s="243" t="str">
        <f t="shared" si="1"/>
        <v/>
      </c>
      <c r="G44" s="244" t="str">
        <f t="shared" si="2"/>
        <v/>
      </c>
      <c r="H44" s="245"/>
      <c r="I44" s="246"/>
      <c r="J44" s="247"/>
      <c r="K44" s="248">
        <f t="shared" si="3"/>
        <v>0</v>
      </c>
      <c r="L44" s="249">
        <v>0.03</v>
      </c>
    </row>
    <row r="45" spans="1:12" ht="34.5" hidden="1" customHeight="1" outlineLevel="1">
      <c r="A45" s="220">
        <v>31</v>
      </c>
      <c r="B45" s="239"/>
      <c r="C45" s="240"/>
      <c r="D45" s="241"/>
      <c r="E45" s="242" t="str">
        <f t="shared" si="0"/>
        <v/>
      </c>
      <c r="F45" s="243" t="str">
        <f t="shared" si="1"/>
        <v/>
      </c>
      <c r="G45" s="244" t="str">
        <f t="shared" si="2"/>
        <v/>
      </c>
      <c r="H45" s="245"/>
      <c r="I45" s="246"/>
      <c r="J45" s="247"/>
      <c r="K45" s="248">
        <f t="shared" si="3"/>
        <v>0</v>
      </c>
      <c r="L45" s="249">
        <v>0.03</v>
      </c>
    </row>
    <row r="46" spans="1:12" ht="34.5" hidden="1" customHeight="1" outlineLevel="1">
      <c r="A46" s="220">
        <v>32</v>
      </c>
      <c r="B46" s="239"/>
      <c r="C46" s="240"/>
      <c r="D46" s="241"/>
      <c r="E46" s="242" t="str">
        <f t="shared" si="0"/>
        <v/>
      </c>
      <c r="F46" s="243" t="str">
        <f t="shared" si="1"/>
        <v/>
      </c>
      <c r="G46" s="244" t="str">
        <f t="shared" si="2"/>
        <v/>
      </c>
      <c r="H46" s="245"/>
      <c r="I46" s="246"/>
      <c r="J46" s="247"/>
      <c r="K46" s="248">
        <f t="shared" si="3"/>
        <v>0</v>
      </c>
      <c r="L46" s="249">
        <v>0.03</v>
      </c>
    </row>
    <row r="47" spans="1:12" ht="34.5" hidden="1" customHeight="1" outlineLevel="1">
      <c r="A47" s="220">
        <v>33</v>
      </c>
      <c r="B47" s="239"/>
      <c r="C47" s="240"/>
      <c r="D47" s="241"/>
      <c r="E47" s="242" t="str">
        <f t="shared" si="0"/>
        <v/>
      </c>
      <c r="F47" s="243" t="str">
        <f t="shared" si="1"/>
        <v/>
      </c>
      <c r="G47" s="244" t="str">
        <f t="shared" si="2"/>
        <v/>
      </c>
      <c r="H47" s="245"/>
      <c r="I47" s="246"/>
      <c r="J47" s="247"/>
      <c r="K47" s="248">
        <f t="shared" si="3"/>
        <v>0</v>
      </c>
      <c r="L47" s="249">
        <v>0.03</v>
      </c>
    </row>
    <row r="48" spans="1:12" ht="34.5" hidden="1" customHeight="1" outlineLevel="1">
      <c r="A48" s="220">
        <v>34</v>
      </c>
      <c r="B48" s="239"/>
      <c r="C48" s="240"/>
      <c r="D48" s="241"/>
      <c r="E48" s="242" t="str">
        <f t="shared" si="0"/>
        <v/>
      </c>
      <c r="F48" s="243" t="str">
        <f t="shared" si="1"/>
        <v/>
      </c>
      <c r="G48" s="244" t="str">
        <f t="shared" si="2"/>
        <v/>
      </c>
      <c r="H48" s="245"/>
      <c r="I48" s="246"/>
      <c r="J48" s="247"/>
      <c r="K48" s="248">
        <f t="shared" si="3"/>
        <v>0</v>
      </c>
      <c r="L48" s="249">
        <v>0.03</v>
      </c>
    </row>
    <row r="49" spans="1:14" ht="34.5" hidden="1" customHeight="1" outlineLevel="1">
      <c r="A49" s="220">
        <v>35</v>
      </c>
      <c r="B49" s="239"/>
      <c r="C49" s="240"/>
      <c r="D49" s="241"/>
      <c r="E49" s="242" t="str">
        <f t="shared" si="0"/>
        <v/>
      </c>
      <c r="F49" s="243" t="str">
        <f t="shared" si="1"/>
        <v/>
      </c>
      <c r="G49" s="244" t="str">
        <f t="shared" si="2"/>
        <v/>
      </c>
      <c r="H49" s="245"/>
      <c r="I49" s="246"/>
      <c r="J49" s="247"/>
      <c r="K49" s="248">
        <f t="shared" si="3"/>
        <v>0</v>
      </c>
      <c r="L49" s="249">
        <v>0.03</v>
      </c>
      <c r="M49" s="220"/>
      <c r="N49" s="250"/>
    </row>
    <row r="50" spans="1:14" ht="34.5" hidden="1" customHeight="1" outlineLevel="1">
      <c r="A50" s="220">
        <v>36</v>
      </c>
      <c r="B50" s="239"/>
      <c r="C50" s="240"/>
      <c r="D50" s="241"/>
      <c r="E50" s="242" t="str">
        <f t="shared" si="0"/>
        <v/>
      </c>
      <c r="F50" s="243" t="str">
        <f t="shared" si="1"/>
        <v/>
      </c>
      <c r="G50" s="244" t="str">
        <f t="shared" si="2"/>
        <v/>
      </c>
      <c r="H50" s="245"/>
      <c r="I50" s="246"/>
      <c r="J50" s="247"/>
      <c r="K50" s="248">
        <f t="shared" si="3"/>
        <v>0</v>
      </c>
      <c r="L50" s="249">
        <v>0.03</v>
      </c>
      <c r="M50" s="220"/>
      <c r="N50" s="250"/>
    </row>
    <row r="51" spans="1:14" ht="34.5" hidden="1" customHeight="1" outlineLevel="1">
      <c r="A51" s="220">
        <v>37</v>
      </c>
      <c r="B51" s="239"/>
      <c r="C51" s="240"/>
      <c r="D51" s="241"/>
      <c r="E51" s="242" t="str">
        <f t="shared" si="0"/>
        <v/>
      </c>
      <c r="F51" s="243" t="str">
        <f t="shared" si="1"/>
        <v/>
      </c>
      <c r="G51" s="244" t="str">
        <f t="shared" si="2"/>
        <v/>
      </c>
      <c r="H51" s="245"/>
      <c r="I51" s="246"/>
      <c r="J51" s="247"/>
      <c r="K51" s="248">
        <f t="shared" si="3"/>
        <v>0</v>
      </c>
      <c r="L51" s="249">
        <v>0.03</v>
      </c>
      <c r="M51" s="220"/>
      <c r="N51" s="250"/>
    </row>
    <row r="52" spans="1:14" ht="34.5" customHeight="1" collapsed="1">
      <c r="A52" s="220">
        <v>38</v>
      </c>
      <c r="B52" s="239"/>
      <c r="C52" s="240"/>
      <c r="D52" s="241"/>
      <c r="E52" s="242" t="str">
        <f t="shared" si="0"/>
        <v/>
      </c>
      <c r="F52" s="243" t="str">
        <f t="shared" si="1"/>
        <v/>
      </c>
      <c r="G52" s="244" t="str">
        <f t="shared" si="2"/>
        <v/>
      </c>
      <c r="H52" s="245"/>
      <c r="I52" s="246"/>
      <c r="J52" s="247"/>
      <c r="K52" s="248">
        <f t="shared" si="3"/>
        <v>0</v>
      </c>
      <c r="L52" s="249"/>
      <c r="M52" s="220"/>
      <c r="N52" s="250"/>
    </row>
    <row r="53" spans="1:14" ht="24" customHeight="1">
      <c r="A53" s="220"/>
      <c r="B53" s="220"/>
      <c r="C53" s="251"/>
      <c r="D53" s="252"/>
      <c r="E53" s="253"/>
      <c r="F53" s="253"/>
      <c r="G53" s="254"/>
      <c r="H53" s="255" t="s">
        <v>47</v>
      </c>
      <c r="I53" s="255"/>
      <c r="J53" s="255"/>
      <c r="K53" s="256">
        <f>SUM(K15:K52)</f>
        <v>153777.66</v>
      </c>
      <c r="L53" s="257"/>
      <c r="M53" s="220"/>
      <c r="N53" s="258">
        <f>SUM(N15:N17)</f>
        <v>0</v>
      </c>
    </row>
    <row r="54" spans="1:14" ht="15" customHeight="1">
      <c r="A54" s="220"/>
      <c r="B54" s="220"/>
      <c r="C54" s="259"/>
      <c r="D54" s="259"/>
      <c r="E54" s="260"/>
      <c r="F54" s="260"/>
      <c r="G54" s="260"/>
      <c r="H54" s="259"/>
      <c r="I54" s="259"/>
      <c r="J54" s="261"/>
      <c r="K54" s="200"/>
      <c r="L54" s="11"/>
      <c r="M54" s="11"/>
      <c r="N54" s="11"/>
    </row>
    <row r="55" spans="1:14" ht="32.25" customHeight="1">
      <c r="A55" s="220"/>
      <c r="B55" s="87" t="s">
        <v>13</v>
      </c>
      <c r="C55" s="87" t="s">
        <v>77</v>
      </c>
      <c r="D55" s="262" t="s">
        <v>78</v>
      </c>
      <c r="E55" s="87" t="s">
        <v>27</v>
      </c>
      <c r="F55" s="87" t="s">
        <v>64</v>
      </c>
      <c r="G55" s="87" t="s">
        <v>29</v>
      </c>
      <c r="H55" s="223"/>
      <c r="I55" s="223"/>
      <c r="J55" s="220"/>
      <c r="K55" s="200"/>
      <c r="L55" s="11"/>
      <c r="M55" s="11"/>
      <c r="N55" s="11"/>
    </row>
    <row r="56" spans="1:14" ht="12.75" customHeight="1">
      <c r="A56" s="220"/>
      <c r="B56" s="220"/>
      <c r="C56" s="228">
        <v>0.78662169203535937</v>
      </c>
      <c r="D56" s="263">
        <v>2.5000000000000001E-2</v>
      </c>
      <c r="E56" s="264">
        <v>0.18</v>
      </c>
      <c r="F56" s="264"/>
      <c r="G56" s="265" t="s">
        <v>51</v>
      </c>
      <c r="H56" s="223"/>
      <c r="I56" s="223"/>
      <c r="J56" s="220"/>
      <c r="K56" s="200"/>
      <c r="L56" s="11"/>
      <c r="M56" s="11"/>
      <c r="N56" s="11"/>
    </row>
    <row r="57" spans="1:14" ht="24.75" customHeight="1">
      <c r="A57" s="220">
        <v>1</v>
      </c>
      <c r="B57" s="239">
        <f t="shared" ref="B57:B94" si="4">IF(+$B15="","",+$B15)</f>
        <v>1603</v>
      </c>
      <c r="C57" s="266">
        <f t="shared" ref="C57:C94" si="5">IF($B57="","",+(1-$L15)*$K15*$C$56)</f>
        <v>108868.35879579438</v>
      </c>
      <c r="D57" s="266">
        <f t="shared" ref="D57:D94" si="6">IF($B57="","",+$C57*((1+$D$56/30)^$F15-1))</f>
        <v>5579.4170864440766</v>
      </c>
      <c r="E57" s="266">
        <f t="shared" ref="E57:E94" si="7">IF($B57="","",+D57*$E$56)</f>
        <v>1004.2950755599337</v>
      </c>
      <c r="F57" s="267">
        <f t="shared" ref="F57:F94" si="8">IF($B57="","",+$C57/$C$95*$F$95)</f>
        <v>1088.6835879579439</v>
      </c>
      <c r="G57" s="267">
        <f t="shared" ref="G57:G94" si="9">IF($B57="","",+$C57-$D57-$E57-$F57)</f>
        <v>101195.96304583242</v>
      </c>
      <c r="H57" s="223"/>
      <c r="I57" s="223"/>
      <c r="J57" s="220"/>
      <c r="K57" s="200"/>
      <c r="L57" s="11"/>
      <c r="M57" s="11"/>
      <c r="N57" s="11"/>
    </row>
    <row r="58" spans="1:14" ht="24.75" hidden="1" customHeight="1" outlineLevel="1">
      <c r="A58" s="220">
        <v>2</v>
      </c>
      <c r="B58" s="239" t="str">
        <f t="shared" si="4"/>
        <v/>
      </c>
      <c r="C58" s="266" t="str">
        <f t="shared" si="5"/>
        <v/>
      </c>
      <c r="D58" s="266" t="str">
        <f t="shared" si="6"/>
        <v/>
      </c>
      <c r="E58" s="266" t="str">
        <f t="shared" si="7"/>
        <v/>
      </c>
      <c r="F58" s="267" t="str">
        <f t="shared" si="8"/>
        <v/>
      </c>
      <c r="G58" s="267" t="str">
        <f t="shared" si="9"/>
        <v/>
      </c>
      <c r="H58" s="223"/>
      <c r="I58" s="223"/>
      <c r="J58" s="220"/>
      <c r="K58" s="200"/>
      <c r="L58" s="11"/>
      <c r="M58" s="11"/>
      <c r="N58" s="11"/>
    </row>
    <row r="59" spans="1:14" ht="24.75" hidden="1" customHeight="1" outlineLevel="1">
      <c r="A59" s="220">
        <v>3</v>
      </c>
      <c r="B59" s="239" t="str">
        <f t="shared" si="4"/>
        <v/>
      </c>
      <c r="C59" s="266" t="str">
        <f t="shared" si="5"/>
        <v/>
      </c>
      <c r="D59" s="266" t="str">
        <f t="shared" si="6"/>
        <v/>
      </c>
      <c r="E59" s="266" t="str">
        <f t="shared" si="7"/>
        <v/>
      </c>
      <c r="F59" s="267" t="str">
        <f t="shared" si="8"/>
        <v/>
      </c>
      <c r="G59" s="267" t="str">
        <f t="shared" si="9"/>
        <v/>
      </c>
      <c r="H59" s="223"/>
      <c r="I59" s="223"/>
      <c r="J59" s="220"/>
      <c r="K59" s="200"/>
      <c r="L59" s="11"/>
      <c r="M59" s="11"/>
      <c r="N59" s="11"/>
    </row>
    <row r="60" spans="1:14" ht="24.75" hidden="1" customHeight="1" outlineLevel="1">
      <c r="A60" s="220">
        <v>4</v>
      </c>
      <c r="B60" s="239" t="str">
        <f t="shared" si="4"/>
        <v/>
      </c>
      <c r="C60" s="266" t="str">
        <f t="shared" si="5"/>
        <v/>
      </c>
      <c r="D60" s="266" t="str">
        <f t="shared" si="6"/>
        <v/>
      </c>
      <c r="E60" s="266" t="str">
        <f t="shared" si="7"/>
        <v/>
      </c>
      <c r="F60" s="267" t="str">
        <f t="shared" si="8"/>
        <v/>
      </c>
      <c r="G60" s="267" t="str">
        <f t="shared" si="9"/>
        <v/>
      </c>
      <c r="H60" s="223"/>
      <c r="I60" s="223"/>
      <c r="J60" s="220"/>
      <c r="K60" s="200"/>
      <c r="L60" s="11"/>
      <c r="M60" s="11"/>
      <c r="N60" s="11"/>
    </row>
    <row r="61" spans="1:14" ht="24.75" hidden="1" customHeight="1" outlineLevel="1">
      <c r="A61" s="220">
        <v>5</v>
      </c>
      <c r="B61" s="239" t="str">
        <f t="shared" si="4"/>
        <v/>
      </c>
      <c r="C61" s="266" t="str">
        <f t="shared" si="5"/>
        <v/>
      </c>
      <c r="D61" s="266" t="str">
        <f t="shared" si="6"/>
        <v/>
      </c>
      <c r="E61" s="266" t="str">
        <f t="shared" si="7"/>
        <v/>
      </c>
      <c r="F61" s="267" t="str">
        <f t="shared" si="8"/>
        <v/>
      </c>
      <c r="G61" s="267" t="str">
        <f t="shared" si="9"/>
        <v/>
      </c>
      <c r="H61" s="223"/>
      <c r="I61" s="223"/>
      <c r="J61" s="220"/>
      <c r="K61" s="200"/>
      <c r="L61" s="11"/>
      <c r="M61" s="11"/>
      <c r="N61" s="11"/>
    </row>
    <row r="62" spans="1:14" ht="24.75" hidden="1" customHeight="1" outlineLevel="1">
      <c r="A62" s="220">
        <v>6</v>
      </c>
      <c r="B62" s="239" t="str">
        <f t="shared" si="4"/>
        <v/>
      </c>
      <c r="C62" s="266" t="str">
        <f t="shared" si="5"/>
        <v/>
      </c>
      <c r="D62" s="266" t="str">
        <f t="shared" si="6"/>
        <v/>
      </c>
      <c r="E62" s="266" t="str">
        <f t="shared" si="7"/>
        <v/>
      </c>
      <c r="F62" s="267" t="str">
        <f t="shared" si="8"/>
        <v/>
      </c>
      <c r="G62" s="267" t="str">
        <f t="shared" si="9"/>
        <v/>
      </c>
      <c r="H62" s="223"/>
      <c r="I62" s="223"/>
      <c r="J62" s="220"/>
      <c r="K62" s="200"/>
      <c r="L62" s="11"/>
      <c r="M62" s="11"/>
      <c r="N62" s="11"/>
    </row>
    <row r="63" spans="1:14" ht="24.75" hidden="1" customHeight="1" outlineLevel="1">
      <c r="A63" s="220">
        <v>7</v>
      </c>
      <c r="B63" s="239" t="str">
        <f t="shared" si="4"/>
        <v/>
      </c>
      <c r="C63" s="266" t="str">
        <f t="shared" si="5"/>
        <v/>
      </c>
      <c r="D63" s="266" t="str">
        <f t="shared" si="6"/>
        <v/>
      </c>
      <c r="E63" s="266" t="str">
        <f t="shared" si="7"/>
        <v/>
      </c>
      <c r="F63" s="267" t="str">
        <f t="shared" si="8"/>
        <v/>
      </c>
      <c r="G63" s="267" t="str">
        <f t="shared" si="9"/>
        <v/>
      </c>
      <c r="H63" s="223"/>
      <c r="I63" s="223"/>
      <c r="J63" s="220"/>
      <c r="K63" s="200"/>
      <c r="L63" s="11"/>
      <c r="M63" s="11"/>
      <c r="N63" s="11"/>
    </row>
    <row r="64" spans="1:14" ht="24.75" hidden="1" customHeight="1" outlineLevel="1">
      <c r="A64" s="220">
        <v>8</v>
      </c>
      <c r="B64" s="239" t="str">
        <f t="shared" si="4"/>
        <v/>
      </c>
      <c r="C64" s="266" t="str">
        <f t="shared" si="5"/>
        <v/>
      </c>
      <c r="D64" s="266" t="str">
        <f t="shared" si="6"/>
        <v/>
      </c>
      <c r="E64" s="266" t="str">
        <f t="shared" si="7"/>
        <v/>
      </c>
      <c r="F64" s="267" t="str">
        <f t="shared" si="8"/>
        <v/>
      </c>
      <c r="G64" s="267" t="str">
        <f t="shared" si="9"/>
        <v/>
      </c>
      <c r="H64" s="223"/>
      <c r="I64" s="223"/>
      <c r="J64" s="220"/>
      <c r="K64" s="200"/>
      <c r="L64" s="11"/>
      <c r="M64" s="11"/>
      <c r="N64" s="11"/>
    </row>
    <row r="65" spans="1:7" ht="24.75" hidden="1" customHeight="1" outlineLevel="1">
      <c r="A65" s="220">
        <v>9</v>
      </c>
      <c r="B65" s="239" t="str">
        <f t="shared" si="4"/>
        <v/>
      </c>
      <c r="C65" s="266" t="str">
        <f t="shared" si="5"/>
        <v/>
      </c>
      <c r="D65" s="266" t="str">
        <f t="shared" si="6"/>
        <v/>
      </c>
      <c r="E65" s="266" t="str">
        <f t="shared" si="7"/>
        <v/>
      </c>
      <c r="F65" s="267" t="str">
        <f t="shared" si="8"/>
        <v/>
      </c>
      <c r="G65" s="267" t="str">
        <f t="shared" si="9"/>
        <v/>
      </c>
    </row>
    <row r="66" spans="1:7" ht="24.75" hidden="1" customHeight="1" outlineLevel="1">
      <c r="A66" s="220">
        <v>10</v>
      </c>
      <c r="B66" s="239" t="str">
        <f t="shared" si="4"/>
        <v/>
      </c>
      <c r="C66" s="266" t="str">
        <f t="shared" si="5"/>
        <v/>
      </c>
      <c r="D66" s="266" t="str">
        <f t="shared" si="6"/>
        <v/>
      </c>
      <c r="E66" s="266" t="str">
        <f t="shared" si="7"/>
        <v/>
      </c>
      <c r="F66" s="267" t="str">
        <f t="shared" si="8"/>
        <v/>
      </c>
      <c r="G66" s="267" t="str">
        <f t="shared" si="9"/>
        <v/>
      </c>
    </row>
    <row r="67" spans="1:7" ht="24.75" hidden="1" customHeight="1" outlineLevel="1">
      <c r="A67" s="220">
        <v>11</v>
      </c>
      <c r="B67" s="239" t="str">
        <f t="shared" si="4"/>
        <v/>
      </c>
      <c r="C67" s="266" t="str">
        <f t="shared" si="5"/>
        <v/>
      </c>
      <c r="D67" s="266" t="str">
        <f t="shared" si="6"/>
        <v/>
      </c>
      <c r="E67" s="266" t="str">
        <f t="shared" si="7"/>
        <v/>
      </c>
      <c r="F67" s="267" t="str">
        <f t="shared" si="8"/>
        <v/>
      </c>
      <c r="G67" s="267" t="str">
        <f t="shared" si="9"/>
        <v/>
      </c>
    </row>
    <row r="68" spans="1:7" ht="24.75" hidden="1" customHeight="1" outlineLevel="1">
      <c r="A68" s="220">
        <v>12</v>
      </c>
      <c r="B68" s="239" t="str">
        <f t="shared" si="4"/>
        <v/>
      </c>
      <c r="C68" s="266" t="str">
        <f t="shared" si="5"/>
        <v/>
      </c>
      <c r="D68" s="266" t="str">
        <f t="shared" si="6"/>
        <v/>
      </c>
      <c r="E68" s="266" t="str">
        <f t="shared" si="7"/>
        <v/>
      </c>
      <c r="F68" s="267" t="str">
        <f t="shared" si="8"/>
        <v/>
      </c>
      <c r="G68" s="267" t="str">
        <f t="shared" si="9"/>
        <v/>
      </c>
    </row>
    <row r="69" spans="1:7" ht="24.75" hidden="1" customHeight="1" outlineLevel="1">
      <c r="A69" s="220">
        <v>13</v>
      </c>
      <c r="B69" s="239" t="str">
        <f t="shared" si="4"/>
        <v/>
      </c>
      <c r="C69" s="266" t="str">
        <f t="shared" si="5"/>
        <v/>
      </c>
      <c r="D69" s="266" t="str">
        <f t="shared" si="6"/>
        <v/>
      </c>
      <c r="E69" s="266" t="str">
        <f t="shared" si="7"/>
        <v/>
      </c>
      <c r="F69" s="267" t="str">
        <f t="shared" si="8"/>
        <v/>
      </c>
      <c r="G69" s="267" t="str">
        <f t="shared" si="9"/>
        <v/>
      </c>
    </row>
    <row r="70" spans="1:7" ht="24.75" hidden="1" customHeight="1" outlineLevel="1">
      <c r="A70" s="220">
        <v>14</v>
      </c>
      <c r="B70" s="239" t="str">
        <f t="shared" si="4"/>
        <v/>
      </c>
      <c r="C70" s="266" t="str">
        <f t="shared" si="5"/>
        <v/>
      </c>
      <c r="D70" s="266" t="str">
        <f t="shared" si="6"/>
        <v/>
      </c>
      <c r="E70" s="266" t="str">
        <f t="shared" si="7"/>
        <v/>
      </c>
      <c r="F70" s="267" t="str">
        <f t="shared" si="8"/>
        <v/>
      </c>
      <c r="G70" s="267" t="str">
        <f t="shared" si="9"/>
        <v/>
      </c>
    </row>
    <row r="71" spans="1:7" ht="24.75" hidden="1" customHeight="1" outlineLevel="1">
      <c r="A71" s="220">
        <v>15</v>
      </c>
      <c r="B71" s="239" t="str">
        <f t="shared" si="4"/>
        <v/>
      </c>
      <c r="C71" s="266" t="str">
        <f t="shared" si="5"/>
        <v/>
      </c>
      <c r="D71" s="266" t="str">
        <f t="shared" si="6"/>
        <v/>
      </c>
      <c r="E71" s="266" t="str">
        <f t="shared" si="7"/>
        <v/>
      </c>
      <c r="F71" s="267" t="str">
        <f t="shared" si="8"/>
        <v/>
      </c>
      <c r="G71" s="267" t="str">
        <f t="shared" si="9"/>
        <v/>
      </c>
    </row>
    <row r="72" spans="1:7" ht="24.75" hidden="1" customHeight="1" outlineLevel="1">
      <c r="A72" s="220">
        <v>16</v>
      </c>
      <c r="B72" s="239" t="str">
        <f t="shared" si="4"/>
        <v/>
      </c>
      <c r="C72" s="266" t="str">
        <f t="shared" si="5"/>
        <v/>
      </c>
      <c r="D72" s="266" t="str">
        <f t="shared" si="6"/>
        <v/>
      </c>
      <c r="E72" s="266" t="str">
        <f t="shared" si="7"/>
        <v/>
      </c>
      <c r="F72" s="267" t="str">
        <f t="shared" si="8"/>
        <v/>
      </c>
      <c r="G72" s="267" t="str">
        <f t="shared" si="9"/>
        <v/>
      </c>
    </row>
    <row r="73" spans="1:7" ht="24.75" hidden="1" customHeight="1" outlineLevel="1">
      <c r="A73" s="220">
        <v>17</v>
      </c>
      <c r="B73" s="239" t="str">
        <f t="shared" si="4"/>
        <v/>
      </c>
      <c r="C73" s="266" t="str">
        <f t="shared" si="5"/>
        <v/>
      </c>
      <c r="D73" s="266" t="str">
        <f t="shared" si="6"/>
        <v/>
      </c>
      <c r="E73" s="266" t="str">
        <f t="shared" si="7"/>
        <v/>
      </c>
      <c r="F73" s="267" t="str">
        <f t="shared" si="8"/>
        <v/>
      </c>
      <c r="G73" s="267" t="str">
        <f t="shared" si="9"/>
        <v/>
      </c>
    </row>
    <row r="74" spans="1:7" ht="24.75" hidden="1" customHeight="1" outlineLevel="1">
      <c r="A74" s="220">
        <v>18</v>
      </c>
      <c r="B74" s="239" t="str">
        <f t="shared" si="4"/>
        <v/>
      </c>
      <c r="C74" s="266" t="str">
        <f t="shared" si="5"/>
        <v/>
      </c>
      <c r="D74" s="266" t="str">
        <f t="shared" si="6"/>
        <v/>
      </c>
      <c r="E74" s="266" t="str">
        <f t="shared" si="7"/>
        <v/>
      </c>
      <c r="F74" s="267" t="str">
        <f t="shared" si="8"/>
        <v/>
      </c>
      <c r="G74" s="267" t="str">
        <f t="shared" si="9"/>
        <v/>
      </c>
    </row>
    <row r="75" spans="1:7" ht="24.75" hidden="1" customHeight="1" outlineLevel="1">
      <c r="A75" s="220">
        <v>19</v>
      </c>
      <c r="B75" s="239" t="str">
        <f t="shared" si="4"/>
        <v/>
      </c>
      <c r="C75" s="266" t="str">
        <f t="shared" si="5"/>
        <v/>
      </c>
      <c r="D75" s="266" t="str">
        <f t="shared" si="6"/>
        <v/>
      </c>
      <c r="E75" s="266" t="str">
        <f t="shared" si="7"/>
        <v/>
      </c>
      <c r="F75" s="267" t="str">
        <f t="shared" si="8"/>
        <v/>
      </c>
      <c r="G75" s="267" t="str">
        <f t="shared" si="9"/>
        <v/>
      </c>
    </row>
    <row r="76" spans="1:7" ht="24.75" hidden="1" customHeight="1" outlineLevel="1">
      <c r="A76" s="220">
        <v>20</v>
      </c>
      <c r="B76" s="239" t="str">
        <f t="shared" si="4"/>
        <v/>
      </c>
      <c r="C76" s="266" t="str">
        <f t="shared" si="5"/>
        <v/>
      </c>
      <c r="D76" s="266" t="str">
        <f t="shared" si="6"/>
        <v/>
      </c>
      <c r="E76" s="266" t="str">
        <f t="shared" si="7"/>
        <v/>
      </c>
      <c r="F76" s="267" t="str">
        <f t="shared" si="8"/>
        <v/>
      </c>
      <c r="G76" s="267" t="str">
        <f t="shared" si="9"/>
        <v/>
      </c>
    </row>
    <row r="77" spans="1:7" ht="24.75" hidden="1" customHeight="1" outlineLevel="1">
      <c r="A77" s="220">
        <v>21</v>
      </c>
      <c r="B77" s="239" t="str">
        <f t="shared" si="4"/>
        <v/>
      </c>
      <c r="C77" s="266" t="str">
        <f t="shared" si="5"/>
        <v/>
      </c>
      <c r="D77" s="266" t="str">
        <f t="shared" si="6"/>
        <v/>
      </c>
      <c r="E77" s="266" t="str">
        <f t="shared" si="7"/>
        <v/>
      </c>
      <c r="F77" s="267" t="str">
        <f t="shared" si="8"/>
        <v/>
      </c>
      <c r="G77" s="267" t="str">
        <f t="shared" si="9"/>
        <v/>
      </c>
    </row>
    <row r="78" spans="1:7" ht="24.75" hidden="1" customHeight="1" outlineLevel="1">
      <c r="A78" s="220">
        <v>22</v>
      </c>
      <c r="B78" s="239" t="str">
        <f t="shared" si="4"/>
        <v/>
      </c>
      <c r="C78" s="266" t="str">
        <f t="shared" si="5"/>
        <v/>
      </c>
      <c r="D78" s="266" t="str">
        <f t="shared" si="6"/>
        <v/>
      </c>
      <c r="E78" s="266" t="str">
        <f t="shared" si="7"/>
        <v/>
      </c>
      <c r="F78" s="267" t="str">
        <f t="shared" si="8"/>
        <v/>
      </c>
      <c r="G78" s="267" t="str">
        <f t="shared" si="9"/>
        <v/>
      </c>
    </row>
    <row r="79" spans="1:7" ht="24.75" hidden="1" customHeight="1" outlineLevel="1">
      <c r="A79" s="220">
        <v>23</v>
      </c>
      <c r="B79" s="239" t="str">
        <f t="shared" si="4"/>
        <v/>
      </c>
      <c r="C79" s="266" t="str">
        <f t="shared" si="5"/>
        <v/>
      </c>
      <c r="D79" s="266" t="str">
        <f t="shared" si="6"/>
        <v/>
      </c>
      <c r="E79" s="266" t="str">
        <f t="shared" si="7"/>
        <v/>
      </c>
      <c r="F79" s="267" t="str">
        <f t="shared" si="8"/>
        <v/>
      </c>
      <c r="G79" s="267" t="str">
        <f t="shared" si="9"/>
        <v/>
      </c>
    </row>
    <row r="80" spans="1:7" ht="24.75" hidden="1" customHeight="1" outlineLevel="1">
      <c r="A80" s="220">
        <v>24</v>
      </c>
      <c r="B80" s="239" t="str">
        <f t="shared" si="4"/>
        <v/>
      </c>
      <c r="C80" s="266" t="str">
        <f t="shared" si="5"/>
        <v/>
      </c>
      <c r="D80" s="266" t="str">
        <f t="shared" si="6"/>
        <v/>
      </c>
      <c r="E80" s="266" t="str">
        <f t="shared" si="7"/>
        <v/>
      </c>
      <c r="F80" s="267" t="str">
        <f t="shared" si="8"/>
        <v/>
      </c>
      <c r="G80" s="267" t="str">
        <f t="shared" si="9"/>
        <v/>
      </c>
    </row>
    <row r="81" spans="1:11" ht="24.75" hidden="1" customHeight="1" outlineLevel="1">
      <c r="A81" s="220">
        <v>25</v>
      </c>
      <c r="B81" s="239" t="str">
        <f t="shared" si="4"/>
        <v/>
      </c>
      <c r="C81" s="266" t="str">
        <f t="shared" si="5"/>
        <v/>
      </c>
      <c r="D81" s="266" t="str">
        <f t="shared" si="6"/>
        <v/>
      </c>
      <c r="E81" s="266" t="str">
        <f t="shared" si="7"/>
        <v/>
      </c>
      <c r="F81" s="267" t="str">
        <f t="shared" si="8"/>
        <v/>
      </c>
      <c r="G81" s="267" t="str">
        <f t="shared" si="9"/>
        <v/>
      </c>
      <c r="H81" s="223"/>
      <c r="I81" s="223"/>
      <c r="J81" s="220"/>
      <c r="K81" s="200"/>
    </row>
    <row r="82" spans="1:11" ht="24.75" hidden="1" customHeight="1" outlineLevel="1">
      <c r="A82" s="220">
        <v>26</v>
      </c>
      <c r="B82" s="239" t="str">
        <f t="shared" si="4"/>
        <v/>
      </c>
      <c r="C82" s="266" t="str">
        <f t="shared" si="5"/>
        <v/>
      </c>
      <c r="D82" s="266" t="str">
        <f t="shared" si="6"/>
        <v/>
      </c>
      <c r="E82" s="266" t="str">
        <f t="shared" si="7"/>
        <v/>
      </c>
      <c r="F82" s="267" t="str">
        <f t="shared" si="8"/>
        <v/>
      </c>
      <c r="G82" s="267" t="str">
        <f t="shared" si="9"/>
        <v/>
      </c>
      <c r="H82" s="223"/>
      <c r="I82" s="223"/>
      <c r="J82" s="220"/>
      <c r="K82" s="200"/>
    </row>
    <row r="83" spans="1:11" ht="24.75" hidden="1" customHeight="1" outlineLevel="1">
      <c r="A83" s="220">
        <v>27</v>
      </c>
      <c r="B83" s="239" t="str">
        <f t="shared" si="4"/>
        <v/>
      </c>
      <c r="C83" s="266" t="str">
        <f t="shared" si="5"/>
        <v/>
      </c>
      <c r="D83" s="266" t="str">
        <f t="shared" si="6"/>
        <v/>
      </c>
      <c r="E83" s="266" t="str">
        <f t="shared" si="7"/>
        <v/>
      </c>
      <c r="F83" s="267" t="str">
        <f t="shared" si="8"/>
        <v/>
      </c>
      <c r="G83" s="267" t="str">
        <f t="shared" si="9"/>
        <v/>
      </c>
      <c r="H83" s="223"/>
      <c r="I83" s="223"/>
      <c r="J83" s="220"/>
      <c r="K83" s="200"/>
    </row>
    <row r="84" spans="1:11" ht="24.75" hidden="1" customHeight="1" outlineLevel="1">
      <c r="A84" s="220">
        <v>28</v>
      </c>
      <c r="B84" s="239" t="str">
        <f t="shared" si="4"/>
        <v/>
      </c>
      <c r="C84" s="266" t="str">
        <f t="shared" si="5"/>
        <v/>
      </c>
      <c r="D84" s="266" t="str">
        <f t="shared" si="6"/>
        <v/>
      </c>
      <c r="E84" s="266" t="str">
        <f t="shared" si="7"/>
        <v/>
      </c>
      <c r="F84" s="267" t="str">
        <f t="shared" si="8"/>
        <v/>
      </c>
      <c r="G84" s="267" t="str">
        <f t="shared" si="9"/>
        <v/>
      </c>
      <c r="H84" s="223"/>
      <c r="I84" s="223"/>
      <c r="J84" s="220"/>
      <c r="K84" s="200"/>
    </row>
    <row r="85" spans="1:11" ht="24.75" hidden="1" customHeight="1" outlineLevel="1">
      <c r="A85" s="220">
        <v>29</v>
      </c>
      <c r="B85" s="239" t="str">
        <f t="shared" si="4"/>
        <v/>
      </c>
      <c r="C85" s="266" t="str">
        <f t="shared" si="5"/>
        <v/>
      </c>
      <c r="D85" s="266" t="str">
        <f t="shared" si="6"/>
        <v/>
      </c>
      <c r="E85" s="266" t="str">
        <f t="shared" si="7"/>
        <v/>
      </c>
      <c r="F85" s="267" t="str">
        <f t="shared" si="8"/>
        <v/>
      </c>
      <c r="G85" s="267" t="str">
        <f t="shared" si="9"/>
        <v/>
      </c>
      <c r="H85" s="223"/>
      <c r="I85" s="223"/>
      <c r="J85" s="220"/>
      <c r="K85" s="200"/>
    </row>
    <row r="86" spans="1:11" ht="24.75" hidden="1" customHeight="1" outlineLevel="1">
      <c r="A86" s="220">
        <v>30</v>
      </c>
      <c r="B86" s="239" t="str">
        <f t="shared" si="4"/>
        <v/>
      </c>
      <c r="C86" s="266" t="str">
        <f t="shared" si="5"/>
        <v/>
      </c>
      <c r="D86" s="266" t="str">
        <f t="shared" si="6"/>
        <v/>
      </c>
      <c r="E86" s="266" t="str">
        <f t="shared" si="7"/>
        <v/>
      </c>
      <c r="F86" s="267" t="str">
        <f t="shared" si="8"/>
        <v/>
      </c>
      <c r="G86" s="267" t="str">
        <f t="shared" si="9"/>
        <v/>
      </c>
      <c r="H86" s="223"/>
      <c r="I86" s="223"/>
      <c r="J86" s="220"/>
      <c r="K86" s="200"/>
    </row>
    <row r="87" spans="1:11" ht="24.75" hidden="1" customHeight="1" outlineLevel="1">
      <c r="A87" s="220">
        <v>31</v>
      </c>
      <c r="B87" s="239" t="str">
        <f t="shared" si="4"/>
        <v/>
      </c>
      <c r="C87" s="266" t="str">
        <f t="shared" si="5"/>
        <v/>
      </c>
      <c r="D87" s="266" t="str">
        <f t="shared" si="6"/>
        <v/>
      </c>
      <c r="E87" s="266" t="str">
        <f t="shared" si="7"/>
        <v/>
      </c>
      <c r="F87" s="267" t="str">
        <f t="shared" si="8"/>
        <v/>
      </c>
      <c r="G87" s="267" t="str">
        <f t="shared" si="9"/>
        <v/>
      </c>
      <c r="H87" s="223"/>
      <c r="I87" s="223"/>
      <c r="J87" s="220"/>
      <c r="K87" s="200"/>
    </row>
    <row r="88" spans="1:11" ht="24.75" hidden="1" customHeight="1" outlineLevel="1">
      <c r="A88" s="220">
        <v>32</v>
      </c>
      <c r="B88" s="239" t="str">
        <f t="shared" si="4"/>
        <v/>
      </c>
      <c r="C88" s="266" t="str">
        <f t="shared" si="5"/>
        <v/>
      </c>
      <c r="D88" s="266" t="str">
        <f t="shared" si="6"/>
        <v/>
      </c>
      <c r="E88" s="266" t="str">
        <f t="shared" si="7"/>
        <v/>
      </c>
      <c r="F88" s="267" t="str">
        <f t="shared" si="8"/>
        <v/>
      </c>
      <c r="G88" s="267" t="str">
        <f t="shared" si="9"/>
        <v/>
      </c>
      <c r="H88" s="223"/>
      <c r="I88" s="223"/>
      <c r="J88" s="220"/>
      <c r="K88" s="200"/>
    </row>
    <row r="89" spans="1:11" ht="24.75" hidden="1" customHeight="1" outlineLevel="1">
      <c r="A89" s="220">
        <v>33</v>
      </c>
      <c r="B89" s="239" t="str">
        <f t="shared" si="4"/>
        <v/>
      </c>
      <c r="C89" s="266" t="str">
        <f t="shared" si="5"/>
        <v/>
      </c>
      <c r="D89" s="266" t="str">
        <f t="shared" si="6"/>
        <v/>
      </c>
      <c r="E89" s="266" t="str">
        <f t="shared" si="7"/>
        <v/>
      </c>
      <c r="F89" s="267" t="str">
        <f t="shared" si="8"/>
        <v/>
      </c>
      <c r="G89" s="267" t="str">
        <f t="shared" si="9"/>
        <v/>
      </c>
      <c r="H89" s="223"/>
      <c r="I89" s="223"/>
      <c r="J89" s="220"/>
      <c r="K89" s="200"/>
    </row>
    <row r="90" spans="1:11" ht="24.75" hidden="1" customHeight="1" outlineLevel="1">
      <c r="A90" s="220">
        <v>34</v>
      </c>
      <c r="B90" s="239" t="str">
        <f t="shared" si="4"/>
        <v/>
      </c>
      <c r="C90" s="266" t="str">
        <f t="shared" si="5"/>
        <v/>
      </c>
      <c r="D90" s="266" t="str">
        <f t="shared" si="6"/>
        <v/>
      </c>
      <c r="E90" s="266" t="str">
        <f t="shared" si="7"/>
        <v/>
      </c>
      <c r="F90" s="267" t="str">
        <f t="shared" si="8"/>
        <v/>
      </c>
      <c r="G90" s="267" t="str">
        <f t="shared" si="9"/>
        <v/>
      </c>
      <c r="H90" s="223"/>
      <c r="I90" s="223"/>
      <c r="J90" s="220"/>
      <c r="K90" s="200"/>
    </row>
    <row r="91" spans="1:11" ht="24.75" hidden="1" customHeight="1" outlineLevel="1">
      <c r="A91" s="220">
        <v>35</v>
      </c>
      <c r="B91" s="239" t="str">
        <f t="shared" si="4"/>
        <v/>
      </c>
      <c r="C91" s="266" t="str">
        <f t="shared" si="5"/>
        <v/>
      </c>
      <c r="D91" s="266" t="str">
        <f t="shared" si="6"/>
        <v/>
      </c>
      <c r="E91" s="266" t="str">
        <f t="shared" si="7"/>
        <v/>
      </c>
      <c r="F91" s="267" t="str">
        <f t="shared" si="8"/>
        <v/>
      </c>
      <c r="G91" s="267" t="str">
        <f t="shared" si="9"/>
        <v/>
      </c>
      <c r="H91" s="223"/>
      <c r="I91" s="223"/>
      <c r="J91" s="220"/>
      <c r="K91" s="200"/>
    </row>
    <row r="92" spans="1:11" ht="24.75" hidden="1" customHeight="1" outlineLevel="1">
      <c r="A92" s="220">
        <v>36</v>
      </c>
      <c r="B92" s="239" t="str">
        <f t="shared" si="4"/>
        <v/>
      </c>
      <c r="C92" s="266" t="str">
        <f t="shared" si="5"/>
        <v/>
      </c>
      <c r="D92" s="266" t="str">
        <f t="shared" si="6"/>
        <v/>
      </c>
      <c r="E92" s="266" t="str">
        <f t="shared" si="7"/>
        <v/>
      </c>
      <c r="F92" s="267" t="str">
        <f t="shared" si="8"/>
        <v/>
      </c>
      <c r="G92" s="267" t="str">
        <f t="shared" si="9"/>
        <v/>
      </c>
      <c r="H92" s="223"/>
      <c r="I92" s="223"/>
      <c r="J92" s="220"/>
      <c r="K92" s="200"/>
    </row>
    <row r="93" spans="1:11" ht="24.75" hidden="1" customHeight="1" outlineLevel="1">
      <c r="A93" s="220">
        <v>37</v>
      </c>
      <c r="B93" s="239" t="str">
        <f t="shared" si="4"/>
        <v/>
      </c>
      <c r="C93" s="266" t="str">
        <f t="shared" si="5"/>
        <v/>
      </c>
      <c r="D93" s="266" t="str">
        <f t="shared" si="6"/>
        <v/>
      </c>
      <c r="E93" s="266" t="str">
        <f t="shared" si="7"/>
        <v/>
      </c>
      <c r="F93" s="267" t="str">
        <f t="shared" si="8"/>
        <v/>
      </c>
      <c r="G93" s="267" t="str">
        <f t="shared" si="9"/>
        <v/>
      </c>
      <c r="H93" s="223"/>
      <c r="I93" s="223"/>
      <c r="J93" s="220"/>
      <c r="K93" s="200"/>
    </row>
    <row r="94" spans="1:11" ht="24.75" customHeight="1" collapsed="1">
      <c r="A94" s="220">
        <v>38</v>
      </c>
      <c r="B94" s="239" t="str">
        <f t="shared" si="4"/>
        <v/>
      </c>
      <c r="C94" s="266" t="str">
        <f t="shared" si="5"/>
        <v/>
      </c>
      <c r="D94" s="266" t="str">
        <f t="shared" si="6"/>
        <v/>
      </c>
      <c r="E94" s="266" t="str">
        <f t="shared" si="7"/>
        <v/>
      </c>
      <c r="F94" s="267" t="str">
        <f t="shared" si="8"/>
        <v/>
      </c>
      <c r="G94" s="267" t="str">
        <f t="shared" si="9"/>
        <v/>
      </c>
      <c r="H94" s="223"/>
      <c r="I94" s="223"/>
      <c r="J94" s="220"/>
      <c r="K94" s="200"/>
    </row>
    <row r="95" spans="1:11" ht="24.75" customHeight="1">
      <c r="A95" s="220"/>
      <c r="B95" s="268"/>
      <c r="C95" s="269">
        <f t="shared" ref="C95:E95" si="10">SUM(C57:C94)</f>
        <v>108868.35879579438</v>
      </c>
      <c r="D95" s="269">
        <f t="shared" si="10"/>
        <v>5579.4170864440766</v>
      </c>
      <c r="E95" s="269">
        <f t="shared" si="10"/>
        <v>1004.2950755599337</v>
      </c>
      <c r="F95" s="270">
        <f>+G11</f>
        <v>1088.6835879579439</v>
      </c>
      <c r="G95" s="271">
        <f>SUM(G57:G94)</f>
        <v>101195.96304583242</v>
      </c>
      <c r="H95" s="223"/>
      <c r="I95" s="223"/>
      <c r="J95" s="272"/>
      <c r="K95" s="200"/>
    </row>
    <row r="96" spans="1:11" ht="19.5" customHeight="1">
      <c r="A96" s="220"/>
      <c r="B96" s="273"/>
      <c r="C96" s="274"/>
      <c r="D96" s="275"/>
      <c r="E96" s="220"/>
      <c r="F96" s="276" t="s">
        <v>56</v>
      </c>
      <c r="G96" s="277">
        <f>0.18*F95</f>
        <v>195.96304583242991</v>
      </c>
      <c r="H96" s="11"/>
      <c r="I96" s="220" t="s">
        <v>79</v>
      </c>
      <c r="J96" s="11"/>
      <c r="K96" s="278">
        <f>+G9</f>
        <v>42845</v>
      </c>
    </row>
    <row r="97" spans="1:11" ht="19.5" customHeight="1">
      <c r="A97" s="220"/>
      <c r="B97" s="273"/>
      <c r="C97" s="274"/>
      <c r="D97" s="274"/>
      <c r="E97" s="220"/>
      <c r="F97" s="279" t="s">
        <v>57</v>
      </c>
      <c r="G97" s="280">
        <f>+G95-G96</f>
        <v>101000</v>
      </c>
      <c r="H97" s="11"/>
      <c r="I97" s="281" t="s">
        <v>80</v>
      </c>
      <c r="J97" s="11"/>
      <c r="K97" s="278">
        <f>+MAX($E$15:$E$30)</f>
        <v>42905</v>
      </c>
    </row>
    <row r="98" spans="1:11" ht="14.25" customHeight="1">
      <c r="A98" s="220"/>
      <c r="B98" s="220"/>
      <c r="C98" s="220"/>
      <c r="D98" s="221"/>
      <c r="E98" s="282"/>
      <c r="F98" s="282"/>
      <c r="G98" s="274"/>
      <c r="H98" s="11"/>
      <c r="I98" s="220" t="s">
        <v>39</v>
      </c>
      <c r="J98" s="11"/>
      <c r="K98" s="283">
        <f>+K97-K96</f>
        <v>60</v>
      </c>
    </row>
    <row r="99" spans="1:11" ht="14.25" customHeight="1">
      <c r="A99" s="220"/>
      <c r="B99" s="220"/>
      <c r="C99" s="220"/>
      <c r="D99" s="221"/>
      <c r="E99" s="282"/>
      <c r="F99" s="282"/>
      <c r="G99" s="274"/>
      <c r="H99" s="220"/>
      <c r="I99" s="220" t="s">
        <v>81</v>
      </c>
      <c r="J99" s="11"/>
      <c r="K99" s="200">
        <f>+((1+$D$56/30)^K98-1)*G97</f>
        <v>5176.1699355444016</v>
      </c>
    </row>
    <row r="100" spans="1:11" ht="14.25" customHeight="1">
      <c r="A100" s="220"/>
      <c r="B100" s="11"/>
      <c r="C100" s="541" t="str">
        <f>+C5</f>
        <v>AUTO BODY PAINT S.A.C.</v>
      </c>
      <c r="D100" s="542"/>
      <c r="E100" s="282"/>
      <c r="F100" s="541" t="str">
        <f>+C5</f>
        <v>AUTO BODY PAINT S.A.C.</v>
      </c>
      <c r="G100" s="542"/>
      <c r="H100" s="11"/>
      <c r="I100" s="200" t="s">
        <v>28</v>
      </c>
      <c r="J100" s="220"/>
      <c r="K100" s="200">
        <f>+G102</f>
        <v>1088.6835879579439</v>
      </c>
    </row>
    <row r="101" spans="1:11" ht="17.25" customHeight="1">
      <c r="A101" s="220"/>
      <c r="B101" s="11"/>
      <c r="C101" s="284" t="s">
        <v>61</v>
      </c>
      <c r="D101" s="285"/>
      <c r="E101" s="282"/>
      <c r="F101" s="284" t="s">
        <v>61</v>
      </c>
      <c r="G101" s="285"/>
      <c r="H101" s="11"/>
      <c r="I101" s="286" t="s">
        <v>27</v>
      </c>
      <c r="J101" s="220"/>
      <c r="K101" s="200">
        <f>0.18*SUM(K99:K100)</f>
        <v>1127.6736342304221</v>
      </c>
    </row>
    <row r="102" spans="1:11" ht="17.25" customHeight="1">
      <c r="A102" s="220"/>
      <c r="B102" s="11"/>
      <c r="C102" s="193" t="s">
        <v>63</v>
      </c>
      <c r="D102" s="287">
        <f>+D95</f>
        <v>5579.4170864440766</v>
      </c>
      <c r="E102" s="282"/>
      <c r="F102" s="193" t="s">
        <v>64</v>
      </c>
      <c r="G102" s="287">
        <f>+G11</f>
        <v>1088.6835879579439</v>
      </c>
      <c r="H102" s="11"/>
      <c r="I102" s="286"/>
      <c r="J102" s="288" t="s">
        <v>57</v>
      </c>
      <c r="K102" s="289">
        <f>+G97+K99+K100+K101</f>
        <v>108392.52715773277</v>
      </c>
    </row>
    <row r="103" spans="1:11" ht="12.75" customHeight="1">
      <c r="A103" s="220"/>
      <c r="B103" s="11"/>
      <c r="C103" s="290" t="s">
        <v>27</v>
      </c>
      <c r="D103" s="291">
        <f>E95</f>
        <v>1004.2950755599337</v>
      </c>
      <c r="E103" s="282"/>
      <c r="F103" s="292" t="s">
        <v>27</v>
      </c>
      <c r="G103" s="293">
        <f>+G102*$E$56</f>
        <v>195.96304583242991</v>
      </c>
      <c r="H103" s="11"/>
      <c r="I103" s="286"/>
      <c r="J103" s="220"/>
      <c r="K103" s="200"/>
    </row>
    <row r="104" spans="1:11" ht="17.25" customHeight="1">
      <c r="A104" s="220"/>
      <c r="B104" s="11"/>
      <c r="C104" s="294" t="s">
        <v>57</v>
      </c>
      <c r="D104" s="295">
        <f>ROUND(D102,2)+ROUND(D103,2)</f>
        <v>6583.72</v>
      </c>
      <c r="E104" s="282"/>
      <c r="F104" s="296" t="s">
        <v>57</v>
      </c>
      <c r="G104" s="295">
        <f>ROUND(G102,2)+ROUND(G103,2)</f>
        <v>1284.6400000000001</v>
      </c>
      <c r="H104" s="11"/>
      <c r="I104" s="11"/>
      <c r="J104" s="220"/>
      <c r="K104" s="200"/>
    </row>
    <row r="105" spans="1:11" ht="14.25" customHeight="1">
      <c r="A105" s="220"/>
      <c r="B105" s="220"/>
      <c r="C105" s="220"/>
      <c r="D105" s="220"/>
      <c r="E105" s="282"/>
      <c r="F105" s="282"/>
      <c r="G105" s="220"/>
      <c r="H105" s="223"/>
      <c r="I105" s="297"/>
      <c r="J105" s="220"/>
      <c r="K105" s="200"/>
    </row>
    <row r="106" spans="1:11" ht="12.75" customHeight="1">
      <c r="A106" s="11"/>
      <c r="B106" s="11"/>
      <c r="C106" s="11"/>
      <c r="D106" s="11"/>
      <c r="E106" s="11"/>
      <c r="F106" s="11"/>
      <c r="G106" s="11"/>
      <c r="H106" s="11"/>
      <c r="I106" s="200"/>
      <c r="J106" s="11"/>
      <c r="K106" s="200"/>
    </row>
    <row r="107" spans="1:11" ht="12.75" customHeight="1">
      <c r="A107" s="11"/>
      <c r="B107" s="11"/>
      <c r="C107" s="11"/>
      <c r="D107" s="11"/>
      <c r="E107" s="11"/>
      <c r="F107" s="11"/>
      <c r="G107" s="11"/>
      <c r="H107" s="298">
        <v>85686.14</v>
      </c>
      <c r="I107" s="258">
        <v>899.6</v>
      </c>
      <c r="J107" s="299"/>
      <c r="K107" s="200"/>
    </row>
    <row r="108" spans="1:11" ht="12.75" customHeight="1">
      <c r="A108" s="11"/>
      <c r="B108" s="11"/>
      <c r="C108" s="11"/>
      <c r="D108" s="11"/>
      <c r="E108" s="11"/>
      <c r="F108" s="11"/>
      <c r="G108" s="11"/>
      <c r="H108" s="258"/>
      <c r="I108" s="258"/>
      <c r="J108" s="300"/>
      <c r="K108" s="200"/>
    </row>
    <row r="109" spans="1:11" ht="12.75" customHeight="1">
      <c r="A109" s="11"/>
      <c r="B109" s="11"/>
      <c r="C109" s="11"/>
      <c r="D109" s="11"/>
      <c r="E109" s="11"/>
      <c r="F109" s="11"/>
      <c r="G109" s="11"/>
      <c r="H109" s="258">
        <f>+G97</f>
        <v>101000</v>
      </c>
      <c r="I109" s="258">
        <f>+G102</f>
        <v>1088.6835879579439</v>
      </c>
      <c r="J109" s="11"/>
      <c r="K109" s="200"/>
    </row>
    <row r="110" spans="1:11" ht="12.75" customHeight="1">
      <c r="A110" s="11"/>
      <c r="B110" s="11"/>
      <c r="C110" s="11"/>
      <c r="D110" s="11"/>
      <c r="E110" s="11"/>
      <c r="F110" s="11"/>
      <c r="G110" s="11"/>
      <c r="H110" s="258"/>
      <c r="I110" s="258"/>
      <c r="J110" s="11"/>
      <c r="K110" s="200"/>
    </row>
    <row r="111" spans="1:11" ht="12.75" customHeight="1">
      <c r="A111" s="11"/>
      <c r="B111" s="11"/>
      <c r="C111" s="11"/>
      <c r="D111" s="11"/>
      <c r="E111" s="11"/>
      <c r="F111" s="11"/>
      <c r="G111" s="11"/>
      <c r="H111" s="301">
        <f t="shared" ref="H111:I111" si="11">+H109-H107</f>
        <v>15313.86</v>
      </c>
      <c r="I111" s="301">
        <f t="shared" si="11"/>
        <v>189.08358795794391</v>
      </c>
      <c r="J111" s="11"/>
      <c r="K111" s="200"/>
    </row>
  </sheetData>
  <mergeCells count="3">
    <mergeCell ref="A2:H2"/>
    <mergeCell ref="C100:D100"/>
    <mergeCell ref="F100:G100"/>
  </mergeCells>
  <dataValidations count="1">
    <dataValidation type="list" allowBlank="1" showErrorMessage="1" sqref="I15:I52">
      <formula1>$J$8:$J$9</formula1>
    </dataValidation>
  </dataValidations>
  <pageMargins left="0.31496062992125984" right="0.15748031496062992" top="0.23622047244094491" bottom="0.27559055118110237" header="0" footer="0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CLIENTE</vt:lpstr>
      <vt:lpstr>NSG</vt:lpstr>
      <vt:lpstr>Liq fact Nº </vt:lpstr>
      <vt:lpstr>Datos</vt:lpstr>
      <vt:lpstr>LETRA</vt:lpstr>
      <vt:lpstr>LIQUIDACION</vt:lpstr>
      <vt:lpstr>Sheet1</vt:lpstr>
      <vt:lpstr>LIQ AS</vt:lpstr>
      <vt:lpstr>NSG01 ORIGEN</vt:lpstr>
      <vt:lpstr>CLIENTE!Print_Area</vt:lpstr>
      <vt:lpstr>LETRA!Print_Area</vt:lpstr>
      <vt:lpstr>LIQUIDACION!Print_Area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Llaja Ascoy</dc:creator>
  <cp:lastModifiedBy>Richard Gutierrez</cp:lastModifiedBy>
  <cp:lastPrinted>2024-12-24T14:42:43Z</cp:lastPrinted>
  <dcterms:created xsi:type="dcterms:W3CDTF">2013-03-18T19:59:20Z</dcterms:created>
  <dcterms:modified xsi:type="dcterms:W3CDTF">2025-09-21T04:21:47Z</dcterms:modified>
</cp:coreProperties>
</file>